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ru" sheetId="1" state="visible" r:id="rId2"/>
  </sheets>
  <definedNames>
    <definedName function="false" hidden="false" name="BoardQty" vbProcedure="false">horu!$I$1</definedName>
    <definedName function="false" hidden="false" name="global_part_data" vbProcedure="false">horu!$A$5:$I$24</definedName>
    <definedName function="false" hidden="false" name="mouser_part_data" vbProcedure="false">horu!$J$5:$O$24</definedName>
    <definedName function="false" hidden="false" name="TotalCost" vbProcedure="false">horu!$I$2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 xml:space="preserve">Description of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 xml:space="preserve">PCB footprint for each part.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 xml:space="preserve">Manufacturer of each part.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 xml:space="preserve">Manufacturer number for each part.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 xml:space="preserve">Total number of each part needed to assemble the board.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 xml:space="preserve">Minimum unit price for each part across all distributors.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 xml:space="preserve">Minimum extended price for each part across all distributors.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N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O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</commentList>
</comments>
</file>

<file path=xl/sharedStrings.xml><?xml version="1.0" encoding="utf-8"?>
<sst xmlns="http://schemas.openxmlformats.org/spreadsheetml/2006/main" count="119" uniqueCount="97">
  <si>
    <t xml:space="preserve">Board Qty:</t>
  </si>
  <si>
    <t xml:space="preserve">Total Cost:</t>
  </si>
  <si>
    <t xml:space="preserve">Unit Cost:</t>
  </si>
  <si>
    <t xml:space="preserve">Global Part Info</t>
  </si>
  <si>
    <t xml:space="preserve">Mouser</t>
  </si>
  <si>
    <t xml:space="preserve">Refs</t>
  </si>
  <si>
    <t xml:space="preserve">Value</t>
  </si>
  <si>
    <t xml:space="preserve">Desc</t>
  </si>
  <si>
    <t xml:space="preserve">Footprint</t>
  </si>
  <si>
    <t xml:space="preserve">Manf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</si>
  <si>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</si>
  <si>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</si>
  <si>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</si>
  <si>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</si>
  <si>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</si>
  <si>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</si>
  <si>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</si>
  <si>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Doc</t>
  </si>
  <si>
    <t xml:space="preserve">Y1</t>
  </si>
  <si>
    <t xml:space="preserve">8MHz</t>
  </si>
  <si>
    <t xml:space="preserve">Crystals:Crystal_SMD_Abracon_ABM3B-4pin_5.0x3.2mm</t>
  </si>
  <si>
    <t xml:space="preserve">ABM3B-8.000MHZ-B2-T</t>
  </si>
  <si>
    <t xml:space="preserve">815-ABM3B-8.0-B2-T</t>
  </si>
  <si>
    <t xml:space="preserve">Link</t>
  </si>
  <si>
    <t xml:space="preserve">C2,C3</t>
  </si>
  <si>
    <t xml:space="preserve">22 pF</t>
  </si>
  <si>
    <t xml:space="preserve">Resistors_SMD:R_0603_HandSoldering</t>
  </si>
  <si>
    <t xml:space="preserve">GRM1885C1H220JA01D</t>
  </si>
  <si>
    <t xml:space="preserve">81-GRM39C220J50</t>
  </si>
  <si>
    <t xml:space="preserve">U1</t>
  </si>
  <si>
    <t xml:space="preserve">KL25P80M48SF0</t>
  </si>
  <si>
    <t xml:space="preserve">horu:LQFP-80_12x12mm_Pitch0.5mm</t>
  </si>
  <si>
    <t xml:space="preserve">MKL25Z128VLK4</t>
  </si>
  <si>
    <t xml:space="preserve">841-MKL25Z128VLK4</t>
  </si>
  <si>
    <t xml:space="preserve">C6</t>
  </si>
  <si>
    <t xml:space="preserve">2.2 uF</t>
  </si>
  <si>
    <t xml:space="preserve">GRM188R61C225KE15D</t>
  </si>
  <si>
    <t xml:space="preserve">81-GRM188R61C225KE15</t>
  </si>
  <si>
    <t xml:space="preserve">R7</t>
  </si>
  <si>
    <t xml:space="preserve">0</t>
  </si>
  <si>
    <t xml:space="preserve">Resistors_SMD:R_0402</t>
  </si>
  <si>
    <t xml:space="preserve">ERJ-3GEY0R00V</t>
  </si>
  <si>
    <t xml:space="preserve">667-ERJ-3GEY0R00V</t>
  </si>
  <si>
    <t xml:space="preserve">C1,C4,C5</t>
  </si>
  <si>
    <t xml:space="preserve">1.0 uF</t>
  </si>
  <si>
    <t xml:space="preserve">GRM188R61C105KA93D</t>
  </si>
  <si>
    <t xml:space="preserve">81-GRM39R105K16</t>
  </si>
  <si>
    <t xml:space="preserve">P5</t>
  </si>
  <si>
    <t xml:space="preserve">CONN_02X05</t>
  </si>
  <si>
    <t xml:space="preserve">Pin_Headers:Pin_Header_Straight_2x05_Pitch1.27mm_SMD</t>
  </si>
  <si>
    <t xml:space="preserve">20021121-00010C4LF</t>
  </si>
  <si>
    <t xml:space="preserve">649-202112100010C4LF</t>
  </si>
  <si>
    <t xml:space="preserve">D1-D4</t>
  </si>
  <si>
    <t xml:space="preserve">LED_GREEN</t>
  </si>
  <si>
    <t xml:space="preserve">LEDs:LED_0603</t>
  </si>
  <si>
    <t xml:space="preserve">LG Q396-PS-35</t>
  </si>
  <si>
    <t xml:space="preserve">720-LGQ396A3964</t>
  </si>
  <si>
    <t xml:space="preserve">R1-R4</t>
  </si>
  <si>
    <t xml:space="preserve">220</t>
  </si>
  <si>
    <t xml:space="preserve">ERJ-3GEYJ221V</t>
  </si>
  <si>
    <t xml:space="preserve">667-ERJ-3GEYJ221V</t>
  </si>
  <si>
    <t xml:space="preserve">TP1-TP4</t>
  </si>
  <si>
    <t xml:space="preserve">TEST_1P</t>
  </si>
  <si>
    <t xml:space="preserve">Measurement_Points:Measurement_Point_Round-TH_Small</t>
  </si>
  <si>
    <t xml:space="preserve">R5,R6</t>
  </si>
  <si>
    <t xml:space="preserve">33</t>
  </si>
  <si>
    <t xml:space="preserve">ERJ-3GEYJ330V</t>
  </si>
  <si>
    <t xml:space="preserve">667-ERJ-3GEYJ330V</t>
  </si>
  <si>
    <t xml:space="preserve">P3</t>
  </si>
  <si>
    <t xml:space="preserve">CONN_01X30_2SHIELD</t>
  </si>
  <si>
    <t xml:space="preserve">horu:52271-3079</t>
  </si>
  <si>
    <t xml:space="preserve">52271-3079</t>
  </si>
  <si>
    <t xml:space="preserve">538-52271-3079</t>
  </si>
  <si>
    <t xml:space="preserve">L1,L2</t>
  </si>
  <si>
    <t xml:space="preserve">330 Ohm</t>
  </si>
  <si>
    <t xml:space="preserve">BLM18SG331TN1D</t>
  </si>
  <si>
    <t xml:space="preserve">81-BLM18SG331TN1D</t>
  </si>
  <si>
    <t xml:space="preserve">P2</t>
  </si>
  <si>
    <t xml:space="preserve">DNP</t>
  </si>
  <si>
    <t xml:space="preserve">Connectors:USB_Micro-B</t>
  </si>
  <si>
    <t xml:space="preserve">P1,P4</t>
  </si>
  <si>
    <t xml:space="preserve">CONN_01X06</t>
  </si>
  <si>
    <t xml:space="preserve">horu:PINHEAD1-6</t>
  </si>
  <si>
    <t xml:space="preserve">4-103327-6</t>
  </si>
  <si>
    <t xml:space="preserve">571-4-103327-6</t>
  </si>
  <si>
    <t xml:space="preserve">R8</t>
  </si>
  <si>
    <t xml:space="preserve">10k</t>
  </si>
  <si>
    <t xml:space="preserve">ERJ-3GEYJ103V</t>
  </si>
  <si>
    <t xml:space="preserve">667-ERJ-3GEYJ103V</t>
  </si>
  <si>
    <t xml:space="preserve">JP101</t>
  </si>
  <si>
    <t xml:space="preserve">Jumper_NC_Dual</t>
  </si>
  <si>
    <t xml:space="preserve">Connectors:GS3</t>
  </si>
  <si>
    <t xml:space="preserve">D5</t>
  </si>
  <si>
    <t xml:space="preserve">D_Zener_x2_ACom_KKA</t>
  </si>
  <si>
    <t xml:space="preserve">TO_SOT_Packages_SMD:SOT-23</t>
  </si>
  <si>
    <t xml:space="preserve">GSOT05C-G3-08</t>
  </si>
  <si>
    <t xml:space="preserve">78-GSOT05C-G3-08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</si>
</sst>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303030"/>
        <bgColor rgb="FF333333"/>
      </patternFill>
    </fill>
    <fill>
      <patternFill patternType="solid">
        <fgColor rgb="FF004A85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dxfs count="1">
    <dxf>
      <fill>
        <patternFill>
          <bgColor rgb="FF80FF8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0FF80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A85"/>
      <rgbColor rgb="FF339966"/>
      <rgbColor rgb="FF006600"/>
      <rgbColor rgb="FF30303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mouser.com/Search/Refine.aspx?Keyword=ABM3B-8.000MHZ-B2-T%20" TargetMode="External"/><Relationship Id="rId3" Type="http://schemas.openxmlformats.org/officeDocument/2006/relationships/hyperlink" Target="http://www.mouser.com/Search/Refine.aspx?Keyword=GRM1885C1H220JA01D%20" TargetMode="External"/><Relationship Id="rId4" Type="http://schemas.openxmlformats.org/officeDocument/2006/relationships/hyperlink" Target="http://www.mouser.com/ProductDetail/NXP-Freescale/MKL25Z128VLK4/?qs=sGAEpiMZZMuWgNZUrZaZjJzDCqOusTwq" TargetMode="External"/><Relationship Id="rId5" Type="http://schemas.openxmlformats.org/officeDocument/2006/relationships/hyperlink" Target="http://www.mouser.com/Search/Refine.aspx?Keyword=GRM188R61C225KE15D%20" TargetMode="External"/><Relationship Id="rId6" Type="http://schemas.openxmlformats.org/officeDocument/2006/relationships/hyperlink" Target="http://www.mouser.com/Search/Refine.aspx?Keyword=ERJ-3GEY0R00V%20" TargetMode="External"/><Relationship Id="rId7" Type="http://schemas.openxmlformats.org/officeDocument/2006/relationships/hyperlink" Target="http://www.mouser.com/Search/Refine.aspx?Keyword=GRM188R61C105KA93D%20" TargetMode="External"/><Relationship Id="rId8" Type="http://schemas.openxmlformats.org/officeDocument/2006/relationships/hyperlink" Target="http://www.mouser.com/Search/Refine.aspx?Keyword=20021121-00010C4LF%20" TargetMode="External"/><Relationship Id="rId9" Type="http://schemas.openxmlformats.org/officeDocument/2006/relationships/hyperlink" Target="http://www.mouser.com/Search/Refine.aspx?Keyword=LG%20Q396-PS-35%20" TargetMode="External"/><Relationship Id="rId10" Type="http://schemas.openxmlformats.org/officeDocument/2006/relationships/hyperlink" Target="http://www.mouser.com/Search/Refine.aspx?Keyword=ERJ-3GEYJ221V%20" TargetMode="External"/><Relationship Id="rId11" Type="http://schemas.openxmlformats.org/officeDocument/2006/relationships/hyperlink" Target="http://www.mouser.com/Search/Refine.aspx?Keyword=ERJ-3GEYJ330V%20" TargetMode="External"/><Relationship Id="rId12" Type="http://schemas.openxmlformats.org/officeDocument/2006/relationships/hyperlink" Target="http://www.mouser.com/Search/Refine.aspx?Keyword=52271-3079%20" TargetMode="External"/><Relationship Id="rId13" Type="http://schemas.openxmlformats.org/officeDocument/2006/relationships/hyperlink" Target="http://www.mouser.com/Search/Refine.aspx?Keyword=BLM18SG331TN1D%20" TargetMode="External"/><Relationship Id="rId14" Type="http://schemas.openxmlformats.org/officeDocument/2006/relationships/hyperlink" Target="http://www.mouser.com/Search/Refine.aspx?Keyword=4-103327-6%20" TargetMode="External"/><Relationship Id="rId15" Type="http://schemas.openxmlformats.org/officeDocument/2006/relationships/hyperlink" Target="http://www.mouser.com/Search/Refine.aspx?Keyword=ERJ-3GEYJ103V%20" TargetMode="External"/><Relationship Id="rId16" Type="http://schemas.openxmlformats.org/officeDocument/2006/relationships/hyperlink" Target="http://www.mouser.com/ProductDetail/Vishay-Semiconductors/GSOT05C-G3-08/?qs=sGAEpiMZZMv50VCOoJQfujrUE9hjlqwF0O8oYNr%2FbaU%3D" TargetMode="External"/><Relationship Id="rId17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9" ySplit="6" topLeftCell="J7" activePane="bottomRight" state="frozen"/>
      <selection pane="topLeft" activeCell="A1" activeCellId="0" sqref="A1"/>
      <selection pane="topRight" activeCell="J1" activeCellId="0" sqref="J1"/>
      <selection pane="bottomLeft" activeCell="A7" activeCellId="0" sqref="A7"/>
      <selection pane="bottomRight" activeCell="I1" activeCellId="0" sqref="I1"/>
    </sheetView>
  </sheetViews>
  <sheetFormatPr defaultRowHeight="15" outlineLevelRow="0" outlineLevelCol="2"/>
  <cols>
    <col collapsed="false" customWidth="true" hidden="false" outlineLevel="0" max="1" min="1" style="0" width="9.14"/>
    <col collapsed="false" customWidth="true" hidden="false" outlineLevel="0" max="2" min="2" style="0" width="21.2"/>
    <col collapsed="false" customWidth="true" hidden="false" outlineLevel="0" max="3" min="3" style="0" width="9.14"/>
    <col collapsed="false" customWidth="true" hidden="false" outlineLevel="0" max="4" min="4" style="0" width="15.54"/>
    <col collapsed="false" customWidth="true" hidden="false" outlineLevel="0" max="5" min="5" style="0" width="9.14"/>
    <col collapsed="false" customWidth="true" hidden="false" outlineLevel="0" max="6" min="6" style="0" width="11.8"/>
    <col collapsed="false" customWidth="true" hidden="false" outlineLevel="0" max="8" min="7" style="0" width="9.14"/>
    <col collapsed="false" customWidth="true" hidden="false" outlineLevel="0" max="9" min="9" style="0" width="15.71"/>
    <col collapsed="false" customWidth="true" hidden="false" outlineLevel="1" max="10" min="10" style="0" width="9.14"/>
    <col collapsed="false" customWidth="true" hidden="false" outlineLevel="2" max="12" min="11" style="0" width="9.14"/>
    <col collapsed="false" customWidth="true" hidden="false" outlineLevel="0" max="13" min="13" style="0" width="15.71"/>
    <col collapsed="false" customWidth="true" hidden="false" outlineLevel="2" max="15" min="14" style="0" width="9.14"/>
    <col collapsed="false" customWidth="true" hidden="false" outlineLevel="0" max="1025" min="16" style="0" width="8.53"/>
  </cols>
  <sheetData>
    <row r="1" customFormat="false" ht="16.15" hidden="false" customHeight="false" outlineLevel="0" collapsed="false">
      <c r="H1" s="1" t="s">
        <v>0</v>
      </c>
      <c r="I1" s="1" t="n">
        <v>4</v>
      </c>
    </row>
    <row r="2" customFormat="false" ht="16.15" hidden="false" customHeight="false" outlineLevel="0" collapsed="false">
      <c r="H2" s="2" t="s">
        <v>1</v>
      </c>
      <c r="I2" s="3" t="n">
        <f aca="false">SUM(I7:I24)</f>
        <v>47.72</v>
      </c>
      <c r="M2" s="3" t="n">
        <f aca="false">SUM(M7:M24)</f>
        <v>50.148</v>
      </c>
    </row>
    <row r="3" customFormat="false" ht="15" hidden="false" customHeight="false" outlineLevel="0" collapsed="false">
      <c r="H3" s="2" t="s">
        <v>2</v>
      </c>
      <c r="I3" s="4" t="n">
        <f aca="false">TotalCost/BoardQty</f>
        <v>11.93</v>
      </c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6" t="s">
        <v>4</v>
      </c>
      <c r="K5" s="6"/>
      <c r="L5" s="6"/>
      <c r="M5" s="6"/>
      <c r="N5" s="6"/>
      <c r="O5" s="6"/>
    </row>
    <row r="6" customFormat="false" ht="15" hidden="false" customHeight="false" outlineLevel="0" collapsed="false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12</v>
      </c>
      <c r="M6" s="7" t="s">
        <v>13</v>
      </c>
      <c r="N6" s="7" t="s">
        <v>16</v>
      </c>
      <c r="O6" s="7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D7" s="0" t="s">
        <v>20</v>
      </c>
      <c r="F7" s="0" t="s">
        <v>21</v>
      </c>
      <c r="G7" s="0" t="n">
        <f aca="false">BoardQty*1</f>
        <v>4</v>
      </c>
      <c r="H7" s="8" t="n">
        <f aca="true">MINA(INDIRECT(ADDRESS(ROW(),COLUMN(mouser_part_data)+2)))</f>
        <v>0.65</v>
      </c>
      <c r="I7" s="8" t="n">
        <f aca="false">IFERROR(G7*H7,"")</f>
        <v>2.6</v>
      </c>
      <c r="J7" s="0" t="n">
        <v>3870</v>
      </c>
      <c r="L7" s="8" t="n">
        <f aca="false">IFERROR(LOOKUP(IF(K7="",G7,K7),{0,1,10,50,100,500,1000,2000,5000,10000},{0,0.65,0.552,0.496,0.441,0.42,0.336,0.315,0.304,0.294}),"")</f>
        <v>0.65</v>
      </c>
      <c r="M7" s="8" t="n">
        <f aca="false">IFERROR(IF(K7="",G7,K7)*L7,"")</f>
        <v>2.6</v>
      </c>
      <c r="N7" s="0" t="s">
        <v>22</v>
      </c>
      <c r="O7" s="9" t="s">
        <v>23</v>
      </c>
    </row>
    <row r="8" customFormat="false" ht="13.8" hidden="false" customHeight="false" outlineLevel="0" collapsed="false">
      <c r="A8" s="0" t="s">
        <v>24</v>
      </c>
      <c r="B8" s="0" t="s">
        <v>25</v>
      </c>
      <c r="D8" s="0" t="s">
        <v>26</v>
      </c>
      <c r="F8" s="0" t="s">
        <v>27</v>
      </c>
      <c r="G8" s="0" t="n">
        <f aca="false">BoardQty*2</f>
        <v>8</v>
      </c>
      <c r="H8" s="8" t="n">
        <f aca="true">MINA(INDIRECT(ADDRESS(ROW(),COLUMN(mouser_part_data)+2)))</f>
        <v>0.022</v>
      </c>
      <c r="I8" s="8" t="n">
        <f aca="false">IFERROR(G8*H8,"")</f>
        <v>0.176</v>
      </c>
      <c r="J8" s="0" t="n">
        <v>180907</v>
      </c>
      <c r="K8" s="0" t="n">
        <v>10</v>
      </c>
      <c r="L8" s="8" t="n">
        <f aca="false">IFERROR(LOOKUP(IF(K8="",G8,K8),{0,1,10,100,500,1000,4000},{0,0.1,0.022,0.015,0.013,0.01,0.007}),"")</f>
        <v>0.022</v>
      </c>
      <c r="M8" s="8" t="n">
        <f aca="false">IFERROR(IF(K8="",G8,K8)*L8,"")</f>
        <v>0.22</v>
      </c>
      <c r="N8" s="0" t="s">
        <v>28</v>
      </c>
      <c r="O8" s="9" t="s">
        <v>23</v>
      </c>
    </row>
    <row r="9" customFormat="false" ht="15" hidden="false" customHeight="false" outlineLevel="0" collapsed="false">
      <c r="A9" s="0" t="s">
        <v>29</v>
      </c>
      <c r="B9" s="0" t="s">
        <v>30</v>
      </c>
      <c r="D9" s="0" t="s">
        <v>31</v>
      </c>
      <c r="F9" s="0" t="s">
        <v>32</v>
      </c>
      <c r="G9" s="0" t="n">
        <f aca="false">BoardQty*1</f>
        <v>4</v>
      </c>
      <c r="H9" s="8" t="n">
        <f aca="true">MINA(INDIRECT(ADDRESS(ROW(),COLUMN(mouser_part_data)+2)))</f>
        <v>6.47</v>
      </c>
      <c r="I9" s="8" t="n">
        <f aca="false">IFERROR(G9*H9,"")</f>
        <v>25.88</v>
      </c>
      <c r="J9" s="0" t="n">
        <v>573</v>
      </c>
      <c r="L9" s="8" t="n">
        <f aca="false">IFERROR(LOOKUP(IF(K9="",G9,K9),{0,1,10,25,100},{0,6.47,6.14,5.78,4.34}),"")</f>
        <v>6.47</v>
      </c>
      <c r="M9" s="8" t="n">
        <f aca="false">IFERROR(IF(K9="",G9,K9)*L9,"")</f>
        <v>25.88</v>
      </c>
      <c r="N9" s="0" t="s">
        <v>33</v>
      </c>
      <c r="O9" s="9" t="s">
        <v>23</v>
      </c>
    </row>
    <row r="10" customFormat="false" ht="13.8" hidden="false" customHeight="false" outlineLevel="0" collapsed="false">
      <c r="A10" s="0" t="s">
        <v>34</v>
      </c>
      <c r="B10" s="0" t="s">
        <v>35</v>
      </c>
      <c r="D10" s="0" t="s">
        <v>26</v>
      </c>
      <c r="F10" s="0" t="s">
        <v>36</v>
      </c>
      <c r="G10" s="0" t="n">
        <f aca="false">BoardQty*1</f>
        <v>4</v>
      </c>
      <c r="H10" s="8" t="n">
        <f aca="true">MINA(INDIRECT(ADDRESS(ROW(),COLUMN(mouser_part_data)+2)))</f>
        <v>0.052</v>
      </c>
      <c r="I10" s="8" t="n">
        <f aca="false">IFERROR(G10*H10,"")</f>
        <v>0.208</v>
      </c>
      <c r="J10" s="0" t="n">
        <v>288205</v>
      </c>
      <c r="K10" s="0" t="n">
        <v>10</v>
      </c>
      <c r="L10" s="8" t="n">
        <f aca="false">IFERROR(LOOKUP(IF(K10="",G10,K10),{0,1,10,100,500,1000,4000,8000,24000},{0,0.14,0.052,0.036,0.03,0.025,0.02,0.018,0.017}),"")</f>
        <v>0.052</v>
      </c>
      <c r="M10" s="8" t="n">
        <f aca="false">IFERROR(IF(K10="",G10,K10)*L10,"")</f>
        <v>0.52</v>
      </c>
      <c r="N10" s="0" t="s">
        <v>37</v>
      </c>
      <c r="O10" s="9" t="s">
        <v>23</v>
      </c>
    </row>
    <row r="11" customFormat="false" ht="13.8" hidden="false" customHeight="false" outlineLevel="0" collapsed="false">
      <c r="A11" s="0" t="s">
        <v>38</v>
      </c>
      <c r="B11" s="0" t="s">
        <v>39</v>
      </c>
      <c r="D11" s="0" t="s">
        <v>40</v>
      </c>
      <c r="F11" s="0" t="s">
        <v>41</v>
      </c>
      <c r="G11" s="0" t="n">
        <f aca="false">BoardQty*1</f>
        <v>4</v>
      </c>
      <c r="H11" s="8" t="n">
        <f aca="true">MINA(INDIRECT(ADDRESS(ROW(),COLUMN(mouser_part_data)+2)))</f>
        <v>0.012</v>
      </c>
      <c r="I11" s="8" t="n">
        <f aca="false">IFERROR(G11*H11,"")</f>
        <v>0.048</v>
      </c>
      <c r="J11" s="0" t="n">
        <v>1071823</v>
      </c>
      <c r="K11" s="0" t="n">
        <v>10</v>
      </c>
      <c r="L11" s="8" t="n">
        <f aca="false">IFERROR(LOOKUP(IF(K11="",G11,K11),{0,1,10,100,500,1000,5000},{0,0.1,0.012,0.008,0.006,0.003,0.003}),"")</f>
        <v>0.012</v>
      </c>
      <c r="M11" s="8" t="n">
        <f aca="false">IFERROR(IF(K11="",G11,K11)*L11,"")</f>
        <v>0.12</v>
      </c>
      <c r="N11" s="0" t="s">
        <v>42</v>
      </c>
      <c r="O11" s="9" t="s">
        <v>23</v>
      </c>
    </row>
    <row r="12" customFormat="false" ht="13.8" hidden="false" customHeight="false" outlineLevel="0" collapsed="false">
      <c r="A12" s="0" t="s">
        <v>43</v>
      </c>
      <c r="B12" s="0" t="s">
        <v>44</v>
      </c>
      <c r="D12" s="0" t="s">
        <v>26</v>
      </c>
      <c r="F12" s="0" t="s">
        <v>45</v>
      </c>
      <c r="G12" s="0" t="n">
        <f aca="false">BoardQty*3</f>
        <v>12</v>
      </c>
      <c r="H12" s="8" t="n">
        <f aca="true">MINA(INDIRECT(ADDRESS(ROW(),COLUMN(mouser_part_data)+2)))</f>
        <v>0.021</v>
      </c>
      <c r="I12" s="8" t="n">
        <f aca="false">IFERROR(G12*H12,"")</f>
        <v>0.252</v>
      </c>
      <c r="J12" s="0" t="n">
        <v>259679</v>
      </c>
      <c r="L12" s="8" t="n">
        <f aca="false">IFERROR(LOOKUP(IF(K12="",G12,K12),{0,1,10,100,500,1000,4000,8000,24000,48000},{0,0.11,0.021,0.014,0.012,0.01,0.008,0.007,0.006,0.005}),"")</f>
        <v>0.021</v>
      </c>
      <c r="M12" s="8" t="n">
        <f aca="false">IFERROR(IF(K12="",G12,K12)*L12,"")</f>
        <v>0.252</v>
      </c>
      <c r="N12" s="0" t="s">
        <v>46</v>
      </c>
      <c r="O12" s="9" t="s">
        <v>23</v>
      </c>
    </row>
    <row r="13" customFormat="false" ht="15" hidden="false" customHeight="false" outlineLevel="0" collapsed="false">
      <c r="A13" s="0" t="s">
        <v>47</v>
      </c>
      <c r="B13" s="0" t="s">
        <v>48</v>
      </c>
      <c r="D13" s="0" t="s">
        <v>49</v>
      </c>
      <c r="F13" s="0" t="s">
        <v>50</v>
      </c>
      <c r="G13" s="0" t="n">
        <f aca="false">BoardQty*1</f>
        <v>4</v>
      </c>
      <c r="H13" s="8" t="n">
        <f aca="true">MINA(INDIRECT(ADDRESS(ROW(),COLUMN(mouser_part_data)+2)))</f>
        <v>0.799</v>
      </c>
      <c r="I13" s="8" t="n">
        <f aca="false">IFERROR(G13*H13,"")</f>
        <v>3.196</v>
      </c>
      <c r="J13" s="0" t="n">
        <v>12614</v>
      </c>
      <c r="L13" s="8" t="n">
        <f aca="false">IFERROR(LOOKUP(IF(K13="",G13,K13),{0,1,10,100,250,600,1200,2400},{0,0.799,0.703,0.605,0.5,0.476,0.451,0.379}),"")</f>
        <v>0.799</v>
      </c>
      <c r="M13" s="8" t="n">
        <f aca="false">IFERROR(IF(K13="",G13,K13)*L13,"")</f>
        <v>3.196</v>
      </c>
      <c r="N13" s="0" t="s">
        <v>51</v>
      </c>
      <c r="O13" s="9" t="s">
        <v>23</v>
      </c>
    </row>
    <row r="14" customFormat="false" ht="13.8" hidden="false" customHeight="false" outlineLevel="0" collapsed="false">
      <c r="A14" s="0" t="s">
        <v>52</v>
      </c>
      <c r="B14" s="0" t="s">
        <v>53</v>
      </c>
      <c r="D14" s="0" t="s">
        <v>54</v>
      </c>
      <c r="F14" s="0" t="s">
        <v>55</v>
      </c>
      <c r="G14" s="0" t="n">
        <f aca="false">BoardQty*4</f>
        <v>16</v>
      </c>
      <c r="H14" s="8" t="n">
        <f aca="true">MINA(INDIRECT(ADDRESS(ROW(),COLUMN(mouser_part_data)+2)))</f>
        <v>0.218</v>
      </c>
      <c r="I14" s="8" t="n">
        <f aca="false">IFERROR(G14*H14,"")</f>
        <v>3.488</v>
      </c>
      <c r="J14" s="0" t="n">
        <v>32953</v>
      </c>
      <c r="L14" s="8" t="n">
        <f aca="false">IFERROR(LOOKUP(IF(K14="",G14,K14),{0,1,10,100,250,500,1000,2000,4000,8000},{0,0.359,0.218,0.144,0.102,0.087,0.068,0.054,0.049,0.047}),"")</f>
        <v>0.218</v>
      </c>
      <c r="M14" s="8" t="n">
        <f aca="false">IFERROR(IF(K14="",G14,K14)*L14,"")</f>
        <v>3.488</v>
      </c>
      <c r="N14" s="0" t="s">
        <v>56</v>
      </c>
      <c r="O14" s="9" t="s">
        <v>23</v>
      </c>
    </row>
    <row r="15" customFormat="false" ht="13.8" hidden="false" customHeight="false" outlineLevel="0" collapsed="false">
      <c r="A15" s="0" t="s">
        <v>57</v>
      </c>
      <c r="B15" s="0" t="s">
        <v>58</v>
      </c>
      <c r="D15" s="0" t="s">
        <v>26</v>
      </c>
      <c r="F15" s="0" t="s">
        <v>59</v>
      </c>
      <c r="G15" s="0" t="n">
        <f aca="false">BoardQty*4</f>
        <v>16</v>
      </c>
      <c r="H15" s="8" t="n">
        <f aca="true">MINA(INDIRECT(ADDRESS(ROW(),COLUMN(mouser_part_data)+2)))</f>
        <v>0.012</v>
      </c>
      <c r="I15" s="8" t="n">
        <f aca="false">IFERROR(G15*H15,"")</f>
        <v>0.192</v>
      </c>
      <c r="J15" s="0" t="n">
        <v>118877</v>
      </c>
      <c r="L15" s="8" t="n">
        <f aca="false">IFERROR(LOOKUP(IF(K15="",G15,K15),{0,1,10,100,500,1000,5000},{0,0.1,0.012,0.008,0.006,0.003,0.002}),"")</f>
        <v>0.012</v>
      </c>
      <c r="M15" s="8" t="n">
        <f aca="false">IFERROR(IF(K15="",G15,K15)*L15,"")</f>
        <v>0.192</v>
      </c>
      <c r="N15" s="0" t="s">
        <v>60</v>
      </c>
      <c r="O15" s="9" t="s">
        <v>23</v>
      </c>
    </row>
    <row r="16" customFormat="false" ht="15" hidden="false" customHeight="false" outlineLevel="0" collapsed="false">
      <c r="A16" s="0" t="s">
        <v>61</v>
      </c>
      <c r="B16" s="0" t="s">
        <v>62</v>
      </c>
      <c r="D16" s="0" t="s">
        <v>63</v>
      </c>
      <c r="G16" s="0" t="n">
        <f aca="false">BoardQty*4</f>
        <v>16</v>
      </c>
      <c r="H16" s="8" t="n">
        <f aca="true">MINA(INDIRECT(ADDRESS(ROW(),COLUMN(mouser_part_data)+2)))</f>
        <v>0</v>
      </c>
      <c r="I16" s="8" t="n">
        <f aca="false">IFERROR(G16*H16,"")</f>
        <v>0</v>
      </c>
    </row>
    <row r="17" customFormat="false" ht="13.8" hidden="false" customHeight="false" outlineLevel="0" collapsed="false">
      <c r="A17" s="0" t="s">
        <v>64</v>
      </c>
      <c r="B17" s="0" t="s">
        <v>65</v>
      </c>
      <c r="D17" s="0" t="s">
        <v>26</v>
      </c>
      <c r="F17" s="0" t="s">
        <v>66</v>
      </c>
      <c r="G17" s="0" t="n">
        <f aca="false">BoardQty*2</f>
        <v>8</v>
      </c>
      <c r="H17" s="8" t="n">
        <f aca="true">MINA(INDIRECT(ADDRESS(ROW(),COLUMN(mouser_part_data)+2)))</f>
        <v>0.013</v>
      </c>
      <c r="I17" s="8" t="n">
        <f aca="false">IFERROR(G17*H17,"")</f>
        <v>0.104</v>
      </c>
      <c r="J17" s="0" t="n">
        <v>167981</v>
      </c>
      <c r="K17" s="0" t="n">
        <v>10</v>
      </c>
      <c r="L17" s="8" t="n">
        <f aca="false">IFERROR(LOOKUP(IF(K17="",G17,K17),{0,1,10,100,1000,5000},{0,0.14,0.013,0.005,0.004,0.002}),"")</f>
        <v>0.013</v>
      </c>
      <c r="M17" s="8" t="n">
        <f aca="false">IFERROR(IF(K17="",G17,K17)*L17,"")</f>
        <v>0.13</v>
      </c>
      <c r="N17" s="0" t="s">
        <v>67</v>
      </c>
      <c r="O17" s="9" t="s">
        <v>23</v>
      </c>
    </row>
    <row r="18" customFormat="false" ht="13.8" hidden="false" customHeight="false" outlineLevel="0" collapsed="false">
      <c r="A18" s="0" t="s">
        <v>68</v>
      </c>
      <c r="B18" s="0" t="s">
        <v>69</v>
      </c>
      <c r="D18" s="0" t="s">
        <v>70</v>
      </c>
      <c r="F18" s="0" t="s">
        <v>71</v>
      </c>
      <c r="G18" s="0" t="n">
        <f aca="false">BoardQty*1</f>
        <v>4</v>
      </c>
      <c r="H18" s="8" t="n">
        <f aca="true">MINA(INDIRECT(ADDRESS(ROW(),COLUMN(mouser_part_data)+2)))</f>
        <v>1.98</v>
      </c>
      <c r="I18" s="8" t="n">
        <f aca="false">IFERROR(G18*H18,"")</f>
        <v>7.92</v>
      </c>
      <c r="J18" s="0" t="n">
        <v>935</v>
      </c>
      <c r="L18" s="8" t="n">
        <f aca="false">IFERROR(LOOKUP(IF(K18="",G18,K18),{0,1,10,100,250,500,1000,2000,5000},{0,1.98,1.74,1.58,1.38,1.34,1.14,1.07,1.03}),"")</f>
        <v>1.98</v>
      </c>
      <c r="M18" s="8" t="n">
        <f aca="false">IFERROR(IF(K18="",G18,K18)*L18,"")</f>
        <v>7.92</v>
      </c>
      <c r="N18" s="0" t="s">
        <v>72</v>
      </c>
      <c r="O18" s="9" t="s">
        <v>23</v>
      </c>
    </row>
    <row r="19" customFormat="false" ht="13.8" hidden="false" customHeight="false" outlineLevel="0" collapsed="false">
      <c r="A19" s="0" t="s">
        <v>73</v>
      </c>
      <c r="B19" s="0" t="s">
        <v>74</v>
      </c>
      <c r="D19" s="0" t="s">
        <v>26</v>
      </c>
      <c r="F19" s="0" t="s">
        <v>75</v>
      </c>
      <c r="G19" s="0" t="n">
        <f aca="false">BoardQty*2</f>
        <v>8</v>
      </c>
      <c r="H19" s="8" t="n">
        <f aca="true">MINA(INDIRECT(ADDRESS(ROW(),COLUMN(mouser_part_data)+2)))</f>
        <v>0.075</v>
      </c>
      <c r="I19" s="8" t="n">
        <f aca="false">IFERROR(G19*H19,"")</f>
        <v>0.6</v>
      </c>
      <c r="J19" s="0" t="n">
        <v>75638</v>
      </c>
      <c r="K19" s="0" t="n">
        <v>10</v>
      </c>
      <c r="L19" s="8" t="n">
        <f aca="false">IFERROR(LOOKUP(IF(K19="",G19,K19),{0,1,10,100,500,1000,2500,5000,10000},{0,0.14,0.075,0.051,0.046,0.038,0.037,0.036,0.031}),"")</f>
        <v>0.075</v>
      </c>
      <c r="M19" s="8" t="n">
        <f aca="false">IFERROR(IF(K19="",G19,K19)*L19,"")</f>
        <v>0.75</v>
      </c>
      <c r="N19" s="0" t="s">
        <v>76</v>
      </c>
      <c r="O19" s="9" t="s">
        <v>23</v>
      </c>
    </row>
    <row r="20" customFormat="false" ht="15" hidden="false" customHeight="false" outlineLevel="0" collapsed="false">
      <c r="A20" s="0" t="s">
        <v>77</v>
      </c>
      <c r="B20" s="0" t="s">
        <v>78</v>
      </c>
      <c r="D20" s="0" t="s">
        <v>79</v>
      </c>
      <c r="G20" s="0" t="n">
        <f aca="false">BoardQty*1</f>
        <v>4</v>
      </c>
      <c r="H20" s="8" t="n">
        <f aca="true">MINA(INDIRECT(ADDRESS(ROW(),COLUMN(mouser_part_data)+2)))</f>
        <v>0</v>
      </c>
      <c r="I20" s="8" t="n">
        <f aca="false">IFERROR(G20*H20,"")</f>
        <v>0</v>
      </c>
    </row>
    <row r="21" customFormat="false" ht="13.8" hidden="false" customHeight="false" outlineLevel="0" collapsed="false">
      <c r="A21" s="0" t="s">
        <v>80</v>
      </c>
      <c r="B21" s="0" t="s">
        <v>81</v>
      </c>
      <c r="D21" s="0" t="s">
        <v>82</v>
      </c>
      <c r="F21" s="0" t="s">
        <v>83</v>
      </c>
      <c r="G21" s="0" t="n">
        <f aca="false">BoardQty*2</f>
        <v>8</v>
      </c>
      <c r="H21" s="8" t="n">
        <f aca="true">MINA(INDIRECT(ADDRESS(ROW(),COLUMN(mouser_part_data)+2)))</f>
        <v>0.23</v>
      </c>
      <c r="I21" s="8" t="n">
        <f aca="false">IFERROR(G21*H21,"")</f>
        <v>1.84</v>
      </c>
      <c r="J21" s="0" t="n">
        <v>7837</v>
      </c>
      <c r="L21" s="8" t="n">
        <f aca="false">IFERROR(LOOKUP(IF(K21="",G21,K21),{0,1,25,50,100},{0,0.23,0.226,0.212,0.198}),"")</f>
        <v>0.23</v>
      </c>
      <c r="M21" s="8" t="n">
        <f aca="false">IFERROR(IF(K21="",G21,K21)*L21,"")</f>
        <v>1.84</v>
      </c>
      <c r="N21" s="0" t="s">
        <v>84</v>
      </c>
      <c r="O21" s="9" t="s">
        <v>23</v>
      </c>
    </row>
    <row r="22" customFormat="false" ht="13.8" hidden="false" customHeight="false" outlineLevel="0" collapsed="false">
      <c r="A22" s="0" t="s">
        <v>85</v>
      </c>
      <c r="B22" s="0" t="s">
        <v>86</v>
      </c>
      <c r="D22" s="0" t="s">
        <v>26</v>
      </c>
      <c r="F22" s="0" t="s">
        <v>87</v>
      </c>
      <c r="G22" s="0" t="n">
        <f aca="false">BoardQty*1</f>
        <v>4</v>
      </c>
      <c r="H22" s="8" t="n">
        <f aca="true">MINA(INDIRECT(ADDRESS(ROW(),COLUMN(mouser_part_data)+2)))</f>
        <v>0.012</v>
      </c>
      <c r="I22" s="8" t="n">
        <f aca="false">IFERROR(G22*H22,"")</f>
        <v>0.048</v>
      </c>
      <c r="J22" s="0" t="n">
        <v>741819</v>
      </c>
      <c r="K22" s="0" t="n">
        <v>10</v>
      </c>
      <c r="L22" s="8" t="n">
        <f aca="false">IFERROR(LOOKUP(IF(K22="",G22,K22),{0,1,10,100,500,1000,5000},{0,0.1,0.012,0.008,0.006,0.003,0.002}),"")</f>
        <v>0.012</v>
      </c>
      <c r="M22" s="8" t="n">
        <f aca="false">IFERROR(IF(K22="",G22,K22)*L22,"")</f>
        <v>0.12</v>
      </c>
      <c r="N22" s="0" t="s">
        <v>88</v>
      </c>
      <c r="O22" s="9" t="s">
        <v>23</v>
      </c>
    </row>
    <row r="23" customFormat="false" ht="15" hidden="false" customHeight="false" outlineLevel="0" collapsed="false">
      <c r="A23" s="0" t="s">
        <v>89</v>
      </c>
      <c r="B23" s="0" t="s">
        <v>90</v>
      </c>
      <c r="D23" s="0" t="s">
        <v>91</v>
      </c>
      <c r="G23" s="0" t="n">
        <f aca="false">BoardQty*1</f>
        <v>4</v>
      </c>
      <c r="H23" s="8" t="n">
        <f aca="true">MINA(INDIRECT(ADDRESS(ROW(),COLUMN(mouser_part_data)+2)))</f>
        <v>0</v>
      </c>
      <c r="I23" s="8" t="n">
        <f aca="false">IFERROR(G23*H23,"")</f>
        <v>0</v>
      </c>
    </row>
    <row r="24" customFormat="false" ht="13.8" hidden="false" customHeight="false" outlineLevel="0" collapsed="false">
      <c r="A24" s="0" t="s">
        <v>92</v>
      </c>
      <c r="B24" s="0" t="s">
        <v>93</v>
      </c>
      <c r="D24" s="0" t="s">
        <v>94</v>
      </c>
      <c r="F24" s="0" t="s">
        <v>95</v>
      </c>
      <c r="G24" s="0" t="n">
        <f aca="false">BoardQty*1</f>
        <v>4</v>
      </c>
      <c r="H24" s="8" t="n">
        <f aca="true">MINA(INDIRECT(ADDRESS(ROW(),COLUMN(mouser_part_data)+2)))</f>
        <v>0.292</v>
      </c>
      <c r="I24" s="8" t="n">
        <f aca="false">IFERROR(G24*H24,"")</f>
        <v>1.168</v>
      </c>
      <c r="J24" s="0" t="n">
        <v>8761</v>
      </c>
      <c r="K24" s="0" t="n">
        <v>10</v>
      </c>
      <c r="L24" s="8" t="n">
        <f aca="false">IFERROR(LOOKUP(IF(K24="",G24,K24),{0,1,10,100,1000,3000,9000,24000,45000},{0,0.5,0.292,0.138,0.106,0.088,0.08,0.075,0.068}),"")</f>
        <v>0.292</v>
      </c>
      <c r="M24" s="8" t="n">
        <f aca="false">IFERROR(IF(K24="",G24,K24)*L24,"")</f>
        <v>2.92</v>
      </c>
      <c r="N24" s="0" t="s">
        <v>96</v>
      </c>
      <c r="O24" s="9" t="s">
        <v>23</v>
      </c>
    </row>
    <row r="26" customFormat="false" ht="15" hidden="false" customHeight="false" outlineLevel="0" collapsed="false">
      <c r="K26" s="0" t="str">
        <f aca="false" t="array" ref="K26:K26">IFERROR(CONCATENATE((INDEX($N$7:$N$24,SMALL(IF($N$7:$N$24&lt;&gt;"",IF($K$7:$K$24&lt;&gt;"",ROW($K$7:$K$24)-MIN(ROW($K$7:$K$24))+1,""),""),ROW()-ROW(A$26)+1)))," "),"")</f>
        <v>81-GRM39C220J50 </v>
      </c>
      <c r="L26" s="0" t="str">
        <f aca="false" t="array" ref="L26:L26">IFERROR(CONCATENATE(TEXT(INDEX($K$7:$K$24,SMALL(IF($N$7:$N$24&lt;&gt;"",IF($K$7:$K$24&lt;&gt;"",ROW($K$7:$K$24)-MIN(ROW($K$7:$K$24))+1,""),""),ROW()-ROW(A$26)+1)),"##0")," "),"")</f>
        <v>10 </v>
      </c>
      <c r="M26" s="0" t="str">
        <f aca="false" t="array" ref="M26:M26">IFERROR(CONCATENATE((INDEX($A$7:$A$24,SMALL(IF($N$7:$N$24&lt;&gt;"",IF($K$7:$K$24&lt;&gt;"",ROW($K$7:$K$24)-MIN(ROW($K$7:$K$24))+1,""),""),ROW()-ROW(A$26)+1))),),"")</f>
        <v>C2,C3</v>
      </c>
    </row>
    <row r="27" customFormat="false" ht="15" hidden="false" customHeight="false" outlineLevel="0" collapsed="false">
      <c r="K27" s="0" t="str">
        <f aca="false" t="array" ref="K27:K27">IFERROR(CONCATENATE((INDEX($N$7:$N$24,SMALL(IF($N$7:$N$24&lt;&gt;"",IF($K$7:$K$24&lt;&gt;"",ROW($K$7:$K$24)-MIN(ROW($K$7:$K$24))+1,""),""),ROW()-ROW(A$26)+1)))," "),"")</f>
        <v>81-GRM188R61C225KE15 </v>
      </c>
      <c r="L27" s="0" t="str">
        <f aca="false" t="array" ref="L27:L27">IFERROR(CONCATENATE(TEXT(INDEX($K$7:$K$24,SMALL(IF($N$7:$N$24&lt;&gt;"",IF($K$7:$K$24&lt;&gt;"",ROW($K$7:$K$24)-MIN(ROW($K$7:$K$24))+1,""),""),ROW()-ROW(A$26)+1)),"##0")," "),"")</f>
        <v>10 </v>
      </c>
      <c r="M27" s="0" t="str">
        <f aca="false" t="array" ref="M27:M27">IFERROR(CONCATENATE((INDEX($A$7:$A$24,SMALL(IF($N$7:$N$24&lt;&gt;"",IF($K$7:$K$24&lt;&gt;"",ROW($K$7:$K$24)-MIN(ROW($K$7:$K$24))+1,""),""),ROW()-ROW(A$26)+1))),),"")</f>
        <v>C6</v>
      </c>
    </row>
    <row r="28" customFormat="false" ht="15" hidden="false" customHeight="false" outlineLevel="0" collapsed="false">
      <c r="K28" s="0" t="str">
        <f aca="false" t="array" ref="K28:K28">IFERROR(CONCATENATE((INDEX($N$7:$N$24,SMALL(IF($N$7:$N$24&lt;&gt;"",IF($K$7:$K$24&lt;&gt;"",ROW($K$7:$K$24)-MIN(ROW($K$7:$K$24))+1,""),""),ROW()-ROW(A$26)+1)))," "),"")</f>
        <v>667-ERJ-3GEY0R00V </v>
      </c>
      <c r="L28" s="0" t="str">
        <f aca="false" t="array" ref="L28:L28">IFERROR(CONCATENATE(TEXT(INDEX($K$7:$K$24,SMALL(IF($N$7:$N$24&lt;&gt;"",IF($K$7:$K$24&lt;&gt;"",ROW($K$7:$K$24)-MIN(ROW($K$7:$K$24))+1,""),""),ROW()-ROW(A$26)+1)),"##0")," "),"")</f>
        <v>10 </v>
      </c>
      <c r="M28" s="0" t="str">
        <f aca="false" t="array" ref="M28:M28">IFERROR(CONCATENATE((INDEX($A$7:$A$24,SMALL(IF($N$7:$N$24&lt;&gt;"",IF($K$7:$K$24&lt;&gt;"",ROW($K$7:$K$24)-MIN(ROW($K$7:$K$24))+1,""),""),ROW()-ROW(A$26)+1))),),"")</f>
        <v>R7</v>
      </c>
    </row>
    <row r="29" customFormat="false" ht="15" hidden="false" customHeight="false" outlineLevel="0" collapsed="false">
      <c r="K29" s="0" t="str">
        <f aca="false" t="array" ref="K29:K29">IFERROR(CONCATENATE((INDEX($N$7:$N$24,SMALL(IF($N$7:$N$24&lt;&gt;"",IF($K$7:$K$24&lt;&gt;"",ROW($K$7:$K$24)-MIN(ROW($K$7:$K$24))+1,""),""),ROW()-ROW(A$26)+1)))," "),"")</f>
        <v>667-ERJ-3GEYJ330V </v>
      </c>
      <c r="L29" s="0" t="str">
        <f aca="false" t="array" ref="L29:L29">IFERROR(CONCATENATE(TEXT(INDEX($K$7:$K$24,SMALL(IF($N$7:$N$24&lt;&gt;"",IF($K$7:$K$24&lt;&gt;"",ROW($K$7:$K$24)-MIN(ROW($K$7:$K$24))+1,""),""),ROW()-ROW(A$26)+1)),"##0")," "),"")</f>
        <v>10 </v>
      </c>
      <c r="M29" s="0" t="str">
        <f aca="false" t="array" ref="M29:M29">IFERROR(CONCATENATE((INDEX($A$7:$A$24,SMALL(IF($N$7:$N$24&lt;&gt;"",IF($K$7:$K$24&lt;&gt;"",ROW($K$7:$K$24)-MIN(ROW($K$7:$K$24))+1,""),""),ROW()-ROW(A$26)+1))),),"")</f>
        <v>R5,R6</v>
      </c>
    </row>
    <row r="30" customFormat="false" ht="15" hidden="false" customHeight="false" outlineLevel="0" collapsed="false">
      <c r="K30" s="0" t="str">
        <f aca="false" t="array" ref="K30:K30">IFERROR(CONCATENATE((INDEX($N$7:$N$24,SMALL(IF($N$7:$N$24&lt;&gt;"",IF($K$7:$K$24&lt;&gt;"",ROW($K$7:$K$24)-MIN(ROW($K$7:$K$24))+1,""),""),ROW()-ROW(A$26)+1)))," "),"")</f>
        <v>81-BLM18SG331TN1D </v>
      </c>
      <c r="L30" s="0" t="str">
        <f aca="false" t="array" ref="L30:L30">IFERROR(CONCATENATE(TEXT(INDEX($K$7:$K$24,SMALL(IF($N$7:$N$24&lt;&gt;"",IF($K$7:$K$24&lt;&gt;"",ROW($K$7:$K$24)-MIN(ROW($K$7:$K$24))+1,""),""),ROW()-ROW(A$26)+1)),"##0")," "),"")</f>
        <v>10 </v>
      </c>
      <c r="M30" s="0" t="str">
        <f aca="false" t="array" ref="M30:M30">IFERROR(CONCATENATE((INDEX($A$7:$A$24,SMALL(IF($N$7:$N$24&lt;&gt;"",IF($K$7:$K$24&lt;&gt;"",ROW($K$7:$K$24)-MIN(ROW($K$7:$K$24))+1,""),""),ROW()-ROW(A$26)+1))),),"")</f>
        <v>L1,L2</v>
      </c>
    </row>
    <row r="31" customFormat="false" ht="15" hidden="false" customHeight="false" outlineLevel="0" collapsed="false">
      <c r="K31" s="0" t="str">
        <f aca="false" t="array" ref="K31:K31">IFERROR(CONCATENATE((INDEX($N$7:$N$24,SMALL(IF($N$7:$N$24&lt;&gt;"",IF($K$7:$K$24&lt;&gt;"",ROW($K$7:$K$24)-MIN(ROW($K$7:$K$24))+1,""),""),ROW()-ROW(A$26)+1)))," "),"")</f>
        <v>667-ERJ-3GEYJ103V </v>
      </c>
      <c r="L31" s="0" t="str">
        <f aca="false" t="array" ref="L31:L31">IFERROR(CONCATENATE(TEXT(INDEX($K$7:$K$24,SMALL(IF($N$7:$N$24&lt;&gt;"",IF($K$7:$K$24&lt;&gt;"",ROW($K$7:$K$24)-MIN(ROW($K$7:$K$24))+1,""),""),ROW()-ROW(A$26)+1)),"##0")," "),"")</f>
        <v>10 </v>
      </c>
      <c r="M31" s="0" t="str">
        <f aca="false" t="array" ref="M31:M31">IFERROR(CONCATENATE((INDEX($A$7:$A$24,SMALL(IF($N$7:$N$24&lt;&gt;"",IF($K$7:$K$24&lt;&gt;"",ROW($K$7:$K$24)-MIN(ROW($K$7:$K$24))+1,""),""),ROW()-ROW(A$26)+1))),),"")</f>
        <v>R8</v>
      </c>
    </row>
    <row r="32" customFormat="false" ht="15" hidden="false" customHeight="false" outlineLevel="0" collapsed="false">
      <c r="K32" s="0" t="str">
        <f aca="false" t="array" ref="K32:K32">IFERROR(CONCATENATE((INDEX($N$7:$N$24,SMALL(IF($N$7:$N$24&lt;&gt;"",IF($K$7:$K$24&lt;&gt;"",ROW($K$7:$K$24)-MIN(ROW($K$7:$K$24))+1,""),""),ROW()-ROW(A$26)+1)))," "),"")</f>
        <v>78-GSOT05C-G3-08 </v>
      </c>
      <c r="L32" s="0" t="str">
        <f aca="false" t="array" ref="L32:L32">IFERROR(CONCATENATE(TEXT(INDEX($K$7:$K$24,SMALL(IF($N$7:$N$24&lt;&gt;"",IF($K$7:$K$24&lt;&gt;"",ROW($K$7:$K$24)-MIN(ROW($K$7:$K$24))+1,""),""),ROW()-ROW(A$26)+1)),"##0")," "),"")</f>
        <v>10 </v>
      </c>
      <c r="M32" s="0" t="str">
        <f aca="false" t="array" ref="M32:M32">IFERROR(CONCATENATE((INDEX($A$7:$A$24,SMALL(IF($N$7:$N$24&lt;&gt;"",IF($K$7:$K$24&lt;&gt;"",ROW($K$7:$K$24)-MIN(ROW($K$7:$K$24))+1,""),""),ROW()-ROW(A$26)+1))),),"")</f>
        <v>D5</v>
      </c>
    </row>
    <row r="33" customFormat="false" ht="15" hidden="false" customHeight="false" outlineLevel="0" collapsed="false">
      <c r="K33" s="0" t="str">
        <f aca="false" t="array" ref="K33:K33">IFERROR(CONCATENATE((INDEX($N$7:$N$24,SMALL(IF($N$7:$N$24&lt;&gt;"",IF($K$7:$K$24&lt;&gt;"",ROW($K$7:$K$24)-MIN(ROW($K$7:$K$24))+1,""),""),ROW()-ROW(A$26)+1)))," "),"")</f>
        <v/>
      </c>
      <c r="L33" s="0" t="str">
        <f aca="false" t="array" ref="L33:L33">IFERROR(CONCATENATE(TEXT(INDEX($K$7:$K$24,SMALL(IF($N$7:$N$24&lt;&gt;"",IF($K$7:$K$24&lt;&gt;"",ROW($K$7:$K$24)-MIN(ROW($K$7:$K$24))+1,""),""),ROW()-ROW(A$26)+1)),"##0")," "),"")</f>
        <v/>
      </c>
      <c r="M33" s="0" t="str">
        <f aca="false" t="array" ref="M33:M33">IFERROR(CONCATENATE((INDEX($A$7:$A$24,SMALL(IF($N$7:$N$24&lt;&gt;"",IF($K$7:$K$24&lt;&gt;"",ROW($K$7:$K$24)-MIN(ROW($K$7:$K$24))+1,""),""),ROW()-ROW(A$26)+1))),),"")</f>
        <v/>
      </c>
    </row>
    <row r="34" customFormat="false" ht="15" hidden="false" customHeight="false" outlineLevel="0" collapsed="false">
      <c r="K34" s="0" t="str">
        <f aca="false" t="array" ref="K34:K34">IFERROR(CONCATENATE((INDEX($N$7:$N$24,SMALL(IF($N$7:$N$24&lt;&gt;"",IF($K$7:$K$24&lt;&gt;"",ROW($K$7:$K$24)-MIN(ROW($K$7:$K$24))+1,""),""),ROW()-ROW(A$26)+1)))," "),"")</f>
        <v/>
      </c>
      <c r="L34" s="0" t="str">
        <f aca="false" t="array" ref="L34:L34">IFERROR(CONCATENATE(TEXT(INDEX($K$7:$K$24,SMALL(IF($N$7:$N$24&lt;&gt;"",IF($K$7:$K$24&lt;&gt;"",ROW($K$7:$K$24)-MIN(ROW($K$7:$K$24))+1,""),""),ROW()-ROW(A$26)+1)),"##0")," "),"")</f>
        <v/>
      </c>
      <c r="M34" s="0" t="str">
        <f aca="false" t="array" ref="M34:M34">IFERROR(CONCATENATE((INDEX($A$7:$A$24,SMALL(IF($N$7:$N$24&lt;&gt;"",IF($K$7:$K$24&lt;&gt;"",ROW($K$7:$K$24)-MIN(ROW($K$7:$K$24))+1,""),""),ROW()-ROW(A$26)+1))),),"")</f>
        <v/>
      </c>
    </row>
    <row r="35" customFormat="false" ht="15" hidden="false" customHeight="false" outlineLevel="0" collapsed="false">
      <c r="K35" s="0" t="str">
        <f aca="false" t="array" ref="K35:K35">IFERROR(CONCATENATE((INDEX($N$7:$N$24,SMALL(IF($N$7:$N$24&lt;&gt;"",IF($K$7:$K$24&lt;&gt;"",ROW($K$7:$K$24)-MIN(ROW($K$7:$K$24))+1,""),""),ROW()-ROW(A$26)+1)))," "),"")</f>
        <v/>
      </c>
      <c r="L35" s="0" t="str">
        <f aca="false" t="array" ref="L35:L35">IFERROR(CONCATENATE(TEXT(INDEX($K$7:$K$24,SMALL(IF($N$7:$N$24&lt;&gt;"",IF($K$7:$K$24&lt;&gt;"",ROW($K$7:$K$24)-MIN(ROW($K$7:$K$24))+1,""),""),ROW()-ROW(A$26)+1)),"##0")," "),"")</f>
        <v/>
      </c>
      <c r="M35" s="0" t="str">
        <f aca="false" t="array" ref="M35:M35">IFERROR(CONCATENATE((INDEX($A$7:$A$24,SMALL(IF($N$7:$N$24&lt;&gt;"",IF($K$7:$K$24&lt;&gt;"",ROW($K$7:$K$24)-MIN(ROW($K$7:$K$24))+1,""),""),ROW()-ROW(A$26)+1))),),"")</f>
        <v/>
      </c>
    </row>
    <row r="36" customFormat="false" ht="15" hidden="false" customHeight="false" outlineLevel="0" collapsed="false">
      <c r="K36" s="0" t="str">
        <f aca="false" t="array" ref="K36:K36">IFERROR(CONCATENATE((INDEX($N$7:$N$24,SMALL(IF($N$7:$N$24&lt;&gt;"",IF($K$7:$K$24&lt;&gt;"",ROW($K$7:$K$24)-MIN(ROW($K$7:$K$24))+1,""),""),ROW()-ROW(A$26)+1)))," "),"")</f>
        <v/>
      </c>
      <c r="L36" s="0" t="str">
        <f aca="false" t="array" ref="L36:L36">IFERROR(CONCATENATE(TEXT(INDEX($K$7:$K$24,SMALL(IF($N$7:$N$24&lt;&gt;"",IF($K$7:$K$24&lt;&gt;"",ROW($K$7:$K$24)-MIN(ROW($K$7:$K$24))+1,""),""),ROW()-ROW(A$26)+1)),"##0")," "),"")</f>
        <v/>
      </c>
      <c r="M36" s="0" t="str">
        <f aca="false" t="array" ref="M36:M36">IFERROR(CONCATENATE((INDEX($A$7:$A$24,SMALL(IF($N$7:$N$24&lt;&gt;"",IF($K$7:$K$24&lt;&gt;"",ROW($K$7:$K$24)-MIN(ROW($K$7:$K$24))+1,""),""),ROW()-ROW(A$26)+1))),),"")</f>
        <v/>
      </c>
    </row>
    <row r="37" customFormat="false" ht="15" hidden="false" customHeight="false" outlineLevel="0" collapsed="false">
      <c r="K37" s="0" t="str">
        <f aca="false" t="array" ref="K37:K37">IFERROR(CONCATENATE((INDEX($N$7:$N$24,SMALL(IF($N$7:$N$24&lt;&gt;"",IF($K$7:$K$24&lt;&gt;"",ROW($K$7:$K$24)-MIN(ROW($K$7:$K$24))+1,""),""),ROW()-ROW(A$26)+1)))," "),"")</f>
        <v/>
      </c>
      <c r="L37" s="0" t="str">
        <f aca="false" t="array" ref="L37:L37">IFERROR(CONCATENATE(TEXT(INDEX($K$7:$K$24,SMALL(IF($N$7:$N$24&lt;&gt;"",IF($K$7:$K$24&lt;&gt;"",ROW($K$7:$K$24)-MIN(ROW($K$7:$K$24))+1,""),""),ROW()-ROW(A$26)+1)),"##0")," "),"")</f>
        <v/>
      </c>
      <c r="M37" s="0" t="str">
        <f aca="false" t="array" ref="M37:M37">IFERROR(CONCATENATE((INDEX($A$7:$A$24,SMALL(IF($N$7:$N$24&lt;&gt;"",IF($K$7:$K$24&lt;&gt;"",ROW($K$7:$K$24)-MIN(ROW($K$7:$K$24))+1,""),""),ROW()-ROW(A$26)+1))),),"")</f>
        <v/>
      </c>
    </row>
    <row r="38" customFormat="false" ht="15" hidden="false" customHeight="false" outlineLevel="0" collapsed="false">
      <c r="K38" s="0" t="str">
        <f aca="false" t="array" ref="K38:K38">IFERROR(CONCATENATE((INDEX($N$7:$N$24,SMALL(IF($N$7:$N$24&lt;&gt;"",IF($K$7:$K$24&lt;&gt;"",ROW($K$7:$K$24)-MIN(ROW($K$7:$K$24))+1,""),""),ROW()-ROW(A$26)+1)))," "),"")</f>
        <v/>
      </c>
      <c r="L38" s="0" t="str">
        <f aca="false" t="array" ref="L38:L38">IFERROR(CONCATENATE(TEXT(INDEX($K$7:$K$24,SMALL(IF($N$7:$N$24&lt;&gt;"",IF($K$7:$K$24&lt;&gt;"",ROW($K$7:$K$24)-MIN(ROW($K$7:$K$24))+1,""),""),ROW()-ROW(A$26)+1)),"##0")," "),"")</f>
        <v/>
      </c>
      <c r="M38" s="0" t="str">
        <f aca="false" t="array" ref="M38:M38">IFERROR(CONCATENATE((INDEX($A$7:$A$24,SMALL(IF($N$7:$N$24&lt;&gt;"",IF($K$7:$K$24&lt;&gt;"",ROW($K$7:$K$24)-MIN(ROW($K$7:$K$24))+1,""),""),ROW()-ROW(A$26)+1))),),"")</f>
        <v/>
      </c>
    </row>
    <row r="39" customFormat="false" ht="15" hidden="false" customHeight="false" outlineLevel="0" collapsed="false">
      <c r="K39" s="0" t="str">
        <f aca="false" t="array" ref="K39:K39">IFERROR(CONCATENATE((INDEX($N$7:$N$24,SMALL(IF($N$7:$N$24&lt;&gt;"",IF($K$7:$K$24&lt;&gt;"",ROW($K$7:$K$24)-MIN(ROW($K$7:$K$24))+1,""),""),ROW()-ROW(A$26)+1)))," "),"")</f>
        <v/>
      </c>
      <c r="L39" s="0" t="str">
        <f aca="false" t="array" ref="L39:L39">IFERROR(CONCATENATE(TEXT(INDEX($K$7:$K$24,SMALL(IF($N$7:$N$24&lt;&gt;"",IF($K$7:$K$24&lt;&gt;"",ROW($K$7:$K$24)-MIN(ROW($K$7:$K$24))+1,""),""),ROW()-ROW(A$26)+1)),"##0")," "),"")</f>
        <v/>
      </c>
      <c r="M39" s="0" t="str">
        <f aca="false" t="array" ref="M39:M39">IFERROR(CONCATENATE((INDEX($A$7:$A$24,SMALL(IF($N$7:$N$24&lt;&gt;"",IF($K$7:$K$24&lt;&gt;"",ROW($K$7:$K$24)-MIN(ROW($K$7:$K$24))+1,""),""),ROW()-ROW(A$26)+1))),),"")</f>
        <v/>
      </c>
    </row>
    <row r="40" customFormat="false" ht="15" hidden="false" customHeight="false" outlineLevel="0" collapsed="false">
      <c r="K40" s="0" t="str">
        <f aca="false" t="array" ref="K40:K40">IFERROR(CONCATENATE((INDEX($N$7:$N$24,SMALL(IF($N$7:$N$24&lt;&gt;"",IF($K$7:$K$24&lt;&gt;"",ROW($K$7:$K$24)-MIN(ROW($K$7:$K$24))+1,""),""),ROW()-ROW(A$26)+1)))," "),"")</f>
        <v/>
      </c>
      <c r="L40" s="0" t="str">
        <f aca="false" t="array" ref="L40:L40">IFERROR(CONCATENATE(TEXT(INDEX($K$7:$K$24,SMALL(IF($N$7:$N$24&lt;&gt;"",IF($K$7:$K$24&lt;&gt;"",ROW($K$7:$K$24)-MIN(ROW($K$7:$K$24))+1,""),""),ROW()-ROW(A$26)+1)),"##0")," "),"")</f>
        <v/>
      </c>
      <c r="M40" s="0" t="str">
        <f aca="false" t="array" ref="M40:M40">IFERROR(CONCATENATE((INDEX($A$7:$A$24,SMALL(IF($N$7:$N$24&lt;&gt;"",IF($K$7:$K$24&lt;&gt;"",ROW($K$7:$K$24)-MIN(ROW($K$7:$K$24))+1,""),""),ROW()-ROW(A$26)+1))),),"")</f>
        <v/>
      </c>
    </row>
    <row r="41" customFormat="false" ht="15" hidden="false" customHeight="false" outlineLevel="0" collapsed="false">
      <c r="K41" s="0" t="str">
        <f aca="false" t="array" ref="K41:K41">IFERROR(CONCATENATE((INDEX($N$7:$N$24,SMALL(IF($N$7:$N$24&lt;&gt;"",IF($K$7:$K$24&lt;&gt;"",ROW($K$7:$K$24)-MIN(ROW($K$7:$K$24))+1,""),""),ROW()-ROW(A$26)+1)))," "),"")</f>
        <v/>
      </c>
      <c r="L41" s="0" t="str">
        <f aca="false" t="array" ref="L41:L41">IFERROR(CONCATENATE(TEXT(INDEX($K$7:$K$24,SMALL(IF($N$7:$N$24&lt;&gt;"",IF($K$7:$K$24&lt;&gt;"",ROW($K$7:$K$24)-MIN(ROW($K$7:$K$24))+1,""),""),ROW()-ROW(A$26)+1)),"##0")," "),"")</f>
        <v/>
      </c>
      <c r="M41" s="0" t="str">
        <f aca="false" t="array" ref="M41:M41">IFERROR(CONCATENATE((INDEX($A$7:$A$24,SMALL(IF($N$7:$N$24&lt;&gt;"",IF($K$7:$K$24&lt;&gt;"",ROW($K$7:$K$24)-MIN(ROW($K$7:$K$24))+1,""),""),ROW()-ROW(A$26)+1))),),"")</f>
        <v/>
      </c>
    </row>
    <row r="42" customFormat="false" ht="15" hidden="false" customHeight="false" outlineLevel="0" collapsed="false">
      <c r="K42" s="0" t="str">
        <f aca="false" t="array" ref="K42:K42">IFERROR(CONCATENATE((INDEX($N$7:$N$24,SMALL(IF($N$7:$N$24&lt;&gt;"",IF($K$7:$K$24&lt;&gt;"",ROW($K$7:$K$24)-MIN(ROW($K$7:$K$24))+1,""),""),ROW()-ROW(A$26)+1)))," "),"")</f>
        <v/>
      </c>
      <c r="L42" s="0" t="str">
        <f aca="false" t="array" ref="L42:L42">IFERROR(CONCATENATE(TEXT(INDEX($K$7:$K$24,SMALL(IF($N$7:$N$24&lt;&gt;"",IF($K$7:$K$24&lt;&gt;"",ROW($K$7:$K$24)-MIN(ROW($K$7:$K$24))+1,""),""),ROW()-ROW(A$26)+1)),"##0")," "),"")</f>
        <v/>
      </c>
      <c r="M42" s="0" t="str">
        <f aca="false" t="array" ref="M42:M42">IFERROR(CONCATENATE((INDEX($A$7:$A$24,SMALL(IF($N$7:$N$24&lt;&gt;"",IF($K$7:$K$24&lt;&gt;"",ROW($K$7:$K$24)-MIN(ROW($K$7:$K$24))+1,""),""),ROW()-ROW(A$26)+1))),),"")</f>
        <v/>
      </c>
    </row>
    <row r="43" customFormat="false" ht="15" hidden="false" customHeight="false" outlineLevel="0" collapsed="false">
      <c r="K43" s="0" t="str">
        <f aca="false" t="array" ref="K43:K43">IFERROR(CONCATENATE((INDEX($N$7:$N$24,SMALL(IF($N$7:$N$24&lt;&gt;"",IF($K$7:$K$24&lt;&gt;"",ROW($K$7:$K$24)-MIN(ROW($K$7:$K$24))+1,""),""),ROW()-ROW(A$26)+1)))," "),"")</f>
        <v/>
      </c>
      <c r="L43" s="0" t="str">
        <f aca="false" t="array" ref="L43:L43">IFERROR(CONCATENATE(TEXT(INDEX($K$7:$K$24,SMALL(IF($N$7:$N$24&lt;&gt;"",IF($K$7:$K$24&lt;&gt;"",ROW($K$7:$K$24)-MIN(ROW($K$7:$K$24))+1,""),""),ROW()-ROW(A$26)+1)),"##0")," "),"")</f>
        <v/>
      </c>
      <c r="M43" s="0" t="str">
        <f aca="false" t="array" ref="M43:M43">IFERROR(CONCATENATE((INDEX($A$7:$A$24,SMALL(IF($N$7:$N$24&lt;&gt;"",IF($K$7:$K$24&lt;&gt;"",ROW($K$7:$K$24)-MIN(ROW($K$7:$K$24))+1,""),""),ROW()-ROW(A$26)+1))),),"")</f>
        <v/>
      </c>
    </row>
  </sheetData>
  <mergeCells count="2">
    <mergeCell ref="A5:I5"/>
    <mergeCell ref="J5:O5"/>
  </mergeCells>
  <conditionalFormatting sqref="L10">
    <cfRule type="cellIs" priority="2" operator="lessThanOrEqual" aboveAverage="0" equalAverage="0" bottom="0" percent="0" rank="0" text="" dxfId="0">
      <formula>H10</formula>
    </cfRule>
  </conditionalFormatting>
  <conditionalFormatting sqref="L11">
    <cfRule type="cellIs" priority="3" operator="lessThanOrEqual" aboveAverage="0" equalAverage="0" bottom="0" percent="0" rank="0" text="" dxfId="0">
      <formula>H11</formula>
    </cfRule>
  </conditionalFormatting>
  <conditionalFormatting sqref="L12">
    <cfRule type="cellIs" priority="4" operator="lessThanOrEqual" aboveAverage="0" equalAverage="0" bottom="0" percent="0" rank="0" text="" dxfId="0">
      <formula>H12</formula>
    </cfRule>
  </conditionalFormatting>
  <conditionalFormatting sqref="L13">
    <cfRule type="cellIs" priority="5" operator="lessThanOrEqual" aboveAverage="0" equalAverage="0" bottom="0" percent="0" rank="0" text="" dxfId="0">
      <formula>H13</formula>
    </cfRule>
  </conditionalFormatting>
  <conditionalFormatting sqref="L14">
    <cfRule type="cellIs" priority="6" operator="lessThanOrEqual" aboveAverage="0" equalAverage="0" bottom="0" percent="0" rank="0" text="" dxfId="0">
      <formula>H14</formula>
    </cfRule>
  </conditionalFormatting>
  <conditionalFormatting sqref="L15">
    <cfRule type="cellIs" priority="7" operator="lessThanOrEqual" aboveAverage="0" equalAverage="0" bottom="0" percent="0" rank="0" text="" dxfId="0">
      <formula>H15</formula>
    </cfRule>
  </conditionalFormatting>
  <conditionalFormatting sqref="L17">
    <cfRule type="cellIs" priority="8" operator="lessThanOrEqual" aboveAverage="0" equalAverage="0" bottom="0" percent="0" rank="0" text="" dxfId="0">
      <formula>H17</formula>
    </cfRule>
  </conditionalFormatting>
  <conditionalFormatting sqref="L18">
    <cfRule type="cellIs" priority="9" operator="lessThanOrEqual" aboveAverage="0" equalAverage="0" bottom="0" percent="0" rank="0" text="" dxfId="0">
      <formula>H18</formula>
    </cfRule>
  </conditionalFormatting>
  <conditionalFormatting sqref="L19">
    <cfRule type="cellIs" priority="10" operator="lessThanOrEqual" aboveAverage="0" equalAverage="0" bottom="0" percent="0" rank="0" text="" dxfId="0">
      <formula>H19</formula>
    </cfRule>
  </conditionalFormatting>
  <conditionalFormatting sqref="L21">
    <cfRule type="cellIs" priority="11" operator="lessThanOrEqual" aboveAverage="0" equalAverage="0" bottom="0" percent="0" rank="0" text="" dxfId="0">
      <formula>H21</formula>
    </cfRule>
  </conditionalFormatting>
  <conditionalFormatting sqref="L22">
    <cfRule type="cellIs" priority="12" operator="lessThanOrEqual" aboveAverage="0" equalAverage="0" bottom="0" percent="0" rank="0" text="" dxfId="0">
      <formula>H22</formula>
    </cfRule>
  </conditionalFormatting>
  <conditionalFormatting sqref="L24">
    <cfRule type="cellIs" priority="13" operator="lessThanOrEqual" aboveAverage="0" equalAverage="0" bottom="0" percent="0" rank="0" text="" dxfId="0">
      <formula>H24</formula>
    </cfRule>
  </conditionalFormatting>
  <conditionalFormatting sqref="L7">
    <cfRule type="cellIs" priority="14" operator="lessThanOrEqual" aboveAverage="0" equalAverage="0" bottom="0" percent="0" rank="0" text="" dxfId="0">
      <formula>H7</formula>
    </cfRule>
  </conditionalFormatting>
  <conditionalFormatting sqref="L8">
    <cfRule type="cellIs" priority="15" operator="lessThanOrEqual" aboveAverage="0" equalAverage="0" bottom="0" percent="0" rank="0" text="" dxfId="0">
      <formula>H8</formula>
    </cfRule>
  </conditionalFormatting>
  <conditionalFormatting sqref="L9">
    <cfRule type="cellIs" priority="16" operator="lessThanOrEqual" aboveAverage="0" equalAverage="0" bottom="0" percent="0" rank="0" text="" dxfId="0">
      <formula>H9</formula>
    </cfRule>
  </conditionalFormatting>
  <conditionalFormatting sqref="M10">
    <cfRule type="cellIs" priority="17" operator="lessThanOrEqual" aboveAverage="0" equalAverage="0" bottom="0" percent="0" rank="0" text="" dxfId="0">
      <formula>I10</formula>
    </cfRule>
  </conditionalFormatting>
  <conditionalFormatting sqref="M11">
    <cfRule type="cellIs" priority="18" operator="lessThanOrEqual" aboveAverage="0" equalAverage="0" bottom="0" percent="0" rank="0" text="" dxfId="0">
      <formula>I11</formula>
    </cfRule>
  </conditionalFormatting>
  <conditionalFormatting sqref="M12">
    <cfRule type="cellIs" priority="19" operator="lessThanOrEqual" aboveAverage="0" equalAverage="0" bottom="0" percent="0" rank="0" text="" dxfId="0">
      <formula>I12</formula>
    </cfRule>
  </conditionalFormatting>
  <conditionalFormatting sqref="M13">
    <cfRule type="cellIs" priority="20" operator="lessThanOrEqual" aboveAverage="0" equalAverage="0" bottom="0" percent="0" rank="0" text="" dxfId="0">
      <formula>I13</formula>
    </cfRule>
  </conditionalFormatting>
  <conditionalFormatting sqref="M14">
    <cfRule type="cellIs" priority="21" operator="lessThanOrEqual" aboveAverage="0" equalAverage="0" bottom="0" percent="0" rank="0" text="" dxfId="0">
      <formula>I14</formula>
    </cfRule>
  </conditionalFormatting>
  <conditionalFormatting sqref="M15">
    <cfRule type="cellIs" priority="22" operator="lessThanOrEqual" aboveAverage="0" equalAverage="0" bottom="0" percent="0" rank="0" text="" dxfId="0">
      <formula>I15</formula>
    </cfRule>
  </conditionalFormatting>
  <conditionalFormatting sqref="M17">
    <cfRule type="cellIs" priority="23" operator="lessThanOrEqual" aboveAverage="0" equalAverage="0" bottom="0" percent="0" rank="0" text="" dxfId="0">
      <formula>I17</formula>
    </cfRule>
  </conditionalFormatting>
  <conditionalFormatting sqref="M18">
    <cfRule type="cellIs" priority="24" operator="lessThanOrEqual" aboveAverage="0" equalAverage="0" bottom="0" percent="0" rank="0" text="" dxfId="0">
      <formula>I18</formula>
    </cfRule>
  </conditionalFormatting>
  <conditionalFormatting sqref="M19">
    <cfRule type="cellIs" priority="25" operator="lessThanOrEqual" aboveAverage="0" equalAverage="0" bottom="0" percent="0" rank="0" text="" dxfId="0">
      <formula>I19</formula>
    </cfRule>
  </conditionalFormatting>
  <conditionalFormatting sqref="M21">
    <cfRule type="cellIs" priority="26" operator="lessThanOrEqual" aboveAverage="0" equalAverage="0" bottom="0" percent="0" rank="0" text="" dxfId="0">
      <formula>I21</formula>
    </cfRule>
  </conditionalFormatting>
  <conditionalFormatting sqref="M22">
    <cfRule type="cellIs" priority="27" operator="lessThanOrEqual" aboveAverage="0" equalAverage="0" bottom="0" percent="0" rank="0" text="" dxfId="0">
      <formula>I22</formula>
    </cfRule>
  </conditionalFormatting>
  <conditionalFormatting sqref="M24">
    <cfRule type="cellIs" priority="28" operator="lessThanOrEqual" aboveAverage="0" equalAverage="0" bottom="0" percent="0" rank="0" text="" dxfId="0">
      <formula>I24</formula>
    </cfRule>
  </conditionalFormatting>
  <conditionalFormatting sqref="M7">
    <cfRule type="cellIs" priority="29" operator="lessThanOrEqual" aboveAverage="0" equalAverage="0" bottom="0" percent="0" rank="0" text="" dxfId="0">
      <formula>I7</formula>
    </cfRule>
  </conditionalFormatting>
  <conditionalFormatting sqref="M8">
    <cfRule type="cellIs" priority="30" operator="lessThanOrEqual" aboveAverage="0" equalAverage="0" bottom="0" percent="0" rank="0" text="" dxfId="0">
      <formula>I8</formula>
    </cfRule>
  </conditionalFormatting>
  <conditionalFormatting sqref="M9">
    <cfRule type="cellIs" priority="31" operator="lessThanOrEqual" aboveAverage="0" equalAverage="0" bottom="0" percent="0" rank="0" text="" dxfId="0">
      <formula>I9</formula>
    </cfRule>
  </conditionalFormatting>
  <hyperlinks>
    <hyperlink ref="O7" r:id="rId2" display="Link"/>
    <hyperlink ref="O8" r:id="rId3" display="Link"/>
    <hyperlink ref="O9" r:id="rId4" display="Link"/>
    <hyperlink ref="O10" r:id="rId5" display="Link"/>
    <hyperlink ref="O11" r:id="rId6" display="Link"/>
    <hyperlink ref="O12" r:id="rId7" display="Link"/>
    <hyperlink ref="O13" r:id="rId8" display="Link"/>
    <hyperlink ref="O14" r:id="rId9" display="Link"/>
    <hyperlink ref="O15" r:id="rId10" display="Link"/>
    <hyperlink ref="O17" r:id="rId11" display="Link"/>
    <hyperlink ref="O18" r:id="rId12" display="Link"/>
    <hyperlink ref="O19" r:id="rId13" display="Link"/>
    <hyperlink ref="O21" r:id="rId14" display="Link"/>
    <hyperlink ref="O22" r:id="rId15" display="Link"/>
    <hyperlink ref="O24" r:id="rId16" display="Lin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LibreOffice/5.3.0.3$Linux_X86_64 LibreOffice_project/30m0$Build-3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2017-03-19T16:43:50Z</dcterms:created>
  <dc:creator/>
  <dc:description/>
  <dc:language>en-US</dc:language>
  <cp:lastModifiedBy/>
  <dcterms:modified xsi:type="dcterms:W3CDTF">2017-03-19T12:57:22Z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