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yeongjun Cho\Desktop\2020-1\데이터언론학\dataset\"/>
    </mc:Choice>
  </mc:AlternateContent>
  <xr:revisionPtr revIDLastSave="0" documentId="13_ncr:1_{F4C10E35-483B-4FB6-B3D0-6B372A9A9968}" xr6:coauthVersionLast="44" xr6:coauthVersionMax="44" xr10:uidLastSave="{00000000-0000-0000-0000-000000000000}"/>
  <bookViews>
    <workbookView xWindow="2904" yWindow="528" windowWidth="15036" windowHeight="11004" activeTab="1" xr2:uid="{00000000-000D-0000-FFFF-FFFF00000000}"/>
  </bookViews>
  <sheets>
    <sheet name="rlmeter" sheetId="1" r:id="rId1"/>
    <sheet name="gall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C104" i="2"/>
  <c r="B104" i="2"/>
  <c r="H103" i="2"/>
  <c r="G103" i="2"/>
  <c r="F103" i="2"/>
  <c r="E103" i="2"/>
  <c r="D103" i="2"/>
  <c r="C103" i="2"/>
  <c r="B103" i="2"/>
  <c r="H102" i="2"/>
  <c r="G102" i="2"/>
  <c r="F102" i="2"/>
  <c r="E102" i="2"/>
  <c r="D102" i="2"/>
  <c r="C102" i="2"/>
  <c r="B102" i="2"/>
  <c r="C101" i="2"/>
  <c r="B101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H95" i="2"/>
  <c r="G95" i="2"/>
  <c r="F95" i="2"/>
  <c r="E95" i="2"/>
  <c r="D95" i="2"/>
  <c r="C95" i="2"/>
  <c r="B95" i="2"/>
  <c r="A95" i="2"/>
  <c r="H94" i="2"/>
  <c r="G94" i="2"/>
  <c r="F94" i="2"/>
  <c r="E94" i="2"/>
  <c r="D94" i="2"/>
  <c r="C94" i="2"/>
  <c r="B94" i="2"/>
  <c r="A94" i="2"/>
  <c r="H93" i="2"/>
  <c r="G93" i="2"/>
  <c r="F93" i="2"/>
  <c r="E93" i="2"/>
  <c r="D93" i="2"/>
  <c r="C93" i="2"/>
  <c r="B93" i="2"/>
  <c r="A93" i="2"/>
  <c r="H92" i="2"/>
  <c r="G92" i="2"/>
  <c r="F92" i="2"/>
  <c r="E92" i="2"/>
  <c r="D92" i="2"/>
  <c r="C92" i="2"/>
  <c r="B92" i="2"/>
  <c r="A92" i="2"/>
  <c r="H91" i="2"/>
  <c r="G91" i="2"/>
  <c r="F91" i="2"/>
  <c r="E91" i="2"/>
  <c r="D91" i="2"/>
  <c r="C91" i="2"/>
  <c r="B91" i="2"/>
  <c r="A91" i="2"/>
  <c r="H90" i="2"/>
  <c r="G90" i="2"/>
  <c r="F90" i="2"/>
  <c r="E90" i="2"/>
  <c r="D90" i="2"/>
  <c r="C90" i="2"/>
  <c r="B90" i="2"/>
  <c r="A90" i="2"/>
  <c r="H89" i="2"/>
  <c r="G89" i="2"/>
  <c r="F89" i="2"/>
  <c r="E89" i="2"/>
  <c r="D89" i="2"/>
  <c r="C89" i="2"/>
  <c r="B89" i="2"/>
  <c r="A89" i="2"/>
  <c r="H88" i="2"/>
  <c r="G88" i="2"/>
  <c r="F88" i="2"/>
  <c r="E88" i="2"/>
  <c r="D88" i="2"/>
  <c r="C88" i="2"/>
  <c r="B88" i="2"/>
  <c r="A88" i="2"/>
  <c r="H87" i="2"/>
  <c r="G87" i="2"/>
  <c r="F87" i="2"/>
  <c r="E87" i="2"/>
  <c r="D87" i="2"/>
  <c r="C87" i="2"/>
  <c r="B87" i="2"/>
  <c r="A87" i="2"/>
  <c r="H86" i="2"/>
  <c r="G86" i="2"/>
  <c r="F86" i="2"/>
  <c r="E86" i="2"/>
  <c r="D86" i="2"/>
  <c r="C86" i="2"/>
  <c r="B86" i="2"/>
  <c r="A86" i="2"/>
  <c r="C85" i="2"/>
  <c r="B85" i="2"/>
  <c r="A85" i="2"/>
  <c r="H84" i="2"/>
  <c r="G84" i="2"/>
  <c r="F84" i="2"/>
  <c r="E84" i="2"/>
  <c r="D84" i="2"/>
  <c r="C84" i="2"/>
  <c r="B84" i="2"/>
  <c r="A84" i="2"/>
  <c r="H83" i="2"/>
  <c r="G83" i="2"/>
  <c r="F83" i="2"/>
  <c r="E83" i="2"/>
  <c r="D83" i="2"/>
  <c r="C83" i="2"/>
  <c r="B83" i="2"/>
  <c r="A83" i="2"/>
  <c r="H82" i="2"/>
  <c r="G82" i="2"/>
  <c r="F82" i="2"/>
  <c r="E82" i="2"/>
  <c r="D82" i="2"/>
  <c r="C82" i="2"/>
  <c r="B82" i="2"/>
  <c r="A82" i="2"/>
  <c r="C81" i="2"/>
  <c r="B81" i="2"/>
  <c r="A81" i="2"/>
  <c r="H80" i="2"/>
  <c r="G80" i="2"/>
  <c r="F80" i="2"/>
  <c r="E80" i="2"/>
  <c r="D80" i="2"/>
  <c r="C80" i="2"/>
  <c r="B80" i="2"/>
  <c r="A80" i="2"/>
  <c r="H79" i="2"/>
  <c r="G79" i="2"/>
  <c r="F79" i="2"/>
  <c r="E79" i="2"/>
  <c r="D79" i="2"/>
  <c r="C79" i="2"/>
  <c r="B79" i="2"/>
  <c r="A79" i="2"/>
  <c r="H78" i="2"/>
  <c r="G78" i="2"/>
  <c r="F78" i="2"/>
  <c r="E78" i="2"/>
  <c r="D78" i="2"/>
  <c r="C78" i="2"/>
  <c r="B78" i="2"/>
  <c r="A78" i="2"/>
  <c r="H77" i="2"/>
  <c r="G77" i="2"/>
  <c r="F77" i="2"/>
  <c r="E77" i="2"/>
  <c r="D77" i="2"/>
  <c r="C77" i="2"/>
  <c r="B77" i="2"/>
  <c r="A77" i="2"/>
  <c r="H76" i="2"/>
  <c r="G76" i="2"/>
  <c r="F76" i="2"/>
  <c r="E76" i="2"/>
  <c r="D76" i="2"/>
  <c r="C76" i="2"/>
  <c r="B76" i="2"/>
  <c r="A76" i="2"/>
  <c r="H75" i="2"/>
  <c r="G75" i="2"/>
  <c r="F75" i="2"/>
  <c r="E75" i="2"/>
  <c r="D75" i="2"/>
  <c r="C75" i="2"/>
  <c r="B75" i="2"/>
  <c r="A75" i="2"/>
  <c r="H74" i="2"/>
  <c r="G74" i="2"/>
  <c r="F74" i="2"/>
  <c r="E74" i="2"/>
  <c r="D74" i="2"/>
  <c r="C74" i="2"/>
  <c r="B74" i="2"/>
  <c r="A74" i="2"/>
  <c r="H73" i="2"/>
  <c r="G73" i="2"/>
  <c r="F73" i="2"/>
  <c r="E73" i="2"/>
  <c r="D73" i="2"/>
  <c r="C73" i="2"/>
  <c r="B73" i="2"/>
  <c r="A73" i="2"/>
  <c r="H72" i="2"/>
  <c r="G72" i="2"/>
  <c r="F72" i="2"/>
  <c r="E72" i="2"/>
  <c r="D72" i="2"/>
  <c r="C72" i="2"/>
  <c r="B72" i="2"/>
  <c r="A72" i="2"/>
  <c r="H71" i="2"/>
  <c r="G71" i="2"/>
  <c r="F71" i="2"/>
  <c r="E71" i="2"/>
  <c r="D71" i="2"/>
  <c r="C71" i="2"/>
  <c r="B71" i="2"/>
  <c r="A71" i="2"/>
  <c r="H70" i="2"/>
  <c r="G70" i="2"/>
  <c r="F70" i="2"/>
  <c r="E70" i="2"/>
  <c r="D70" i="2"/>
  <c r="C70" i="2"/>
  <c r="B70" i="2"/>
  <c r="A70" i="2"/>
  <c r="H69" i="2"/>
  <c r="G69" i="2"/>
  <c r="F69" i="2"/>
  <c r="E69" i="2"/>
  <c r="D69" i="2"/>
  <c r="C69" i="2"/>
  <c r="B69" i="2"/>
  <c r="A69" i="2"/>
  <c r="H68" i="2"/>
  <c r="G68" i="2"/>
  <c r="F68" i="2"/>
  <c r="E68" i="2"/>
  <c r="D68" i="2"/>
  <c r="C68" i="2"/>
  <c r="B68" i="2"/>
  <c r="A68" i="2"/>
  <c r="H67" i="2"/>
  <c r="G67" i="2"/>
  <c r="F67" i="2"/>
  <c r="E67" i="2"/>
  <c r="D67" i="2"/>
  <c r="C67" i="2"/>
  <c r="B67" i="2"/>
  <c r="A67" i="2"/>
  <c r="H66" i="2"/>
  <c r="G66" i="2"/>
  <c r="F66" i="2"/>
  <c r="E66" i="2"/>
  <c r="D66" i="2"/>
  <c r="C66" i="2"/>
  <c r="B66" i="2"/>
  <c r="A66" i="2"/>
  <c r="H65" i="2"/>
  <c r="G65" i="2"/>
  <c r="F65" i="2"/>
  <c r="E65" i="2"/>
  <c r="D65" i="2"/>
  <c r="C65" i="2"/>
  <c r="B65" i="2"/>
  <c r="A65" i="2"/>
  <c r="H64" i="2"/>
  <c r="G64" i="2"/>
  <c r="F64" i="2"/>
  <c r="E64" i="2"/>
  <c r="D64" i="2"/>
  <c r="C64" i="2"/>
  <c r="B64" i="2"/>
  <c r="A64" i="2"/>
  <c r="H63" i="2"/>
  <c r="G63" i="2"/>
  <c r="F63" i="2"/>
  <c r="E63" i="2"/>
  <c r="D63" i="2"/>
  <c r="C63" i="2"/>
  <c r="B63" i="2"/>
  <c r="A63" i="2"/>
  <c r="H62" i="2"/>
  <c r="G62" i="2"/>
  <c r="F62" i="2"/>
  <c r="E62" i="2"/>
  <c r="D62" i="2"/>
  <c r="C62" i="2"/>
  <c r="B62" i="2"/>
  <c r="A62" i="2"/>
  <c r="H61" i="2"/>
  <c r="G61" i="2"/>
  <c r="F61" i="2"/>
  <c r="E61" i="2"/>
  <c r="D61" i="2"/>
  <c r="C61" i="2"/>
  <c r="B61" i="2"/>
  <c r="A61" i="2"/>
  <c r="H60" i="2"/>
  <c r="G60" i="2"/>
  <c r="F60" i="2"/>
  <c r="E60" i="2"/>
  <c r="D60" i="2"/>
  <c r="C60" i="2"/>
  <c r="B60" i="2"/>
  <c r="A60" i="2"/>
  <c r="H59" i="2"/>
  <c r="G59" i="2"/>
  <c r="F59" i="2"/>
  <c r="E59" i="2"/>
  <c r="D59" i="2"/>
  <c r="C59" i="2"/>
  <c r="B59" i="2"/>
  <c r="A59" i="2"/>
  <c r="H58" i="2"/>
  <c r="G58" i="2"/>
  <c r="F58" i="2"/>
  <c r="E58" i="2"/>
  <c r="D58" i="2"/>
  <c r="C58" i="2"/>
  <c r="B58" i="2"/>
  <c r="A58" i="2"/>
  <c r="H57" i="2"/>
  <c r="G57" i="2"/>
  <c r="F57" i="2"/>
  <c r="E57" i="2"/>
  <c r="D57" i="2"/>
  <c r="C57" i="2"/>
  <c r="B57" i="2"/>
  <c r="A57" i="2"/>
  <c r="H56" i="2"/>
  <c r="G56" i="2"/>
  <c r="F56" i="2"/>
  <c r="E56" i="2"/>
  <c r="D56" i="2"/>
  <c r="C56" i="2"/>
  <c r="B56" i="2"/>
  <c r="A56" i="2"/>
  <c r="H55" i="2"/>
  <c r="G55" i="2"/>
  <c r="F55" i="2"/>
  <c r="E55" i="2"/>
  <c r="D55" i="2"/>
  <c r="C55" i="2"/>
  <c r="B55" i="2"/>
  <c r="A55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C49" i="2"/>
  <c r="B49" i="2"/>
  <c r="A49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H38" i="2"/>
  <c r="G38" i="2"/>
  <c r="F38" i="2"/>
  <c r="E38" i="2"/>
  <c r="D38" i="2"/>
  <c r="C38" i="2"/>
  <c r="B38" i="2"/>
  <c r="A38" i="2"/>
  <c r="H37" i="2"/>
  <c r="G37" i="2"/>
  <c r="F37" i="2"/>
  <c r="E37" i="2"/>
  <c r="D37" i="2"/>
  <c r="C37" i="2"/>
  <c r="B37" i="2"/>
  <c r="A37" i="2"/>
  <c r="H36" i="2"/>
  <c r="G36" i="2"/>
  <c r="F36" i="2"/>
  <c r="E36" i="2"/>
  <c r="D36" i="2"/>
  <c r="C36" i="2"/>
  <c r="B36" i="2"/>
  <c r="A36" i="2"/>
  <c r="C35" i="2"/>
  <c r="B35" i="2"/>
  <c r="A35" i="2"/>
  <c r="H34" i="2"/>
  <c r="G34" i="2"/>
  <c r="F34" i="2"/>
  <c r="E34" i="2"/>
  <c r="D34" i="2"/>
  <c r="C34" i="2"/>
  <c r="B34" i="2"/>
  <c r="A34" i="2"/>
  <c r="H33" i="2"/>
  <c r="G33" i="2"/>
  <c r="F33" i="2"/>
  <c r="E33" i="2"/>
  <c r="D33" i="2"/>
  <c r="C33" i="2"/>
  <c r="B33" i="2"/>
  <c r="A33" i="2"/>
  <c r="H32" i="2"/>
  <c r="G32" i="2"/>
  <c r="F32" i="2"/>
  <c r="E32" i="2"/>
  <c r="D32" i="2"/>
  <c r="C32" i="2"/>
  <c r="B32" i="2"/>
  <c r="A32" i="2"/>
  <c r="H31" i="2"/>
  <c r="G31" i="2"/>
  <c r="F31" i="2"/>
  <c r="E31" i="2"/>
  <c r="D31" i="2"/>
  <c r="C31" i="2"/>
  <c r="B31" i="2"/>
  <c r="A31" i="2"/>
  <c r="H30" i="2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C3" i="2"/>
  <c r="B3" i="2"/>
  <c r="A3" i="2"/>
  <c r="H2" i="2"/>
  <c r="G2" i="2"/>
  <c r="F2" i="2"/>
  <c r="E2" i="2"/>
  <c r="D2" i="2"/>
  <c r="C2" i="2"/>
  <c r="B2" i="2"/>
  <c r="A2" i="2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<sst xmlns="http://schemas.openxmlformats.org/spreadsheetml/2006/main" count="251" uniqueCount="249">
  <si>
    <t>매우잘한다</t>
  </si>
  <si>
    <t>월(M)</t>
  </si>
  <si>
    <t>잘하는편</t>
  </si>
  <si>
    <t>잘못하는편</t>
  </si>
  <si>
    <t>매우잘못함</t>
  </si>
  <si>
    <t>잘한다</t>
  </si>
  <si>
    <t>잘못한다</t>
  </si>
  <si>
    <t>모름</t>
  </si>
  <si>
    <t>주(W)</t>
  </si>
  <si>
    <t>표본 수</t>
  </si>
  <si>
    <t>49.2 | 20.4 | 10.5 | 13.3 | 69.6 | 23.8 | 6.6</t>
  </si>
  <si>
    <t>주간 02월 2주(06~08) 1,004 63% 28% 4% 5%</t>
  </si>
  <si>
    <t>주간 02월 3주(12~16)</t>
  </si>
  <si>
    <t>49.3 | 19.8 | 10.5 | 16.1 | 69.1 | 26.6 | 4.3</t>
  </si>
  <si>
    <t>주간 02월 4주(20~22) 1,002 68% 22% 5% 4%</t>
  </si>
  <si>
    <t>주간 02월 5주(27~28) 1,008 64% 26% 4% 6%</t>
  </si>
  <si>
    <t>48.6 | 20.9 | 11.1 | 14.5 | 69.5 | 25.6 | 4.9</t>
  </si>
  <si>
    <t>주간 03월 1주(06~08) 1,005 71% 22% 4% 4%</t>
  </si>
  <si>
    <t>주간 03월 2주(13~15) 1,003 74% 18% 5% 4%</t>
  </si>
  <si>
    <t>46.7 | 21.4 | 11.8 | 13.9 | 68.1 | 25.7 | 6.2</t>
  </si>
  <si>
    <t>주간 03월 3주(20~22) 1,003 71% 19% 6% 5%</t>
  </si>
  <si>
    <t>42.9 | 23.9 | 11.6 | 15.1 | 66.8 | 26.7 | 6.5</t>
  </si>
  <si>
    <t>주간 03월 4주(27~29) 1,004 70% 21% 5% 4%</t>
  </si>
  <si>
    <t>주간 04월 1주(03~05) 1,004 74% 17% 5% 4%</t>
  </si>
  <si>
    <t>44.9 | 22.9 | 12.9 | 14.9 | 67.8 | 27.8 | 4.4</t>
  </si>
  <si>
    <t>주간 04월 2주(10~12) 1,005 72% 19% 5% 4%</t>
  </si>
  <si>
    <t>49.6 | 20.4 | 11.1 | 13.7 | 70.0 | 24.8 | 5.2</t>
  </si>
  <si>
    <t>주간 04월 3주(17~19) 1,003 70% 21% 4% 4%</t>
  </si>
  <si>
    <t>55.7 | 21.7 | 7.5 | 8.4 | 77.4 | 15.9 | 6.7</t>
  </si>
  <si>
    <t>주간 04월 4주(24~26) 1,005 73% 18% 4% 5%</t>
  </si>
  <si>
    <t>주간 05월 1주(02~03) 1,002 83% 10% 5% 3%</t>
  </si>
  <si>
    <t>53.0 | 23.3 | 8.4 | 9.3 | 76.3 | 17.7 | 6.0</t>
  </si>
  <si>
    <t>주간 05월 2주(08~10) 1,002 78% 13% 5% 4%</t>
  </si>
  <si>
    <t>50.3 | 24.5 | 9.8 | 11.0 | 74.8 | 20.8 | 4.4</t>
  </si>
  <si>
    <t>주간 05월 3주(16~17) 1,004 76% 14% 6% 4%</t>
  </si>
  <si>
    <t>49.2 | 23.3 | 10.2 | 12.4 | 72.5 | 22.6 | 4.9</t>
  </si>
  <si>
    <t>주간 05월 4주(23~24) 1,003 76% 14% 4% 6%</t>
  </si>
  <si>
    <t>49.2 | 22.2 | 11.1 | 10.8 | 71.4 | 21.9 | 6.7</t>
  </si>
  <si>
    <t>주간 05월 5주(29~31) 1,002 75% 15% 5% 5%</t>
  </si>
  <si>
    <t>주간 06월 1주(04~08)</t>
  </si>
  <si>
    <t>47.7 | 24.6 | 9.7 | 11.6 | 72.3 | 21.3 | 6.4</t>
  </si>
  <si>
    <t>주간 06월 2주(14~14) 1,007 79% 12% 4% 4%</t>
  </si>
  <si>
    <t>50.4 | 25.5 | 8.6 | 10.4 | 75.9 | 19.0 | 5.1</t>
  </si>
  <si>
    <t>주간 06월 3주(18~22) 1,003 75% 16% 4% 5%</t>
  </si>
  <si>
    <t>주간 06월 4주(26~28) 1,001 73% 16% 6% 5%</t>
  </si>
  <si>
    <t>48.6 | 26.8 | 8.7 | 10.4 | 75.4 | 19.1 | 5.5</t>
  </si>
  <si>
    <t>44.8 | 26.7 | 10.6 | 11.9 | 71.5 | 22.5 | 6.0</t>
  </si>
  <si>
    <t>주간 07월 1주(03~05) 1,002 71% 18% 6% 5%</t>
  </si>
  <si>
    <t>42.2 | 27.1 | 10.7 | 14.2 | 69.3 | 24.9 | 5.8</t>
  </si>
  <si>
    <t>주간 07월 2주(10~12) 1,002 69% 21% 4% 5%</t>
  </si>
  <si>
    <t>40.7 | 27.4 | 12.3 | 13.9 | 68.1 | 26.2 | 5.7</t>
  </si>
  <si>
    <t>주간 07월 3주(17~19) 1,002 67% 25% 4% 5%</t>
  </si>
  <si>
    <t>35.1 | 27.8 | 15.0 | 16.4 | 62.9 | 31.4 | 5.7</t>
  </si>
  <si>
    <t>주간 07월 4주(24~26) 1,002 62% 28% 4% 5%</t>
  </si>
  <si>
    <t>35.0 | 26.1 | 15.8 | 17.5 | 61.1 | 33.3 | 5.6</t>
  </si>
  <si>
    <t>주간 08월 1주(31~02) 1,003 60% 29% 4% 7%</t>
  </si>
  <si>
    <t>주간 08월 2주(07~09) 1,003 58% 31% 4% 7%</t>
  </si>
  <si>
    <t>35.5 | 27.7 | 14.3 | 16.1 | 63.2 | 30.4 | 6.4</t>
  </si>
  <si>
    <t>주간 08월 3주(14~16) 1,002 60% 32% 5% 4%</t>
  </si>
  <si>
    <t>32.3 | 25.8 | 14.9 | 21.5 | 58.1 | 36.4 | 5.5</t>
  </si>
  <si>
    <t>주간 08월 4주(21~23) 1,001 56% 33% 5% 6%</t>
  </si>
  <si>
    <t>28.3 | 28.0 | 17.3 | 21.1 | 56.3 | 38.4 | 5.3</t>
  </si>
  <si>
    <t>주간 08월 5주(28~30) 1,000 53% 38% 4% 4%</t>
  </si>
  <si>
    <t>28.3 | 27.7 | 16.6 | 21.5 | 56.0 | 38.1 | 5.9</t>
  </si>
  <si>
    <t>주간 09월 1주(04~06) 1,000 49% 42% 5% 4%</t>
  </si>
  <si>
    <t>27.9 | 27.3 | 16.8 | 23.2 | 55.2 | 40.0 | 4.8</t>
  </si>
  <si>
    <t>주간 09월 2주(11~13) 1,001 50% 39% 4% 6%</t>
  </si>
  <si>
    <t>26.0 | 27.5 | 16.9 | 23.6 | 53.5 | 40.5 | 6.0</t>
  </si>
  <si>
    <t>주간 09월 3주(18~20) 1,001 61% 30% 5% 5%</t>
  </si>
  <si>
    <t>주간 09월 4주(24~28)</t>
  </si>
  <si>
    <t>27.4 | 25.7 | 15.2 | 26.5 | 53.1 | 41.7 | 5.2</t>
  </si>
  <si>
    <t>주간 10월 1주(02~04) 1,004 64% 26% 4% 6%</t>
  </si>
  <si>
    <t>35.6 | 26.3 | 13.6 | 18.7 | 61.9 | 32.3 | 5.8</t>
  </si>
  <si>
    <t>주간 10월 2주(10~11) 1,001 65% 25% 5% 4%</t>
  </si>
  <si>
    <t>주간 10월 3주(16~18) 1,002 62% 27% 5% 5%</t>
  </si>
  <si>
    <t>39.8 | 25.5 | 13.7 | 16.6 | 65.3 | 30.3 | 4.4</t>
  </si>
  <si>
    <t>주간 10월 4주(23~25) 1,001 58% 32% 5% 5%</t>
  </si>
  <si>
    <t>38.5 | 24.2 | 12.6 | 19.0 | 62.7 | 31.6 | 5.7 |</t>
  </si>
  <si>
    <t>주간 11월 1주(30~01) 1,004 55% 35% 5% 5%</t>
  </si>
  <si>
    <t>35.4 | 26.5 | 14.6 | 16.8 | 61.9 | 31.4 | 6.7</t>
  </si>
  <si>
    <t>주간 11월 2주(06~08) 1,002 54% 36% 5% 5%</t>
  </si>
  <si>
    <t>34.8 | 25.6 | 13.0 | 20.0 | 60.4 | 33.0 | 6.6</t>
  </si>
  <si>
    <t>주간 11월 3주(13~15) 1,001 52% 40% 5% 4%</t>
  </si>
  <si>
    <t>32.7 | 26.0 | 13.6 | 22.0 | 58.7 | 35.6 | 5.7</t>
  </si>
  <si>
    <t>주간 11월 4주(20~22) 1,001 53% 38% 6% 3%</t>
  </si>
  <si>
    <t>30.3 | 25.3 | 16.1 | 23.0 | 55.6 | 39.1 | 5.3</t>
  </si>
  <si>
    <t>28.4 | 27.0 | 15.4 | 22.9 | 55.4 | 38.3 | 6.3</t>
  </si>
  <si>
    <t>주간 11월 5주(27~29) 1,001 53% 39% 4% 4%</t>
  </si>
  <si>
    <t>주간 12월 1주(04~06) 1,002 49% 41% 5% 6%</t>
  </si>
  <si>
    <t>26.5 | 25.5 | 15.6 | 26.9 | 52.0 | 42.5 | 5.5</t>
  </si>
  <si>
    <t>주간 12월 2주(11~13) 1,003 45% 44% 5% 6%</t>
  </si>
  <si>
    <t>23.8 | 24.6 | 16.2 | 30.4 | 48.4 | 46.6 | 5.0</t>
  </si>
  <si>
    <t>주간 12월 3주(18~20) 1,002 45% 46% 4% 4%</t>
  </si>
  <si>
    <t>25.2 | 24.3 | 17.1 | 28.1 | 49.5 | 45.2 | 5.3</t>
  </si>
  <si>
    <t>주간 12월 4주(24~28)</t>
  </si>
  <si>
    <t>주간 01월 1주(31~04)</t>
  </si>
  <si>
    <t>24.2 | 24.3 | 16.7 | 30.1 | 48.5 | 46.8 | 4.7</t>
  </si>
  <si>
    <t>주간 01월 2주(08~10) 1,002 48% 44% 5% 4%</t>
  </si>
  <si>
    <t>22.7 | 24.4 | 15.5 | 30.6 | 47.1 | 46.1 | 6.8</t>
  </si>
  <si>
    <t>주간 01월 3주(15~17) 1,002 47% 44% 6% 4%</t>
  </si>
  <si>
    <t>주간 01월 4주(22~24) 1,002 46% 45% 4% 5%</t>
  </si>
  <si>
    <t>21.6 | 24.3 | 16.4 | 33.3 | 45.9 | 49.7 | 4.4</t>
  </si>
  <si>
    <t>주간 01월 5주(29~31) 1,004 47% 44% 4% 4%</t>
  </si>
  <si>
    <t>23.4 | 23.0 | 18.9 | 29.3 | 46.4 | 48.2 | 5.4</t>
  </si>
  <si>
    <t>주간 02월 1주(04~08)</t>
  </si>
  <si>
    <t>23.0 | 26.6 | 16.1 | 28.7 | 49.6 | 44.8 | 5.6</t>
  </si>
  <si>
    <t>주간 02월 2주(12~14) 1,002 47% 44% 4% 6%</t>
  </si>
  <si>
    <t>주간 02월 3주(19~21) 1,001 45% 45% 4% 6%</t>
  </si>
  <si>
    <t>24.9 | 24.2 | 16.4 | 29.2 | 49.1 | 45.6 | 5.3</t>
  </si>
  <si>
    <t>주간 02월 4주(26~28) 1,002 49% 42% 4% 5%</t>
  </si>
  <si>
    <t>22.8 | 24.9 | 16.8 | 28.9 | 47.7 | 45.7 | 6.6</t>
  </si>
  <si>
    <t>주간 03월 1주(05~07) 1,003 46% 45% 5% 5%</t>
  </si>
  <si>
    <t>26.4 | 24.0 | 17.2 | 28.2 | 50.4 | 45.4 | 4.2</t>
  </si>
  <si>
    <t>주간 03월 2주(12~14) 1,004 44% 46% 5% 5%</t>
  </si>
  <si>
    <t>주간 03월 3주(19~21) 1,002 45% 44% 5% 6%</t>
  </si>
  <si>
    <t>23.7 | 26.1 | 16.4 | 27.6 | 49.8 | 44.0 | 6.2</t>
  </si>
  <si>
    <t>주간 03월 4주(26~28) 1,003 43% 46% 5% 6%</t>
  </si>
  <si>
    <t>26.2 | 24.8 | 16.9 | 27.2 | 51.0 | 44.1 | 4.9</t>
  </si>
  <si>
    <t>주간 04월 1주(02~04) 1,003 41% 49% 4% 5%</t>
  </si>
  <si>
    <t>25.3 | 24.1 | 15.2 | 29.2 | 49.4 | 44.4 | 6.2</t>
  </si>
  <si>
    <t>주간 04월 2주(09~11) 1,002 47% 45% 3% 5%</t>
  </si>
  <si>
    <t>23.0 | 23.3 | 16.5 | 30.3 | 46.3 | 46.8 | 6.9</t>
  </si>
  <si>
    <t>주간 04월 3주(16~18) 1,001 48% 42% 4% 6%</t>
  </si>
  <si>
    <t>22.8 | 22.1 | 16.6 | 33.1 | 44.9 | 49.7 | 5.4</t>
  </si>
  <si>
    <t>주간 04월 4주(23~25) 1,003 44% 47% 3% 6%</t>
  </si>
  <si>
    <t>주간 5월 1주(4/30,5/2) 1,004 45% 46% 5% 4%</t>
  </si>
  <si>
    <t>24.7 | 22.4 | 16.1 | 31.1 | 47.1 | 47.2 | 5.7</t>
  </si>
  <si>
    <t>주간 05월 2주(07~09) 1,002 47% 45% 3% 5%</t>
  </si>
  <si>
    <t>24.3 | 23.4 | 14.8 | 31.4 | 47.7 | 46.2 | 6.1</t>
  </si>
  <si>
    <t>주간 05월 3주(14~16) 1,004 44% 47% 4% 5%</t>
  </si>
  <si>
    <t>23.6 | 23.7 | 14.8 | 33.0 | 47.3 | 47.8 | 4.9</t>
  </si>
  <si>
    <t>주간 05월 4주(21~23) 1,001 46% 44% 6% 4%</t>
  </si>
  <si>
    <t>주간 05월 5주(28~30) 1,002 45% 45% 4% 6%</t>
  </si>
  <si>
    <t>25.2 | 22.8 | 15.7 | 31.1 | 48.0 | 46.8 | 5.2</t>
  </si>
  <si>
    <t>주간 06월 1주(04~05) 1,006 46% 46% 4% 5%</t>
  </si>
  <si>
    <t>24.4 | 23.8 | 15.7 | 30.4 | 48.2 | 46.1 | 5.7</t>
  </si>
  <si>
    <t>주간 06월 2주(11~13) 1,002 47% 44% 4% 6%</t>
  </si>
  <si>
    <t>26.4 | 21.0 | 14.1 | 34.3 | 47.4 | 48.4 | 4.2</t>
  </si>
  <si>
    <t>주간 06월 3주(18~20) 1,005 45% 45% 4% 7%</t>
  </si>
  <si>
    <t>주간 06월 4주(25~27) 1,003 46% 45% 5% 5%</t>
  </si>
  <si>
    <t>24.8 | 23.8 | 12.3 | 34.7 | 48.6 | 47.0 | 4.4</t>
  </si>
  <si>
    <t>주간 07월 1주(02~04) 1,008 49% 40% 5% 5%</t>
  </si>
  <si>
    <t>주간 07월 2주(09~11) 1,005 45% 45% 4% 5%</t>
  </si>
  <si>
    <t>26.2 | 23.2 | 15.0 | 31.0 | 49.4 | 46.0 | 4.6</t>
  </si>
  <si>
    <t>주간 07월 3주(16~18) 1,002 48% 44% 4% 5%</t>
  </si>
  <si>
    <t>27.9 | 22.1 | 14.2 | 31.4 | 50.0 | 45.6 | 4.4</t>
  </si>
  <si>
    <t>주간 07월 4주(23~25) 1,006 48% 42% 5% 5%</t>
  </si>
  <si>
    <t>26.0 | 22.3 | 15.1 | 32.0 | 48.3 | 47.1 | 4.6</t>
  </si>
  <si>
    <t>주간 8월 1주(7/30~8/1) 1,002 48% 41% 3% 7%</t>
  </si>
  <si>
    <t>26.0 | 22.0 | 15.5 | 31.2 | 48.0 | 46.7 | 5.3</t>
  </si>
  <si>
    <t>주간 08월 2주(06~08) 1,009 47% 43% 3% 7%</t>
  </si>
  <si>
    <t>주간 08월 3주(12~16)</t>
  </si>
  <si>
    <t>26.8 | 22.7 | 13.4 | 32.0 | 49.5 | 45.4 | 5.1</t>
  </si>
  <si>
    <t>주간 08월 4주(20~22) 1,002 45% 49% 3% 4%</t>
  </si>
  <si>
    <t>22.8 | 23.9 | 14.0 | 34.3 | 46.7 | 48.3 | 5.0</t>
  </si>
  <si>
    <t>주간 08월 5주(27~29) 1,004 44% 49% 3% 4%</t>
  </si>
  <si>
    <t>24.9 | 22.7 | 15.8 | 31.8 | 47.6 | 47.6 | 4.8</t>
  </si>
  <si>
    <t>주간 09월 1주(03~05) 1,002 43% 49% 3% 5%</t>
  </si>
  <si>
    <t>주간 09월 2주(09~13)</t>
  </si>
  <si>
    <t>29.4 | 21.9 | 15.2 | 28.6 | 51.3 | 43.8 | 4.9</t>
  </si>
  <si>
    <t>주간 09월 3주(17~19) 1,000 40% 53% 3% 4%</t>
  </si>
  <si>
    <t>26.0 | 21.8 | 14.0 | 33.3 | 47.8 | 47.3 | 4.9</t>
  </si>
  <si>
    <t>주간 09월 4주(24~26) 1,002 41% 50% 3% 6%</t>
  </si>
  <si>
    <t>29.6 | 22.2 | 13.5 | 29.6 | 51.8 | 43.1 | 5.1</t>
  </si>
  <si>
    <t>주간 10월 1주(01~02) 1,004 42% 51% 2% 4%</t>
  </si>
  <si>
    <t>주간 10월 2주(0810) 1,002 43% 51% 3% 4%</t>
  </si>
  <si>
    <t>30.9 | 21.2 | 15.3 | 28.4 | 52.1 | 43.7 | 4.2</t>
  </si>
  <si>
    <t>주간 10월 3주(15~17) 1,004 39% 53% 3% 5%</t>
  </si>
  <si>
    <t>29.8 | 20.6 | 11.7 | 32.7 | 50.4 | 44.4 | 5.2</t>
  </si>
  <si>
    <t>주간 10월 4주(22~24) 1,001 41% 50% 3% 5%</t>
  </si>
  <si>
    <t>주간 10월 5주(29~31) 1,000 44% 47% 3% 5%</t>
  </si>
  <si>
    <t>27.8 | 21.6 | 13.7 | 32.6 | 49.4 | 46.3 | 4.3</t>
  </si>
  <si>
    <t>주간 11월 1주(05~07) 1,003 45% 47% 3% 5%</t>
  </si>
  <si>
    <t>26.4 | 19.8 | 13.9 | 36.5 | 46.2 | 50.4 | 3.4</t>
  </si>
  <si>
    <t>주간 11월 2주(12~14) 1,002 46% 46% 5% 4%</t>
  </si>
  <si>
    <t>주간 11월 3주(19~21) 1,001 45% 48% 3% 5%</t>
  </si>
  <si>
    <t>27.5 | 19.0 | 11.8 | 38.4 | 46.5 | 50.2 | 3.3</t>
  </si>
  <si>
    <t>11월 4주(26~28) 1,001 46% 46% 4% 4%</t>
  </si>
  <si>
    <t>26.7 | 19.6 | 11.1 | 38.8 | 46.3 | 49.9 | 3.8</t>
  </si>
  <si>
    <t>12월 1주(03~05) 1,006 48% 45% 3% 4%</t>
  </si>
  <si>
    <t>28.3 | 18.9 | 9.9 | 40.1 | 47.2 | 50.0 | 2.8</t>
  </si>
  <si>
    <t>12월 2주(10~12) 1,001 49% 43% 4% 4%</t>
  </si>
  <si>
    <t>26.7 | 18.5 | 11.7 | 40.3 | 45.2 | 52.0 | 2.8</t>
  </si>
  <si>
    <t>12월 3주(17~19) 1,002 44% 46% 3% 6%</t>
  </si>
  <si>
    <t>12월 4주(23~27)</t>
  </si>
  <si>
    <t>01월 1주(30~03)</t>
  </si>
  <si>
    <t>29.6 | 17.7 | 11.2 | 39.0 | 47.3 | 50.2 | 2.5</t>
  </si>
  <si>
    <t>01월 2주(07~09) 1,000 47% 43% 5% 5%</t>
  </si>
  <si>
    <t>26.5 | 17.9 | 11.7 | 40.6 | 44.4 | 52.3 | 3.3</t>
  </si>
  <si>
    <t>01월 3주(14~16) 1,000 45% 46% 4% 6%</t>
  </si>
  <si>
    <t>01월 4주(20~24)</t>
  </si>
  <si>
    <t>25.9 | 15.5 | 11.1 | 45.0 | 41.4 | 56.1 | 2.5</t>
  </si>
  <si>
    <t>01월 5주(28~30) 1,000 41% 50% 3% 6%</t>
  </si>
  <si>
    <t>02월 1주(04~06) 1,000 44% 49% 3% 5%</t>
  </si>
  <si>
    <t>28.9 | 16.1 | 10.0 | 42.3 | 45.0 | 52.3 | 2.7</t>
  </si>
  <si>
    <t>02월 2주(11~13) 1,001 44% 49% 2% 5%</t>
  </si>
  <si>
    <t>28.2 | 17.5 | 11.8 | 38.6 | 45.7 | 50.4 | 3.9</t>
  </si>
  <si>
    <t>02월 3주(18~20) 1,002 45% 46% 3% 5%</t>
  </si>
  <si>
    <t>28.5 | 19.0 | 11.6 | 37.5 | 47.5 | 49.1 | 3.4</t>
  </si>
  <si>
    <t>02월 4주(25~27) 1,001 42% 51% 3% 3%</t>
  </si>
  <si>
    <t>03월 1주(03~05) 1,000 44% 48% 3% 5%</t>
  </si>
  <si>
    <t>26.3 | 18.2 | 13.4 | 38.8 | 44.5 | 52.2 | 3.3</t>
  </si>
  <si>
    <t>03월 2주(10~12) 1,001 49% 45% 3% 3%</t>
  </si>
  <si>
    <t>26.3 | 21.5 | 12.6 | 36.0 | 47.8 | 48.6 | 3.6</t>
  </si>
  <si>
    <t>03월 3주(17~19) 1,000 49% 42% 4% 5%</t>
  </si>
  <si>
    <t>03월 4주(24~26) 1,001 55% 39% 3% 3%</t>
  </si>
  <si>
    <t>04월 1주(31~02) 1,002 56% 36% 4% 4%</t>
  </si>
  <si>
    <t>26.5 | 21.0 | 12.6 | 35.7 | 47.5 | 48.3 | 4.2</t>
  </si>
  <si>
    <t>04월 2주(07~08) 1,000 57% 35% 5% 3%</t>
  </si>
  <si>
    <t>26.4 | 22.9 | 13.7 | 33.2 | 49.3 | 46.9 | 3.8</t>
  </si>
  <si>
    <t>04월 3주(13~14) 1,004 59% 33% 4% 4%</t>
  </si>
  <si>
    <t>26.4 | 21.2 | 12.2 | 35.8 | 47.6 | 48.0 | 4.4</t>
  </si>
  <si>
    <t>04월 4주(21~23) 1,001 62% 30% 3% 5%</t>
  </si>
  <si>
    <t>29.7 | 20.0 | 12.9 | 33.6 | 49.7 | 46.5 | 3.8</t>
  </si>
  <si>
    <t>04월 5주(28~29) 1,000 64% 26% 4% 6%</t>
  </si>
  <si>
    <t>28.6 | 20.4 | 12.7 | 33.5 | 49.0 | 46.2 | 4.8</t>
  </si>
  <si>
    <t>28.2 | 20.6 | 13.1 | 33.4 | 48.8 | 46.5 | 4.7</t>
  </si>
  <si>
    <t>05월 1주(06~07) 1,004 71% 21% 3% 5%</t>
  </si>
  <si>
    <t>25.7 | 19.6 | 11.3 | 39.6 | 45.3 | 50.9 | 3.8</t>
  </si>
  <si>
    <t>05월 2주(12~14) 1,000 65% 27% 3% 5%</t>
  </si>
  <si>
    <t>27.0 | 20.0 | 11.5 | 38.4 | 47.0 | 49.9 | 3.1</t>
  </si>
  <si>
    <t>05월 3주(19~21) 1,000 65% 26% 5% 4%</t>
  </si>
  <si>
    <t>24.4 | 20.6 | 13.8 | 36.5 | 45.0 | 50.3 | 4.7</t>
  </si>
  <si>
    <t>27.8 | 19.1 | 12.1 | 37.1 | 46.9 | 49.2 | 3.9</t>
  </si>
  <si>
    <t>27.4 | 19.2 | 13.0 | 36.7 | 46.6 | 49.7 | 3.7</t>
  </si>
  <si>
    <t>29.0 | 18.4 | 12.7 | 36.4 | 47.4 | 49.1 | 3.5</t>
  </si>
  <si>
    <t>29.1 | 17.0 | 14.1 | 36.6 | 46.1 | 50.7 | 3.2</t>
  </si>
  <si>
    <t>28.7 | 19.2 | 11.6 | 37.1 | 47.9 | 48.7 | 3.4</t>
  </si>
  <si>
    <t>29.3 | 17.9 | 12.1 | 37.1 | 47.2 | 49.1 | 3.6</t>
  </si>
  <si>
    <t>31.6 | 17.8 | 12.9 | 34.9 | 49.3 | 47.9 | 2.8</t>
  </si>
  <si>
    <t>34.3 | 18.3 | 12.7 | 31.4 | 52.6 | 44.1 | 3.3</t>
  </si>
  <si>
    <t>33.6 | 20.1 | 12.0 | 31.2 | 53.7 | 43.2 | 3.1</t>
  </si>
  <si>
    <t>36.0 | 18.3 | 12.5 | 29.8 | 54.4 | 42.3 | 3.3</t>
  </si>
  <si>
    <t>36.2 | 22.1 | 13.4 | 24.1 | 58.3 | 37.6 | 4.1</t>
  </si>
  <si>
    <t>40.7 | 23.0 | 13.9 | 18.4 | 63.7 | 32.4 | 3.9</t>
  </si>
  <si>
    <t>38.7 | 21.9 | 17.1 | 18.4 | 60.6 | 35.4 | 4.0</t>
  </si>
  <si>
    <t>40.3 | 21.7 | 13.3 | 19.2 | 62.0 | 32.4 | 5.6</t>
  </si>
  <si>
    <t>41.4 | 20.3 | 13.1 | 19.9 | 61.7 | 33.1 | 5.3</t>
  </si>
  <si>
    <t>40.4 | 21.9 | 14.3 | 18.4 | 62.3 | 32.6 | 5.1</t>
  </si>
  <si>
    <t>41.5 | 22.0 | 13.3 | 18.8 | 63.5 | 32.1 | 4.4</t>
  </si>
  <si>
    <t>43.8 | 19.3 | 12.4 | 19.1 | 63.1 | 31.5 | 5.4</t>
  </si>
  <si>
    <t>41.7 | 24.0 | 11.0 | 17.9 | 65.7 | 28.9 | 5.4</t>
  </si>
  <si>
    <t>42.0 | 23.5 | 12.0 | 18.6 | 65.5 | 30.6 | 3.9</t>
  </si>
  <si>
    <t>44.8 | 21.0 | 12.5 | 15.7 | 65.8 | 28.2 | 6.0</t>
  </si>
  <si>
    <t>week</t>
  </si>
  <si>
    <t>g잘하고있다</t>
  </si>
  <si>
    <t>g잘못하고있다</t>
  </si>
  <si>
    <t>g어느쪽도아니다</t>
  </si>
  <si>
    <t>g모름응답거절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</si>
</sst>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14" fontId="0" fillId="0" borderId="0" xfId="0" applyNumberFormat="1" applyFont="1" applyAlignment="1"/>
    <xf numFmtId="0" fontId="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24"/>
  <sheetViews>
    <sheetView workbookViewId="0"/>
  </sheetViews>
  <sheetFormatPr defaultColWidth="14.44140625" defaultRowHeight="15.75" customHeight="1" x14ac:dyDescent="0.25"/>
  <sheetData>
    <row r="1" spans="1:9" ht="15.75" customHeight="1" x14ac:dyDescent="0.3">
      <c r="A1" t="s">
        <v>244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5.75" customHeight="1" x14ac:dyDescent="0.3">
      <c r="A2" s="12">
        <v>43134</v>
      </c>
      <c r="B2" s="1">
        <v>41.5</v>
      </c>
      <c r="C2" s="1">
        <v>22</v>
      </c>
      <c r="D2" s="1">
        <v>13.3</v>
      </c>
      <c r="E2" s="1">
        <v>18.8</v>
      </c>
      <c r="F2" s="1">
        <v>63.5</v>
      </c>
      <c r="G2" s="1">
        <v>32.1</v>
      </c>
      <c r="H2" s="1">
        <v>4.4000000000000004</v>
      </c>
      <c r="I2" s="11" t="s">
        <v>239</v>
      </c>
    </row>
    <row r="3" spans="1:9" ht="15.75" customHeight="1" x14ac:dyDescent="0.3">
      <c r="A3" s="13">
        <v>43141</v>
      </c>
      <c r="B3" s="1">
        <v>43.8</v>
      </c>
      <c r="C3" s="1">
        <v>19.3</v>
      </c>
      <c r="D3" s="1">
        <v>12.4</v>
      </c>
      <c r="E3" s="1">
        <v>19.100000000000001</v>
      </c>
      <c r="F3" s="1">
        <v>63.1</v>
      </c>
      <c r="G3" s="1">
        <v>31.5</v>
      </c>
      <c r="H3" s="1">
        <v>5.4</v>
      </c>
      <c r="I3" s="11" t="s">
        <v>240</v>
      </c>
    </row>
    <row r="4" spans="1:9" ht="15.75" customHeight="1" x14ac:dyDescent="0.3">
      <c r="A4" s="13">
        <v>43148</v>
      </c>
      <c r="B4" s="1">
        <v>41.7</v>
      </c>
      <c r="C4" s="1">
        <v>24</v>
      </c>
      <c r="D4" s="1">
        <v>11</v>
      </c>
      <c r="E4" s="1">
        <v>17.899999999999999</v>
      </c>
      <c r="F4" s="1">
        <v>65.7</v>
      </c>
      <c r="G4" s="1">
        <v>28.9</v>
      </c>
      <c r="H4" s="1">
        <v>5.4</v>
      </c>
      <c r="I4" s="11" t="s">
        <v>241</v>
      </c>
    </row>
    <row r="5" spans="1:9" s="10" customFormat="1" ht="15.75" customHeight="1" x14ac:dyDescent="0.3">
      <c r="A5" s="12">
        <v>43155</v>
      </c>
      <c r="B5" s="14">
        <v>42</v>
      </c>
      <c r="C5" s="14">
        <v>23.5</v>
      </c>
      <c r="D5" s="14">
        <v>12</v>
      </c>
      <c r="E5" s="14">
        <v>18.600000000000001</v>
      </c>
      <c r="F5" s="14">
        <v>65.5</v>
      </c>
      <c r="G5" s="14">
        <v>30.6</v>
      </c>
      <c r="H5" s="14">
        <v>3.9</v>
      </c>
      <c r="I5" s="11" t="s">
        <v>242</v>
      </c>
    </row>
    <row r="6" spans="1:9" ht="15.75" customHeight="1" x14ac:dyDescent="0.3">
      <c r="A6" s="13">
        <v>43162</v>
      </c>
      <c r="B6" s="1">
        <v>44.8</v>
      </c>
      <c r="C6" s="1">
        <v>21</v>
      </c>
      <c r="D6" s="1">
        <v>12.5</v>
      </c>
      <c r="E6" s="1">
        <v>15.7</v>
      </c>
      <c r="F6" s="1">
        <v>65.8</v>
      </c>
      <c r="G6" s="1">
        <v>28.2</v>
      </c>
      <c r="H6" s="1">
        <v>6</v>
      </c>
      <c r="I6" s="11" t="s">
        <v>243</v>
      </c>
    </row>
    <row r="7" spans="1:9" ht="15.75" customHeight="1" x14ac:dyDescent="0.3">
      <c r="A7" s="3">
        <v>43169</v>
      </c>
      <c r="B7" s="4">
        <f ca="1">IFERROR(__xludf.DUMMYFUNCTION("split(I2, "" | "")"),49.2)</f>
        <v>49.2</v>
      </c>
      <c r="C7" s="4">
        <f ca="1">IFERROR(__xludf.DUMMYFUNCTION("""COMPUTED_VALUE"""),20.4)</f>
        <v>20.399999999999999</v>
      </c>
      <c r="D7" s="4">
        <f ca="1">IFERROR(__xludf.DUMMYFUNCTION("""COMPUTED_VALUE"""),10.5)</f>
        <v>10.5</v>
      </c>
      <c r="E7" s="4">
        <f ca="1">IFERROR(__xludf.DUMMYFUNCTION("""COMPUTED_VALUE"""),13.3)</f>
        <v>13.3</v>
      </c>
      <c r="F7" s="4">
        <f ca="1">IFERROR(__xludf.DUMMYFUNCTION("""COMPUTED_VALUE"""),69.6)</f>
        <v>69.599999999999994</v>
      </c>
      <c r="G7" s="4">
        <f ca="1">IFERROR(__xludf.DUMMYFUNCTION("""COMPUTED_VALUE"""),23.8)</f>
        <v>23.8</v>
      </c>
      <c r="H7" s="4">
        <f ca="1">IFERROR(__xludf.DUMMYFUNCTION("""COMPUTED_VALUE"""),6.6)</f>
        <v>6.6</v>
      </c>
      <c r="I7" s="2" t="s">
        <v>10</v>
      </c>
    </row>
    <row r="8" spans="1:9" ht="13.2" x14ac:dyDescent="0.25">
      <c r="A8" s="7">
        <v>43176</v>
      </c>
      <c r="B8" s="4">
        <f ca="1">IFERROR(__xludf.DUMMYFUNCTION("split(I3, "" | "")"),49.3)</f>
        <v>49.3</v>
      </c>
      <c r="C8" s="4">
        <f ca="1">IFERROR(__xludf.DUMMYFUNCTION("""COMPUTED_VALUE"""),19.8)</f>
        <v>19.8</v>
      </c>
      <c r="D8" s="4">
        <f ca="1">IFERROR(__xludf.DUMMYFUNCTION("""COMPUTED_VALUE"""),10.5)</f>
        <v>10.5</v>
      </c>
      <c r="E8" s="4">
        <f ca="1">IFERROR(__xludf.DUMMYFUNCTION("""COMPUTED_VALUE"""),16.1)</f>
        <v>16.100000000000001</v>
      </c>
      <c r="F8" s="4">
        <f ca="1">IFERROR(__xludf.DUMMYFUNCTION("""COMPUTED_VALUE"""),69.1)</f>
        <v>69.099999999999994</v>
      </c>
      <c r="G8" s="4">
        <f ca="1">IFERROR(__xludf.DUMMYFUNCTION("""COMPUTED_VALUE"""),26.6)</f>
        <v>26.6</v>
      </c>
      <c r="H8" s="4">
        <f ca="1">IFERROR(__xludf.DUMMYFUNCTION("""COMPUTED_VALUE"""),4.3)</f>
        <v>4.3</v>
      </c>
      <c r="I8" s="2" t="s">
        <v>13</v>
      </c>
    </row>
    <row r="9" spans="1:9" ht="13.2" x14ac:dyDescent="0.25">
      <c r="A9" s="7">
        <v>43183</v>
      </c>
      <c r="B9" s="4">
        <f ca="1">IFERROR(__xludf.DUMMYFUNCTION("split(I4, "" | "")"),48.6)</f>
        <v>48.6</v>
      </c>
      <c r="C9" s="4">
        <f ca="1">IFERROR(__xludf.DUMMYFUNCTION("""COMPUTED_VALUE"""),20.9)</f>
        <v>20.9</v>
      </c>
      <c r="D9" s="4">
        <f ca="1">IFERROR(__xludf.DUMMYFUNCTION("""COMPUTED_VALUE"""),11.1)</f>
        <v>11.1</v>
      </c>
      <c r="E9" s="4">
        <f ca="1">IFERROR(__xludf.DUMMYFUNCTION("""COMPUTED_VALUE"""),14.5)</f>
        <v>14.5</v>
      </c>
      <c r="F9" s="4">
        <f ca="1">IFERROR(__xludf.DUMMYFUNCTION("""COMPUTED_VALUE"""),69.5)</f>
        <v>69.5</v>
      </c>
      <c r="G9" s="4">
        <f ca="1">IFERROR(__xludf.DUMMYFUNCTION("""COMPUTED_VALUE"""),25.6)</f>
        <v>25.6</v>
      </c>
      <c r="H9" s="4">
        <f ca="1">IFERROR(__xludf.DUMMYFUNCTION("""COMPUTED_VALUE"""),4.9)</f>
        <v>4.9000000000000004</v>
      </c>
      <c r="I9" s="2" t="s">
        <v>16</v>
      </c>
    </row>
    <row r="10" spans="1:9" ht="13.2" x14ac:dyDescent="0.25">
      <c r="A10" s="7">
        <v>43190</v>
      </c>
      <c r="B10" s="4">
        <f ca="1">IFERROR(__xludf.DUMMYFUNCTION("split(I5, "" | "")"),46.7)</f>
        <v>46.7</v>
      </c>
      <c r="C10" s="4">
        <f ca="1">IFERROR(__xludf.DUMMYFUNCTION("""COMPUTED_VALUE"""),21.4)</f>
        <v>21.4</v>
      </c>
      <c r="D10" s="4">
        <f ca="1">IFERROR(__xludf.DUMMYFUNCTION("""COMPUTED_VALUE"""),11.8)</f>
        <v>11.8</v>
      </c>
      <c r="E10" s="4">
        <f ca="1">IFERROR(__xludf.DUMMYFUNCTION("""COMPUTED_VALUE"""),13.9)</f>
        <v>13.9</v>
      </c>
      <c r="F10" s="4">
        <f ca="1">IFERROR(__xludf.DUMMYFUNCTION("""COMPUTED_VALUE"""),68.1)</f>
        <v>68.099999999999994</v>
      </c>
      <c r="G10" s="4">
        <f ca="1">IFERROR(__xludf.DUMMYFUNCTION("""COMPUTED_VALUE"""),25.7)</f>
        <v>25.7</v>
      </c>
      <c r="H10" s="4">
        <f ca="1">IFERROR(__xludf.DUMMYFUNCTION("""COMPUTED_VALUE"""),6.2)</f>
        <v>6.2</v>
      </c>
      <c r="I10" s="2" t="s">
        <v>19</v>
      </c>
    </row>
    <row r="11" spans="1:9" ht="13.2" x14ac:dyDescent="0.25">
      <c r="A11" s="7">
        <v>43197</v>
      </c>
      <c r="B11" s="4">
        <f ca="1">IFERROR(__xludf.DUMMYFUNCTION("split(I6, "" | "")"),42.9)</f>
        <v>42.9</v>
      </c>
      <c r="C11" s="4">
        <f ca="1">IFERROR(__xludf.DUMMYFUNCTION("""COMPUTED_VALUE"""),23.9)</f>
        <v>23.9</v>
      </c>
      <c r="D11" s="4">
        <f ca="1">IFERROR(__xludf.DUMMYFUNCTION("""COMPUTED_VALUE"""),11.6)</f>
        <v>11.6</v>
      </c>
      <c r="E11" s="4">
        <f ca="1">IFERROR(__xludf.DUMMYFUNCTION("""COMPUTED_VALUE"""),15.1)</f>
        <v>15.1</v>
      </c>
      <c r="F11" s="4">
        <f ca="1">IFERROR(__xludf.DUMMYFUNCTION("""COMPUTED_VALUE"""),66.8)</f>
        <v>66.8</v>
      </c>
      <c r="G11" s="4">
        <f ca="1">IFERROR(__xludf.DUMMYFUNCTION("""COMPUTED_VALUE"""),26.7)</f>
        <v>26.7</v>
      </c>
      <c r="H11" s="4">
        <f ca="1">IFERROR(__xludf.DUMMYFUNCTION("""COMPUTED_VALUE"""),6.5)</f>
        <v>6.5</v>
      </c>
      <c r="I11" s="2" t="s">
        <v>21</v>
      </c>
    </row>
    <row r="12" spans="1:9" ht="13.2" x14ac:dyDescent="0.25">
      <c r="A12" s="7">
        <v>43204</v>
      </c>
      <c r="B12" s="4">
        <f ca="1">IFERROR(__xludf.DUMMYFUNCTION("split(I7, "" | "")"),44.9)</f>
        <v>44.9</v>
      </c>
      <c r="C12" s="4">
        <f ca="1">IFERROR(__xludf.DUMMYFUNCTION("""COMPUTED_VALUE"""),22.9)</f>
        <v>22.9</v>
      </c>
      <c r="D12" s="4">
        <f ca="1">IFERROR(__xludf.DUMMYFUNCTION("""COMPUTED_VALUE"""),12.9)</f>
        <v>12.9</v>
      </c>
      <c r="E12" s="4">
        <f ca="1">IFERROR(__xludf.DUMMYFUNCTION("""COMPUTED_VALUE"""),14.9)</f>
        <v>14.9</v>
      </c>
      <c r="F12" s="4">
        <f ca="1">IFERROR(__xludf.DUMMYFUNCTION("""COMPUTED_VALUE"""),67.8)</f>
        <v>67.8</v>
      </c>
      <c r="G12" s="4">
        <f ca="1">IFERROR(__xludf.DUMMYFUNCTION("""COMPUTED_VALUE"""),27.8)</f>
        <v>27.8</v>
      </c>
      <c r="H12" s="4">
        <f ca="1">IFERROR(__xludf.DUMMYFUNCTION("""COMPUTED_VALUE"""),4.4)</f>
        <v>4.4000000000000004</v>
      </c>
      <c r="I12" s="2" t="s">
        <v>24</v>
      </c>
    </row>
    <row r="13" spans="1:9" ht="13.2" x14ac:dyDescent="0.25">
      <c r="A13" s="7">
        <v>43211</v>
      </c>
      <c r="B13" s="4">
        <f ca="1">IFERROR(__xludf.DUMMYFUNCTION("split(I8, "" | "")"),49.6)</f>
        <v>49.6</v>
      </c>
      <c r="C13" s="4">
        <f ca="1">IFERROR(__xludf.DUMMYFUNCTION("""COMPUTED_VALUE"""),20.4)</f>
        <v>20.399999999999999</v>
      </c>
      <c r="D13" s="4">
        <f ca="1">IFERROR(__xludf.DUMMYFUNCTION("""COMPUTED_VALUE"""),11.1)</f>
        <v>11.1</v>
      </c>
      <c r="E13" s="4">
        <f ca="1">IFERROR(__xludf.DUMMYFUNCTION("""COMPUTED_VALUE"""),13.7)</f>
        <v>13.7</v>
      </c>
      <c r="F13" s="4">
        <f ca="1">IFERROR(__xludf.DUMMYFUNCTION("""COMPUTED_VALUE"""),70)</f>
        <v>70</v>
      </c>
      <c r="G13" s="4">
        <f ca="1">IFERROR(__xludf.DUMMYFUNCTION("""COMPUTED_VALUE"""),24.8)</f>
        <v>24.8</v>
      </c>
      <c r="H13" s="4">
        <f ca="1">IFERROR(__xludf.DUMMYFUNCTION("""COMPUTED_VALUE"""),5.2)</f>
        <v>5.2</v>
      </c>
      <c r="I13" s="2" t="s">
        <v>26</v>
      </c>
    </row>
    <row r="14" spans="1:9" ht="13.2" x14ac:dyDescent="0.25">
      <c r="A14" s="7">
        <v>43218</v>
      </c>
      <c r="B14" s="4">
        <f ca="1">IFERROR(__xludf.DUMMYFUNCTION("split(I9, "" | "")"),55.7)</f>
        <v>55.7</v>
      </c>
      <c r="C14" s="4">
        <f ca="1">IFERROR(__xludf.DUMMYFUNCTION("""COMPUTED_VALUE"""),21.7)</f>
        <v>21.7</v>
      </c>
      <c r="D14" s="4">
        <f ca="1">IFERROR(__xludf.DUMMYFUNCTION("""COMPUTED_VALUE"""),7.5)</f>
        <v>7.5</v>
      </c>
      <c r="E14" s="4">
        <f ca="1">IFERROR(__xludf.DUMMYFUNCTION("""COMPUTED_VALUE"""),8.4)</f>
        <v>8.4</v>
      </c>
      <c r="F14" s="4">
        <f ca="1">IFERROR(__xludf.DUMMYFUNCTION("""COMPUTED_VALUE"""),77.4)</f>
        <v>77.400000000000006</v>
      </c>
      <c r="G14" s="4">
        <f ca="1">IFERROR(__xludf.DUMMYFUNCTION("""COMPUTED_VALUE"""),15.9)</f>
        <v>15.9</v>
      </c>
      <c r="H14" s="4">
        <f ca="1">IFERROR(__xludf.DUMMYFUNCTION("""COMPUTED_VALUE"""),6.7)</f>
        <v>6.7</v>
      </c>
      <c r="I14" s="2" t="s">
        <v>28</v>
      </c>
    </row>
    <row r="15" spans="1:9" ht="13.2" x14ac:dyDescent="0.25">
      <c r="A15" s="7">
        <v>43225</v>
      </c>
      <c r="B15" s="4">
        <f ca="1">IFERROR(__xludf.DUMMYFUNCTION("split(I10, "" | "")"),53)</f>
        <v>53</v>
      </c>
      <c r="C15" s="4">
        <f ca="1">IFERROR(__xludf.DUMMYFUNCTION("""COMPUTED_VALUE"""),23.3)</f>
        <v>23.3</v>
      </c>
      <c r="D15" s="4">
        <f ca="1">IFERROR(__xludf.DUMMYFUNCTION("""COMPUTED_VALUE"""),8.4)</f>
        <v>8.4</v>
      </c>
      <c r="E15" s="4">
        <f ca="1">IFERROR(__xludf.DUMMYFUNCTION("""COMPUTED_VALUE"""),9.3)</f>
        <v>9.3000000000000007</v>
      </c>
      <c r="F15" s="4">
        <f ca="1">IFERROR(__xludf.DUMMYFUNCTION("""COMPUTED_VALUE"""),76.3)</f>
        <v>76.3</v>
      </c>
      <c r="G15" s="4">
        <f ca="1">IFERROR(__xludf.DUMMYFUNCTION("""COMPUTED_VALUE"""),17.7)</f>
        <v>17.7</v>
      </c>
      <c r="H15" s="4">
        <f ca="1">IFERROR(__xludf.DUMMYFUNCTION("""COMPUTED_VALUE"""),6)</f>
        <v>6</v>
      </c>
      <c r="I15" s="2" t="s">
        <v>31</v>
      </c>
    </row>
    <row r="16" spans="1:9" ht="13.2" x14ac:dyDescent="0.25">
      <c r="A16" s="7">
        <v>43232</v>
      </c>
      <c r="B16" s="4">
        <f ca="1">IFERROR(__xludf.DUMMYFUNCTION("split(I11, "" | "")"),50.3)</f>
        <v>50.3</v>
      </c>
      <c r="C16" s="4">
        <f ca="1">IFERROR(__xludf.DUMMYFUNCTION("""COMPUTED_VALUE"""),24.5)</f>
        <v>24.5</v>
      </c>
      <c r="D16" s="4">
        <f ca="1">IFERROR(__xludf.DUMMYFUNCTION("""COMPUTED_VALUE"""),9.8)</f>
        <v>9.8000000000000007</v>
      </c>
      <c r="E16" s="4">
        <f ca="1">IFERROR(__xludf.DUMMYFUNCTION("""COMPUTED_VALUE"""),11)</f>
        <v>11</v>
      </c>
      <c r="F16" s="4">
        <f ca="1">IFERROR(__xludf.DUMMYFUNCTION("""COMPUTED_VALUE"""),74.8)</f>
        <v>74.8</v>
      </c>
      <c r="G16" s="4">
        <f ca="1">IFERROR(__xludf.DUMMYFUNCTION("""COMPUTED_VALUE"""),20.8)</f>
        <v>20.8</v>
      </c>
      <c r="H16" s="4">
        <f ca="1">IFERROR(__xludf.DUMMYFUNCTION("""COMPUTED_VALUE"""),4.4)</f>
        <v>4.4000000000000004</v>
      </c>
      <c r="I16" s="2" t="s">
        <v>33</v>
      </c>
    </row>
    <row r="17" spans="1:9" ht="13.2" x14ac:dyDescent="0.25">
      <c r="A17" s="7">
        <v>43239</v>
      </c>
      <c r="B17" s="4">
        <f ca="1">IFERROR(__xludf.DUMMYFUNCTION("split(I12, "" | "")"),49.2)</f>
        <v>49.2</v>
      </c>
      <c r="C17" s="4">
        <f ca="1">IFERROR(__xludf.DUMMYFUNCTION("""COMPUTED_VALUE"""),23.3)</f>
        <v>23.3</v>
      </c>
      <c r="D17" s="4">
        <f ca="1">IFERROR(__xludf.DUMMYFUNCTION("""COMPUTED_VALUE"""),10.2)</f>
        <v>10.199999999999999</v>
      </c>
      <c r="E17" s="4">
        <f ca="1">IFERROR(__xludf.DUMMYFUNCTION("""COMPUTED_VALUE"""),12.4)</f>
        <v>12.4</v>
      </c>
      <c r="F17" s="4">
        <f ca="1">IFERROR(__xludf.DUMMYFUNCTION("""COMPUTED_VALUE"""),72.5)</f>
        <v>72.5</v>
      </c>
      <c r="G17" s="4">
        <f ca="1">IFERROR(__xludf.DUMMYFUNCTION("""COMPUTED_VALUE"""),22.6)</f>
        <v>22.6</v>
      </c>
      <c r="H17" s="4">
        <f ca="1">IFERROR(__xludf.DUMMYFUNCTION("""COMPUTED_VALUE"""),4.9)</f>
        <v>4.9000000000000004</v>
      </c>
      <c r="I17" s="2" t="s">
        <v>35</v>
      </c>
    </row>
    <row r="18" spans="1:9" ht="13.2" x14ac:dyDescent="0.25">
      <c r="A18" s="7">
        <v>43246</v>
      </c>
      <c r="B18" s="4">
        <f ca="1">IFERROR(__xludf.DUMMYFUNCTION("split(I13, "" | "")"),49.2)</f>
        <v>49.2</v>
      </c>
      <c r="C18" s="4">
        <f ca="1">IFERROR(__xludf.DUMMYFUNCTION("""COMPUTED_VALUE"""),22.2)</f>
        <v>22.2</v>
      </c>
      <c r="D18" s="4">
        <f ca="1">IFERROR(__xludf.DUMMYFUNCTION("""COMPUTED_VALUE"""),11.1)</f>
        <v>11.1</v>
      </c>
      <c r="E18" s="4">
        <f ca="1">IFERROR(__xludf.DUMMYFUNCTION("""COMPUTED_VALUE"""),10.8)</f>
        <v>10.8</v>
      </c>
      <c r="F18" s="4">
        <f ca="1">IFERROR(__xludf.DUMMYFUNCTION("""COMPUTED_VALUE"""),71.4)</f>
        <v>71.400000000000006</v>
      </c>
      <c r="G18" s="4">
        <f ca="1">IFERROR(__xludf.DUMMYFUNCTION("""COMPUTED_VALUE"""),21.9)</f>
        <v>21.9</v>
      </c>
      <c r="H18" s="4">
        <f ca="1">IFERROR(__xludf.DUMMYFUNCTION("""COMPUTED_VALUE"""),6.7)</f>
        <v>6.7</v>
      </c>
      <c r="I18" s="2" t="s">
        <v>37</v>
      </c>
    </row>
    <row r="19" spans="1:9" ht="13.2" x14ac:dyDescent="0.25">
      <c r="A19" s="7">
        <v>43253</v>
      </c>
      <c r="B19" s="4">
        <f ca="1">IFERROR(__xludf.DUMMYFUNCTION("split(I14, "" | "")"),47.7)</f>
        <v>47.7</v>
      </c>
      <c r="C19" s="4">
        <f ca="1">IFERROR(__xludf.DUMMYFUNCTION("""COMPUTED_VALUE"""),24.6)</f>
        <v>24.6</v>
      </c>
      <c r="D19" s="4">
        <f ca="1">IFERROR(__xludf.DUMMYFUNCTION("""COMPUTED_VALUE"""),9.7)</f>
        <v>9.6999999999999993</v>
      </c>
      <c r="E19" s="4">
        <f ca="1">IFERROR(__xludf.DUMMYFUNCTION("""COMPUTED_VALUE"""),11.6)</f>
        <v>11.6</v>
      </c>
      <c r="F19" s="4">
        <f ca="1">IFERROR(__xludf.DUMMYFUNCTION("""COMPUTED_VALUE"""),72.3)</f>
        <v>72.3</v>
      </c>
      <c r="G19" s="4">
        <f ca="1">IFERROR(__xludf.DUMMYFUNCTION("""COMPUTED_VALUE"""),21.3)</f>
        <v>21.3</v>
      </c>
      <c r="H19" s="4">
        <f ca="1">IFERROR(__xludf.DUMMYFUNCTION("""COMPUTED_VALUE"""),6.4)</f>
        <v>6.4</v>
      </c>
      <c r="I19" s="2" t="s">
        <v>40</v>
      </c>
    </row>
    <row r="20" spans="1:9" ht="13.2" x14ac:dyDescent="0.25">
      <c r="A20" s="7">
        <v>43260</v>
      </c>
      <c r="B20" s="4">
        <f ca="1">IFERROR(__xludf.DUMMYFUNCTION("split(I15, "" | "")"),50.4)</f>
        <v>50.4</v>
      </c>
      <c r="C20" s="4">
        <f ca="1">IFERROR(__xludf.DUMMYFUNCTION("""COMPUTED_VALUE"""),25.5)</f>
        <v>25.5</v>
      </c>
      <c r="D20" s="4">
        <f ca="1">IFERROR(__xludf.DUMMYFUNCTION("""COMPUTED_VALUE"""),8.6)</f>
        <v>8.6</v>
      </c>
      <c r="E20" s="4">
        <f ca="1">IFERROR(__xludf.DUMMYFUNCTION("""COMPUTED_VALUE"""),10.4)</f>
        <v>10.4</v>
      </c>
      <c r="F20" s="4">
        <f ca="1">IFERROR(__xludf.DUMMYFUNCTION("""COMPUTED_VALUE"""),75.9)</f>
        <v>75.900000000000006</v>
      </c>
      <c r="G20" s="4">
        <f ca="1">IFERROR(__xludf.DUMMYFUNCTION("""COMPUTED_VALUE"""),19)</f>
        <v>19</v>
      </c>
      <c r="H20" s="4">
        <f ca="1">IFERROR(__xludf.DUMMYFUNCTION("""COMPUTED_VALUE"""),5.1)</f>
        <v>5.0999999999999996</v>
      </c>
      <c r="I20" s="2" t="s">
        <v>42</v>
      </c>
    </row>
    <row r="21" spans="1:9" ht="13.2" x14ac:dyDescent="0.25">
      <c r="A21" s="7">
        <v>43267</v>
      </c>
      <c r="B21" s="4">
        <f ca="1">IFERROR(__xludf.DUMMYFUNCTION("split(I16, "" | "")"),48.6)</f>
        <v>48.6</v>
      </c>
      <c r="C21" s="4">
        <f ca="1">IFERROR(__xludf.DUMMYFUNCTION("""COMPUTED_VALUE"""),26.8)</f>
        <v>26.8</v>
      </c>
      <c r="D21" s="4">
        <f ca="1">IFERROR(__xludf.DUMMYFUNCTION("""COMPUTED_VALUE"""),8.7)</f>
        <v>8.6999999999999993</v>
      </c>
      <c r="E21" s="4">
        <f ca="1">IFERROR(__xludf.DUMMYFUNCTION("""COMPUTED_VALUE"""),10.4)</f>
        <v>10.4</v>
      </c>
      <c r="F21" s="4">
        <f ca="1">IFERROR(__xludf.DUMMYFUNCTION("""COMPUTED_VALUE"""),75.4)</f>
        <v>75.400000000000006</v>
      </c>
      <c r="G21" s="4">
        <f ca="1">IFERROR(__xludf.DUMMYFUNCTION("""COMPUTED_VALUE"""),19.1)</f>
        <v>19.100000000000001</v>
      </c>
      <c r="H21" s="4">
        <f ca="1">IFERROR(__xludf.DUMMYFUNCTION("""COMPUTED_VALUE"""),5.5)</f>
        <v>5.5</v>
      </c>
      <c r="I21" s="2" t="s">
        <v>45</v>
      </c>
    </row>
    <row r="22" spans="1:9" ht="13.2" x14ac:dyDescent="0.25">
      <c r="A22" s="7">
        <v>43274</v>
      </c>
      <c r="B22" s="4">
        <f ca="1">IFERROR(__xludf.DUMMYFUNCTION("split(I17, "" | "")"),44.8)</f>
        <v>44.8</v>
      </c>
      <c r="C22" s="4">
        <f ca="1">IFERROR(__xludf.DUMMYFUNCTION("""COMPUTED_VALUE"""),26.7)</f>
        <v>26.7</v>
      </c>
      <c r="D22" s="4">
        <f ca="1">IFERROR(__xludf.DUMMYFUNCTION("""COMPUTED_VALUE"""),10.6)</f>
        <v>10.6</v>
      </c>
      <c r="E22" s="4">
        <f ca="1">IFERROR(__xludf.DUMMYFUNCTION("""COMPUTED_VALUE"""),11.9)</f>
        <v>11.9</v>
      </c>
      <c r="F22" s="4">
        <f ca="1">IFERROR(__xludf.DUMMYFUNCTION("""COMPUTED_VALUE"""),71.5)</f>
        <v>71.5</v>
      </c>
      <c r="G22" s="4">
        <f ca="1">IFERROR(__xludf.DUMMYFUNCTION("""COMPUTED_VALUE"""),22.5)</f>
        <v>22.5</v>
      </c>
      <c r="H22" s="4">
        <f ca="1">IFERROR(__xludf.DUMMYFUNCTION("""COMPUTED_VALUE"""),6)</f>
        <v>6</v>
      </c>
      <c r="I22" s="2" t="s">
        <v>46</v>
      </c>
    </row>
    <row r="23" spans="1:9" ht="13.2" x14ac:dyDescent="0.25">
      <c r="A23" s="7">
        <v>43281</v>
      </c>
      <c r="B23" s="4">
        <f ca="1">IFERROR(__xludf.DUMMYFUNCTION("split(I18, "" | "")"),42.2)</f>
        <v>42.2</v>
      </c>
      <c r="C23" s="4">
        <f ca="1">IFERROR(__xludf.DUMMYFUNCTION("""COMPUTED_VALUE"""),27.1)</f>
        <v>27.1</v>
      </c>
      <c r="D23" s="4">
        <f ca="1">IFERROR(__xludf.DUMMYFUNCTION("""COMPUTED_VALUE"""),10.7)</f>
        <v>10.7</v>
      </c>
      <c r="E23" s="4">
        <f ca="1">IFERROR(__xludf.DUMMYFUNCTION("""COMPUTED_VALUE"""),14.2)</f>
        <v>14.2</v>
      </c>
      <c r="F23" s="4">
        <f ca="1">IFERROR(__xludf.DUMMYFUNCTION("""COMPUTED_VALUE"""),69.3)</f>
        <v>69.3</v>
      </c>
      <c r="G23" s="4">
        <f ca="1">IFERROR(__xludf.DUMMYFUNCTION("""COMPUTED_VALUE"""),24.9)</f>
        <v>24.9</v>
      </c>
      <c r="H23" s="4">
        <f ca="1">IFERROR(__xludf.DUMMYFUNCTION("""COMPUTED_VALUE"""),5.8)</f>
        <v>5.8</v>
      </c>
      <c r="I23" s="2" t="s">
        <v>48</v>
      </c>
    </row>
    <row r="24" spans="1:9" ht="13.2" x14ac:dyDescent="0.25">
      <c r="A24" s="7">
        <v>43288</v>
      </c>
      <c r="B24" s="4">
        <f ca="1">IFERROR(__xludf.DUMMYFUNCTION("split(I19, "" | "")"),40.7)</f>
        <v>40.700000000000003</v>
      </c>
      <c r="C24" s="4">
        <f ca="1">IFERROR(__xludf.DUMMYFUNCTION("""COMPUTED_VALUE"""),27.4)</f>
        <v>27.4</v>
      </c>
      <c r="D24" s="4">
        <f ca="1">IFERROR(__xludf.DUMMYFUNCTION("""COMPUTED_VALUE"""),12.3)</f>
        <v>12.3</v>
      </c>
      <c r="E24" s="4">
        <f ca="1">IFERROR(__xludf.DUMMYFUNCTION("""COMPUTED_VALUE"""),13.9)</f>
        <v>13.9</v>
      </c>
      <c r="F24" s="4">
        <f ca="1">IFERROR(__xludf.DUMMYFUNCTION("""COMPUTED_VALUE"""),68.1)</f>
        <v>68.099999999999994</v>
      </c>
      <c r="G24" s="4">
        <f ca="1">IFERROR(__xludf.DUMMYFUNCTION("""COMPUTED_VALUE"""),26.2)</f>
        <v>26.2</v>
      </c>
      <c r="H24" s="4">
        <f ca="1">IFERROR(__xludf.DUMMYFUNCTION("""COMPUTED_VALUE"""),5.7)</f>
        <v>5.7</v>
      </c>
      <c r="I24" s="2" t="s">
        <v>50</v>
      </c>
    </row>
    <row r="25" spans="1:9" ht="13.2" x14ac:dyDescent="0.25">
      <c r="A25" s="7">
        <v>43295</v>
      </c>
      <c r="B25" s="4">
        <f ca="1">IFERROR(__xludf.DUMMYFUNCTION("split(I20, "" | "")"),35.1)</f>
        <v>35.1</v>
      </c>
      <c r="C25" s="4">
        <f ca="1">IFERROR(__xludf.DUMMYFUNCTION("""COMPUTED_VALUE"""),27.8)</f>
        <v>27.8</v>
      </c>
      <c r="D25" s="4">
        <f ca="1">IFERROR(__xludf.DUMMYFUNCTION("""COMPUTED_VALUE"""),15)</f>
        <v>15</v>
      </c>
      <c r="E25" s="4">
        <f ca="1">IFERROR(__xludf.DUMMYFUNCTION("""COMPUTED_VALUE"""),16.4)</f>
        <v>16.399999999999999</v>
      </c>
      <c r="F25" s="4">
        <f ca="1">IFERROR(__xludf.DUMMYFUNCTION("""COMPUTED_VALUE"""),62.9)</f>
        <v>62.9</v>
      </c>
      <c r="G25" s="4">
        <f ca="1">IFERROR(__xludf.DUMMYFUNCTION("""COMPUTED_VALUE"""),31.4)</f>
        <v>31.4</v>
      </c>
      <c r="H25" s="4">
        <f ca="1">IFERROR(__xludf.DUMMYFUNCTION("""COMPUTED_VALUE"""),5.7)</f>
        <v>5.7</v>
      </c>
      <c r="I25" s="2" t="s">
        <v>52</v>
      </c>
    </row>
    <row r="26" spans="1:9" ht="13.2" x14ac:dyDescent="0.25">
      <c r="A26" s="7">
        <v>43302</v>
      </c>
      <c r="B26" s="4">
        <f ca="1">IFERROR(__xludf.DUMMYFUNCTION("split(I21, "" | "")"),35)</f>
        <v>35</v>
      </c>
      <c r="C26" s="4">
        <f ca="1">IFERROR(__xludf.DUMMYFUNCTION("""COMPUTED_VALUE"""),26.1)</f>
        <v>26.1</v>
      </c>
      <c r="D26" s="4">
        <f ca="1">IFERROR(__xludf.DUMMYFUNCTION("""COMPUTED_VALUE"""),15.8)</f>
        <v>15.8</v>
      </c>
      <c r="E26" s="4">
        <f ca="1">IFERROR(__xludf.DUMMYFUNCTION("""COMPUTED_VALUE"""),17.5)</f>
        <v>17.5</v>
      </c>
      <c r="F26" s="4">
        <f ca="1">IFERROR(__xludf.DUMMYFUNCTION("""COMPUTED_VALUE"""),61.1)</f>
        <v>61.1</v>
      </c>
      <c r="G26" s="4">
        <f ca="1">IFERROR(__xludf.DUMMYFUNCTION("""COMPUTED_VALUE"""),33.3)</f>
        <v>33.299999999999997</v>
      </c>
      <c r="H26" s="4">
        <f ca="1">IFERROR(__xludf.DUMMYFUNCTION("""COMPUTED_VALUE"""),5.6)</f>
        <v>5.6</v>
      </c>
      <c r="I26" s="2" t="s">
        <v>54</v>
      </c>
    </row>
    <row r="27" spans="1:9" ht="13.2" x14ac:dyDescent="0.25">
      <c r="A27" s="7">
        <v>43309</v>
      </c>
      <c r="B27" s="4">
        <f ca="1">IFERROR(__xludf.DUMMYFUNCTION("split(I22, "" | "")"),35.5)</f>
        <v>35.5</v>
      </c>
      <c r="C27" s="4">
        <f ca="1">IFERROR(__xludf.DUMMYFUNCTION("""COMPUTED_VALUE"""),27.7)</f>
        <v>27.7</v>
      </c>
      <c r="D27" s="4">
        <f ca="1">IFERROR(__xludf.DUMMYFUNCTION("""COMPUTED_VALUE"""),14.3)</f>
        <v>14.3</v>
      </c>
      <c r="E27" s="4">
        <f ca="1">IFERROR(__xludf.DUMMYFUNCTION("""COMPUTED_VALUE"""),16.1)</f>
        <v>16.100000000000001</v>
      </c>
      <c r="F27" s="4">
        <f ca="1">IFERROR(__xludf.DUMMYFUNCTION("""COMPUTED_VALUE"""),63.2)</f>
        <v>63.2</v>
      </c>
      <c r="G27" s="4">
        <f ca="1">IFERROR(__xludf.DUMMYFUNCTION("""COMPUTED_VALUE"""),30.4)</f>
        <v>30.4</v>
      </c>
      <c r="H27" s="4">
        <f ca="1">IFERROR(__xludf.DUMMYFUNCTION("""COMPUTED_VALUE"""),6.4)</f>
        <v>6.4</v>
      </c>
      <c r="I27" s="2" t="s">
        <v>57</v>
      </c>
    </row>
    <row r="28" spans="1:9" ht="13.2" x14ac:dyDescent="0.25">
      <c r="A28" s="7">
        <v>43316</v>
      </c>
      <c r="B28" s="4">
        <f ca="1">IFERROR(__xludf.DUMMYFUNCTION("split(I23, "" | "")"),32.3)</f>
        <v>32.299999999999997</v>
      </c>
      <c r="C28" s="4">
        <f ca="1">IFERROR(__xludf.DUMMYFUNCTION("""COMPUTED_VALUE"""),25.8)</f>
        <v>25.8</v>
      </c>
      <c r="D28" s="4">
        <f ca="1">IFERROR(__xludf.DUMMYFUNCTION("""COMPUTED_VALUE"""),14.9)</f>
        <v>14.9</v>
      </c>
      <c r="E28" s="4">
        <f ca="1">IFERROR(__xludf.DUMMYFUNCTION("""COMPUTED_VALUE"""),21.5)</f>
        <v>21.5</v>
      </c>
      <c r="F28" s="4">
        <f ca="1">IFERROR(__xludf.DUMMYFUNCTION("""COMPUTED_VALUE"""),58.1)</f>
        <v>58.1</v>
      </c>
      <c r="G28" s="4">
        <f ca="1">IFERROR(__xludf.DUMMYFUNCTION("""COMPUTED_VALUE"""),36.4)</f>
        <v>36.4</v>
      </c>
      <c r="H28" s="4">
        <f ca="1">IFERROR(__xludf.DUMMYFUNCTION("""COMPUTED_VALUE"""),5.5)</f>
        <v>5.5</v>
      </c>
      <c r="I28" s="2" t="s">
        <v>59</v>
      </c>
    </row>
    <row r="29" spans="1:9" ht="13.2" x14ac:dyDescent="0.25">
      <c r="A29" s="7">
        <v>43323</v>
      </c>
      <c r="B29" s="4">
        <f ca="1">IFERROR(__xludf.DUMMYFUNCTION("split(I24, "" | "")"),28.3)</f>
        <v>28.3</v>
      </c>
      <c r="C29" s="4">
        <f ca="1">IFERROR(__xludf.DUMMYFUNCTION("""COMPUTED_VALUE"""),28)</f>
        <v>28</v>
      </c>
      <c r="D29" s="4">
        <f ca="1">IFERROR(__xludf.DUMMYFUNCTION("""COMPUTED_VALUE"""),17.3)</f>
        <v>17.3</v>
      </c>
      <c r="E29" s="4">
        <f ca="1">IFERROR(__xludf.DUMMYFUNCTION("""COMPUTED_VALUE"""),21.1)</f>
        <v>21.1</v>
      </c>
      <c r="F29" s="4">
        <f ca="1">IFERROR(__xludf.DUMMYFUNCTION("""COMPUTED_VALUE"""),56.3)</f>
        <v>56.3</v>
      </c>
      <c r="G29" s="4">
        <f ca="1">IFERROR(__xludf.DUMMYFUNCTION("""COMPUTED_VALUE"""),38.4)</f>
        <v>38.4</v>
      </c>
      <c r="H29" s="4">
        <f ca="1">IFERROR(__xludf.DUMMYFUNCTION("""COMPUTED_VALUE"""),5.3)</f>
        <v>5.3</v>
      </c>
      <c r="I29" s="2" t="s">
        <v>61</v>
      </c>
    </row>
    <row r="30" spans="1:9" ht="13.2" x14ac:dyDescent="0.25">
      <c r="A30" s="7">
        <v>43330</v>
      </c>
      <c r="B30" s="4">
        <f ca="1">IFERROR(__xludf.DUMMYFUNCTION("split(I25, "" | "")"),28.3)</f>
        <v>28.3</v>
      </c>
      <c r="C30" s="4">
        <f ca="1">IFERROR(__xludf.DUMMYFUNCTION("""COMPUTED_VALUE"""),27.7)</f>
        <v>27.7</v>
      </c>
      <c r="D30" s="4">
        <f ca="1">IFERROR(__xludf.DUMMYFUNCTION("""COMPUTED_VALUE"""),16.6)</f>
        <v>16.600000000000001</v>
      </c>
      <c r="E30" s="4">
        <f ca="1">IFERROR(__xludf.DUMMYFUNCTION("""COMPUTED_VALUE"""),21.5)</f>
        <v>21.5</v>
      </c>
      <c r="F30" s="4">
        <f ca="1">IFERROR(__xludf.DUMMYFUNCTION("""COMPUTED_VALUE"""),56)</f>
        <v>56</v>
      </c>
      <c r="G30" s="4">
        <f ca="1">IFERROR(__xludf.DUMMYFUNCTION("""COMPUTED_VALUE"""),38.1)</f>
        <v>38.1</v>
      </c>
      <c r="H30" s="4">
        <f ca="1">IFERROR(__xludf.DUMMYFUNCTION("""COMPUTED_VALUE"""),5.9)</f>
        <v>5.9</v>
      </c>
      <c r="I30" s="2" t="s">
        <v>63</v>
      </c>
    </row>
    <row r="31" spans="1:9" ht="13.2" x14ac:dyDescent="0.25">
      <c r="A31" s="7">
        <v>43337</v>
      </c>
      <c r="B31" s="4">
        <f ca="1">IFERROR(__xludf.DUMMYFUNCTION("split(I26, "" | "")"),27.9)</f>
        <v>27.9</v>
      </c>
      <c r="C31" s="4">
        <f ca="1">IFERROR(__xludf.DUMMYFUNCTION("""COMPUTED_VALUE"""),27.3)</f>
        <v>27.3</v>
      </c>
      <c r="D31" s="4">
        <f ca="1">IFERROR(__xludf.DUMMYFUNCTION("""COMPUTED_VALUE"""),16.8)</f>
        <v>16.8</v>
      </c>
      <c r="E31" s="4">
        <f ca="1">IFERROR(__xludf.DUMMYFUNCTION("""COMPUTED_VALUE"""),23.2)</f>
        <v>23.2</v>
      </c>
      <c r="F31" s="4">
        <f ca="1">IFERROR(__xludf.DUMMYFUNCTION("""COMPUTED_VALUE"""),55.2)</f>
        <v>55.2</v>
      </c>
      <c r="G31" s="4">
        <f ca="1">IFERROR(__xludf.DUMMYFUNCTION("""COMPUTED_VALUE"""),40)</f>
        <v>40</v>
      </c>
      <c r="H31" s="4">
        <f ca="1">IFERROR(__xludf.DUMMYFUNCTION("""COMPUTED_VALUE"""),4.8)</f>
        <v>4.8</v>
      </c>
      <c r="I31" s="2" t="s">
        <v>65</v>
      </c>
    </row>
    <row r="32" spans="1:9" ht="13.2" x14ac:dyDescent="0.25">
      <c r="A32" s="7">
        <v>43344</v>
      </c>
      <c r="B32" s="4">
        <f ca="1">IFERROR(__xludf.DUMMYFUNCTION("split(I27, "" | "")"),26)</f>
        <v>26</v>
      </c>
      <c r="C32" s="4">
        <f ca="1">IFERROR(__xludf.DUMMYFUNCTION("""COMPUTED_VALUE"""),27.5)</f>
        <v>27.5</v>
      </c>
      <c r="D32" s="4">
        <f ca="1">IFERROR(__xludf.DUMMYFUNCTION("""COMPUTED_VALUE"""),16.9)</f>
        <v>16.899999999999999</v>
      </c>
      <c r="E32" s="4">
        <f ca="1">IFERROR(__xludf.DUMMYFUNCTION("""COMPUTED_VALUE"""),23.6)</f>
        <v>23.6</v>
      </c>
      <c r="F32" s="4">
        <f ca="1">IFERROR(__xludf.DUMMYFUNCTION("""COMPUTED_VALUE"""),53.5)</f>
        <v>53.5</v>
      </c>
      <c r="G32" s="4">
        <f ca="1">IFERROR(__xludf.DUMMYFUNCTION("""COMPUTED_VALUE"""),40.5)</f>
        <v>40.5</v>
      </c>
      <c r="H32" s="4">
        <f ca="1">IFERROR(__xludf.DUMMYFUNCTION("""COMPUTED_VALUE"""),6)</f>
        <v>6</v>
      </c>
      <c r="I32" s="2" t="s">
        <v>67</v>
      </c>
    </row>
    <row r="33" spans="1:9" ht="13.2" x14ac:dyDescent="0.25">
      <c r="A33" s="7">
        <v>43351</v>
      </c>
      <c r="B33" s="4">
        <f ca="1">IFERROR(__xludf.DUMMYFUNCTION("split(I28, "" | "")"),27.4)</f>
        <v>27.4</v>
      </c>
      <c r="C33" s="4">
        <f ca="1">IFERROR(__xludf.DUMMYFUNCTION("""COMPUTED_VALUE"""),25.7)</f>
        <v>25.7</v>
      </c>
      <c r="D33" s="4">
        <f ca="1">IFERROR(__xludf.DUMMYFUNCTION("""COMPUTED_VALUE"""),15.2)</f>
        <v>15.2</v>
      </c>
      <c r="E33" s="4">
        <f ca="1">IFERROR(__xludf.DUMMYFUNCTION("""COMPUTED_VALUE"""),26.5)</f>
        <v>26.5</v>
      </c>
      <c r="F33" s="4">
        <f ca="1">IFERROR(__xludf.DUMMYFUNCTION("""COMPUTED_VALUE"""),53.1)</f>
        <v>53.1</v>
      </c>
      <c r="G33" s="4">
        <f ca="1">IFERROR(__xludf.DUMMYFUNCTION("""COMPUTED_VALUE"""),41.7)</f>
        <v>41.7</v>
      </c>
      <c r="H33" s="4">
        <f ca="1">IFERROR(__xludf.DUMMYFUNCTION("""COMPUTED_VALUE"""),5.2)</f>
        <v>5.2</v>
      </c>
      <c r="I33" s="2" t="s">
        <v>70</v>
      </c>
    </row>
    <row r="34" spans="1:9" ht="13.2" x14ac:dyDescent="0.25">
      <c r="A34" s="7">
        <v>43358</v>
      </c>
      <c r="B34" s="4">
        <f ca="1">IFERROR(__xludf.DUMMYFUNCTION("split(I29, "" | "")"),35.6)</f>
        <v>35.6</v>
      </c>
      <c r="C34" s="4">
        <f ca="1">IFERROR(__xludf.DUMMYFUNCTION("""COMPUTED_VALUE"""),26.3)</f>
        <v>26.3</v>
      </c>
      <c r="D34" s="4">
        <f ca="1">IFERROR(__xludf.DUMMYFUNCTION("""COMPUTED_VALUE"""),13.6)</f>
        <v>13.6</v>
      </c>
      <c r="E34" s="4">
        <f ca="1">IFERROR(__xludf.DUMMYFUNCTION("""COMPUTED_VALUE"""),18.7)</f>
        <v>18.7</v>
      </c>
      <c r="F34" s="4">
        <f ca="1">IFERROR(__xludf.DUMMYFUNCTION("""COMPUTED_VALUE"""),61.9)</f>
        <v>61.9</v>
      </c>
      <c r="G34" s="4">
        <f ca="1">IFERROR(__xludf.DUMMYFUNCTION("""COMPUTED_VALUE"""),32.3)</f>
        <v>32.299999999999997</v>
      </c>
      <c r="H34" s="4">
        <f ca="1">IFERROR(__xludf.DUMMYFUNCTION("""COMPUTED_VALUE"""),5.8)</f>
        <v>5.8</v>
      </c>
      <c r="I34" s="2" t="s">
        <v>72</v>
      </c>
    </row>
    <row r="35" spans="1:9" ht="13.2" x14ac:dyDescent="0.25">
      <c r="A35" s="7">
        <v>43365</v>
      </c>
      <c r="B35" s="4">
        <f ca="1">IFERROR(__xludf.DUMMYFUNCTION("split(I30, "" | "")"),39.8)</f>
        <v>39.799999999999997</v>
      </c>
      <c r="C35" s="4">
        <f ca="1">IFERROR(__xludf.DUMMYFUNCTION("""COMPUTED_VALUE"""),25.5)</f>
        <v>25.5</v>
      </c>
      <c r="D35" s="4">
        <f ca="1">IFERROR(__xludf.DUMMYFUNCTION("""COMPUTED_VALUE"""),13.7)</f>
        <v>13.7</v>
      </c>
      <c r="E35" s="4">
        <f ca="1">IFERROR(__xludf.DUMMYFUNCTION("""COMPUTED_VALUE"""),16.6)</f>
        <v>16.600000000000001</v>
      </c>
      <c r="F35" s="4">
        <f ca="1">IFERROR(__xludf.DUMMYFUNCTION("""COMPUTED_VALUE"""),65.3)</f>
        <v>65.3</v>
      </c>
      <c r="G35" s="4">
        <f ca="1">IFERROR(__xludf.DUMMYFUNCTION("""COMPUTED_VALUE"""),30.3)</f>
        <v>30.3</v>
      </c>
      <c r="H35" s="4">
        <f ca="1">IFERROR(__xludf.DUMMYFUNCTION("""COMPUTED_VALUE"""),4.4)</f>
        <v>4.4000000000000004</v>
      </c>
      <c r="I35" s="2" t="s">
        <v>75</v>
      </c>
    </row>
    <row r="36" spans="1:9" ht="13.2" x14ac:dyDescent="0.25">
      <c r="A36" s="7">
        <v>43372</v>
      </c>
      <c r="B36" s="4">
        <f ca="1">IFERROR(__xludf.DUMMYFUNCTION("split(I31, "" | "")"),38.5)</f>
        <v>38.5</v>
      </c>
      <c r="C36" s="4">
        <f ca="1">IFERROR(__xludf.DUMMYFUNCTION("""COMPUTED_VALUE"""),24.2)</f>
        <v>24.2</v>
      </c>
      <c r="D36" s="4">
        <f ca="1">IFERROR(__xludf.DUMMYFUNCTION("""COMPUTED_VALUE"""),12.6)</f>
        <v>12.6</v>
      </c>
      <c r="E36" s="4">
        <f ca="1">IFERROR(__xludf.DUMMYFUNCTION("""COMPUTED_VALUE"""),19)</f>
        <v>19</v>
      </c>
      <c r="F36" s="4">
        <f ca="1">IFERROR(__xludf.DUMMYFUNCTION("""COMPUTED_VALUE"""),62.7)</f>
        <v>62.7</v>
      </c>
      <c r="G36" s="4">
        <f ca="1">IFERROR(__xludf.DUMMYFUNCTION("""COMPUTED_VALUE"""),31.6)</f>
        <v>31.6</v>
      </c>
      <c r="H36" s="4">
        <f ca="1">IFERROR(__xludf.DUMMYFUNCTION("""COMPUTED_VALUE"""),5.7)</f>
        <v>5.7</v>
      </c>
      <c r="I36" s="2" t="s">
        <v>77</v>
      </c>
    </row>
    <row r="37" spans="1:9" ht="13.2" x14ac:dyDescent="0.25">
      <c r="A37" s="7">
        <v>43379</v>
      </c>
      <c r="B37" s="4">
        <f ca="1">IFERROR(__xludf.DUMMYFUNCTION("split(I32, "" | "")"),35.4)</f>
        <v>35.4</v>
      </c>
      <c r="C37" s="4">
        <f ca="1">IFERROR(__xludf.DUMMYFUNCTION("""COMPUTED_VALUE"""),26.5)</f>
        <v>26.5</v>
      </c>
      <c r="D37" s="4">
        <f ca="1">IFERROR(__xludf.DUMMYFUNCTION("""COMPUTED_VALUE"""),14.6)</f>
        <v>14.6</v>
      </c>
      <c r="E37" s="4">
        <f ca="1">IFERROR(__xludf.DUMMYFUNCTION("""COMPUTED_VALUE"""),16.8)</f>
        <v>16.8</v>
      </c>
      <c r="F37" s="4">
        <f ca="1">IFERROR(__xludf.DUMMYFUNCTION("""COMPUTED_VALUE"""),61.9)</f>
        <v>61.9</v>
      </c>
      <c r="G37" s="4">
        <f ca="1">IFERROR(__xludf.DUMMYFUNCTION("""COMPUTED_VALUE"""),31.4)</f>
        <v>31.4</v>
      </c>
      <c r="H37" s="4">
        <f ca="1">IFERROR(__xludf.DUMMYFUNCTION("""COMPUTED_VALUE"""),6.7)</f>
        <v>6.7</v>
      </c>
      <c r="I37" s="2" t="s">
        <v>79</v>
      </c>
    </row>
    <row r="38" spans="1:9" ht="13.2" x14ac:dyDescent="0.25">
      <c r="A38" s="7">
        <v>43386</v>
      </c>
      <c r="B38" s="4">
        <f ca="1">IFERROR(__xludf.DUMMYFUNCTION("split(I33, "" | "")"),34.8)</f>
        <v>34.799999999999997</v>
      </c>
      <c r="C38" s="4">
        <f ca="1">IFERROR(__xludf.DUMMYFUNCTION("""COMPUTED_VALUE"""),25.6)</f>
        <v>25.6</v>
      </c>
      <c r="D38" s="4">
        <f ca="1">IFERROR(__xludf.DUMMYFUNCTION("""COMPUTED_VALUE"""),13)</f>
        <v>13</v>
      </c>
      <c r="E38" s="4">
        <f ca="1">IFERROR(__xludf.DUMMYFUNCTION("""COMPUTED_VALUE"""),20)</f>
        <v>20</v>
      </c>
      <c r="F38" s="4">
        <f ca="1">IFERROR(__xludf.DUMMYFUNCTION("""COMPUTED_VALUE"""),60.4)</f>
        <v>60.4</v>
      </c>
      <c r="G38" s="4">
        <f ca="1">IFERROR(__xludf.DUMMYFUNCTION("""COMPUTED_VALUE"""),33)</f>
        <v>33</v>
      </c>
      <c r="H38" s="4">
        <f ca="1">IFERROR(__xludf.DUMMYFUNCTION("""COMPUTED_VALUE"""),6.6)</f>
        <v>6.6</v>
      </c>
      <c r="I38" s="2" t="s">
        <v>81</v>
      </c>
    </row>
    <row r="39" spans="1:9" ht="13.2" x14ac:dyDescent="0.25">
      <c r="A39" s="7">
        <v>43393</v>
      </c>
      <c r="B39" s="4">
        <f ca="1">IFERROR(__xludf.DUMMYFUNCTION("split(I34, "" | "")"),32.7)</f>
        <v>32.700000000000003</v>
      </c>
      <c r="C39" s="4">
        <f ca="1">IFERROR(__xludf.DUMMYFUNCTION("""COMPUTED_VALUE"""),26)</f>
        <v>26</v>
      </c>
      <c r="D39" s="4">
        <f ca="1">IFERROR(__xludf.DUMMYFUNCTION("""COMPUTED_VALUE"""),13.6)</f>
        <v>13.6</v>
      </c>
      <c r="E39" s="4">
        <f ca="1">IFERROR(__xludf.DUMMYFUNCTION("""COMPUTED_VALUE"""),22)</f>
        <v>22</v>
      </c>
      <c r="F39" s="4">
        <f ca="1">IFERROR(__xludf.DUMMYFUNCTION("""COMPUTED_VALUE"""),58.7)</f>
        <v>58.7</v>
      </c>
      <c r="G39" s="4">
        <f ca="1">IFERROR(__xludf.DUMMYFUNCTION("""COMPUTED_VALUE"""),35.6)</f>
        <v>35.6</v>
      </c>
      <c r="H39" s="4">
        <f ca="1">IFERROR(__xludf.DUMMYFUNCTION("""COMPUTED_VALUE"""),5.7)</f>
        <v>5.7</v>
      </c>
      <c r="I39" s="2" t="s">
        <v>83</v>
      </c>
    </row>
    <row r="40" spans="1:9" ht="13.2" x14ac:dyDescent="0.25">
      <c r="A40" s="7">
        <v>43400</v>
      </c>
      <c r="B40" s="4">
        <f ca="1">IFERROR(__xludf.DUMMYFUNCTION("split(I35, "" | "")"),30.3)</f>
        <v>30.3</v>
      </c>
      <c r="C40" s="4">
        <f ca="1">IFERROR(__xludf.DUMMYFUNCTION("""COMPUTED_VALUE"""),25.3)</f>
        <v>25.3</v>
      </c>
      <c r="D40" s="4">
        <f ca="1">IFERROR(__xludf.DUMMYFUNCTION("""COMPUTED_VALUE"""),16.1)</f>
        <v>16.100000000000001</v>
      </c>
      <c r="E40" s="4">
        <f ca="1">IFERROR(__xludf.DUMMYFUNCTION("""COMPUTED_VALUE"""),23)</f>
        <v>23</v>
      </c>
      <c r="F40" s="4">
        <f ca="1">IFERROR(__xludf.DUMMYFUNCTION("""COMPUTED_VALUE"""),55.6)</f>
        <v>55.6</v>
      </c>
      <c r="G40" s="4">
        <f ca="1">IFERROR(__xludf.DUMMYFUNCTION("""COMPUTED_VALUE"""),39.1)</f>
        <v>39.1</v>
      </c>
      <c r="H40" s="4">
        <f ca="1">IFERROR(__xludf.DUMMYFUNCTION("""COMPUTED_VALUE"""),5.3)</f>
        <v>5.3</v>
      </c>
      <c r="I40" s="2" t="s">
        <v>85</v>
      </c>
    </row>
    <row r="41" spans="1:9" ht="13.2" x14ac:dyDescent="0.25">
      <c r="A41" s="7">
        <v>43407</v>
      </c>
      <c r="B41" s="4">
        <f ca="1">IFERROR(__xludf.DUMMYFUNCTION("split(I36, "" | "")"),28.4)</f>
        <v>28.4</v>
      </c>
      <c r="C41" s="4">
        <f ca="1">IFERROR(__xludf.DUMMYFUNCTION("""COMPUTED_VALUE"""),27)</f>
        <v>27</v>
      </c>
      <c r="D41" s="4">
        <f ca="1">IFERROR(__xludf.DUMMYFUNCTION("""COMPUTED_VALUE"""),15.4)</f>
        <v>15.4</v>
      </c>
      <c r="E41" s="4">
        <f ca="1">IFERROR(__xludf.DUMMYFUNCTION("""COMPUTED_VALUE"""),22.9)</f>
        <v>22.9</v>
      </c>
      <c r="F41" s="4">
        <f ca="1">IFERROR(__xludf.DUMMYFUNCTION("""COMPUTED_VALUE"""),55.4)</f>
        <v>55.4</v>
      </c>
      <c r="G41" s="4">
        <f ca="1">IFERROR(__xludf.DUMMYFUNCTION("""COMPUTED_VALUE"""),38.3)</f>
        <v>38.299999999999997</v>
      </c>
      <c r="H41" s="4">
        <f ca="1">IFERROR(__xludf.DUMMYFUNCTION("""COMPUTED_VALUE"""),6.3)</f>
        <v>6.3</v>
      </c>
      <c r="I41" s="2" t="s">
        <v>86</v>
      </c>
    </row>
    <row r="42" spans="1:9" ht="13.2" x14ac:dyDescent="0.25">
      <c r="A42" s="7">
        <v>43414</v>
      </c>
    </row>
    <row r="43" spans="1:9" ht="13.2" x14ac:dyDescent="0.25">
      <c r="A43" s="7">
        <v>43421</v>
      </c>
      <c r="B43" s="4">
        <f ca="1">IFERROR(__xludf.DUMMYFUNCTION("split(I38, "" | "")"),26.5)</f>
        <v>26.5</v>
      </c>
      <c r="C43" s="4">
        <f ca="1">IFERROR(__xludf.DUMMYFUNCTION("""COMPUTED_VALUE"""),25.5)</f>
        <v>25.5</v>
      </c>
      <c r="D43" s="4">
        <f ca="1">IFERROR(__xludf.DUMMYFUNCTION("""COMPUTED_VALUE"""),15.6)</f>
        <v>15.6</v>
      </c>
      <c r="E43" s="4">
        <f ca="1">IFERROR(__xludf.DUMMYFUNCTION("""COMPUTED_VALUE"""),26.9)</f>
        <v>26.9</v>
      </c>
      <c r="F43" s="4">
        <f ca="1">IFERROR(__xludf.DUMMYFUNCTION("""COMPUTED_VALUE"""),52)</f>
        <v>52</v>
      </c>
      <c r="G43" s="4">
        <f ca="1">IFERROR(__xludf.DUMMYFUNCTION("""COMPUTED_VALUE"""),42.5)</f>
        <v>42.5</v>
      </c>
      <c r="H43" s="4">
        <f ca="1">IFERROR(__xludf.DUMMYFUNCTION("""COMPUTED_VALUE"""),5.5)</f>
        <v>5.5</v>
      </c>
      <c r="I43" s="2" t="s">
        <v>89</v>
      </c>
    </row>
    <row r="44" spans="1:9" ht="13.2" x14ac:dyDescent="0.25">
      <c r="A44" s="7">
        <v>43428</v>
      </c>
      <c r="B44" s="4">
        <f ca="1">IFERROR(__xludf.DUMMYFUNCTION("split(I39, "" | "")"),23.8)</f>
        <v>23.8</v>
      </c>
      <c r="C44" s="4">
        <f ca="1">IFERROR(__xludf.DUMMYFUNCTION("""COMPUTED_VALUE"""),24.6)</f>
        <v>24.6</v>
      </c>
      <c r="D44" s="4">
        <f ca="1">IFERROR(__xludf.DUMMYFUNCTION("""COMPUTED_VALUE"""),16.2)</f>
        <v>16.2</v>
      </c>
      <c r="E44" s="4">
        <f ca="1">IFERROR(__xludf.DUMMYFUNCTION("""COMPUTED_VALUE"""),30.4)</f>
        <v>30.4</v>
      </c>
      <c r="F44" s="4">
        <f ca="1">IFERROR(__xludf.DUMMYFUNCTION("""COMPUTED_VALUE"""),48.4)</f>
        <v>48.4</v>
      </c>
      <c r="G44" s="4">
        <f ca="1">IFERROR(__xludf.DUMMYFUNCTION("""COMPUTED_VALUE"""),46.6)</f>
        <v>46.6</v>
      </c>
      <c r="H44" s="4">
        <f ca="1">IFERROR(__xludf.DUMMYFUNCTION("""COMPUTED_VALUE"""),5)</f>
        <v>5</v>
      </c>
      <c r="I44" s="2" t="s">
        <v>91</v>
      </c>
    </row>
    <row r="45" spans="1:9" ht="13.2" x14ac:dyDescent="0.25">
      <c r="A45" s="7">
        <v>43435</v>
      </c>
      <c r="B45" s="4">
        <f ca="1">IFERROR(__xludf.DUMMYFUNCTION("split(I40, "" | "")"),25.2)</f>
        <v>25.2</v>
      </c>
      <c r="C45" s="4">
        <f ca="1">IFERROR(__xludf.DUMMYFUNCTION("""COMPUTED_VALUE"""),24.3)</f>
        <v>24.3</v>
      </c>
      <c r="D45" s="4">
        <f ca="1">IFERROR(__xludf.DUMMYFUNCTION("""COMPUTED_VALUE"""),17.1)</f>
        <v>17.100000000000001</v>
      </c>
      <c r="E45" s="4">
        <f ca="1">IFERROR(__xludf.DUMMYFUNCTION("""COMPUTED_VALUE"""),28.1)</f>
        <v>28.1</v>
      </c>
      <c r="F45" s="4">
        <f ca="1">IFERROR(__xludf.DUMMYFUNCTION("""COMPUTED_VALUE"""),49.5)</f>
        <v>49.5</v>
      </c>
      <c r="G45" s="4">
        <f ca="1">IFERROR(__xludf.DUMMYFUNCTION("""COMPUTED_VALUE"""),45.2)</f>
        <v>45.2</v>
      </c>
      <c r="H45" s="4">
        <f ca="1">IFERROR(__xludf.DUMMYFUNCTION("""COMPUTED_VALUE"""),5.3)</f>
        <v>5.3</v>
      </c>
      <c r="I45" s="2" t="s">
        <v>93</v>
      </c>
    </row>
    <row r="46" spans="1:9" ht="13.2" x14ac:dyDescent="0.25">
      <c r="A46" s="7">
        <v>43442</v>
      </c>
      <c r="B46" s="4">
        <f ca="1">IFERROR(__xludf.DUMMYFUNCTION("split(I41, "" | "")"),24.2)</f>
        <v>24.2</v>
      </c>
      <c r="C46" s="4">
        <f ca="1">IFERROR(__xludf.DUMMYFUNCTION("""COMPUTED_VALUE"""),24.3)</f>
        <v>24.3</v>
      </c>
      <c r="D46" s="4">
        <f ca="1">IFERROR(__xludf.DUMMYFUNCTION("""COMPUTED_VALUE"""),16.7)</f>
        <v>16.7</v>
      </c>
      <c r="E46" s="4">
        <f ca="1">IFERROR(__xludf.DUMMYFUNCTION("""COMPUTED_VALUE"""),30.1)</f>
        <v>30.1</v>
      </c>
      <c r="F46" s="4">
        <f ca="1">IFERROR(__xludf.DUMMYFUNCTION("""COMPUTED_VALUE"""),48.5)</f>
        <v>48.5</v>
      </c>
      <c r="G46" s="4">
        <f ca="1">IFERROR(__xludf.DUMMYFUNCTION("""COMPUTED_VALUE"""),46.8)</f>
        <v>46.8</v>
      </c>
      <c r="H46" s="4">
        <f ca="1">IFERROR(__xludf.DUMMYFUNCTION("""COMPUTED_VALUE"""),4.7)</f>
        <v>4.7</v>
      </c>
      <c r="I46" s="2" t="s">
        <v>96</v>
      </c>
    </row>
    <row r="47" spans="1:9" ht="13.2" x14ac:dyDescent="0.25">
      <c r="A47" s="7">
        <v>43449</v>
      </c>
      <c r="B47" s="4">
        <f ca="1">IFERROR(__xludf.DUMMYFUNCTION("split(I42, "" | "")"),22.7)</f>
        <v>22.7</v>
      </c>
      <c r="C47" s="4">
        <f ca="1">IFERROR(__xludf.DUMMYFUNCTION("""COMPUTED_VALUE"""),24.4)</f>
        <v>24.4</v>
      </c>
      <c r="D47" s="4">
        <f ca="1">IFERROR(__xludf.DUMMYFUNCTION("""COMPUTED_VALUE"""),15.5)</f>
        <v>15.5</v>
      </c>
      <c r="E47" s="4">
        <f ca="1">IFERROR(__xludf.DUMMYFUNCTION("""COMPUTED_VALUE"""),30.6)</f>
        <v>30.6</v>
      </c>
      <c r="F47" s="4">
        <f ca="1">IFERROR(__xludf.DUMMYFUNCTION("""COMPUTED_VALUE"""),47.1)</f>
        <v>47.1</v>
      </c>
      <c r="G47" s="4">
        <f ca="1">IFERROR(__xludf.DUMMYFUNCTION("""COMPUTED_VALUE"""),46.1)</f>
        <v>46.1</v>
      </c>
      <c r="H47" s="4">
        <f ca="1">IFERROR(__xludf.DUMMYFUNCTION("""COMPUTED_VALUE"""),6.8)</f>
        <v>6.8</v>
      </c>
      <c r="I47" s="2" t="s">
        <v>98</v>
      </c>
    </row>
    <row r="48" spans="1:9" ht="13.2" x14ac:dyDescent="0.25">
      <c r="A48" s="7">
        <v>43456</v>
      </c>
      <c r="B48" s="4">
        <f ca="1">IFERROR(__xludf.DUMMYFUNCTION("split(I43, "" | "")"),21.6)</f>
        <v>21.6</v>
      </c>
      <c r="C48" s="4">
        <f ca="1">IFERROR(__xludf.DUMMYFUNCTION("""COMPUTED_VALUE"""),24.3)</f>
        <v>24.3</v>
      </c>
      <c r="D48" s="4">
        <f ca="1">IFERROR(__xludf.DUMMYFUNCTION("""COMPUTED_VALUE"""),16.4)</f>
        <v>16.399999999999999</v>
      </c>
      <c r="E48" s="4">
        <f ca="1">IFERROR(__xludf.DUMMYFUNCTION("""COMPUTED_VALUE"""),33.3)</f>
        <v>33.299999999999997</v>
      </c>
      <c r="F48" s="4">
        <f ca="1">IFERROR(__xludf.DUMMYFUNCTION("""COMPUTED_VALUE"""),45.9)</f>
        <v>45.9</v>
      </c>
      <c r="G48" s="4">
        <f ca="1">IFERROR(__xludf.DUMMYFUNCTION("""COMPUTED_VALUE"""),49.7)</f>
        <v>49.7</v>
      </c>
      <c r="H48" s="4">
        <f ca="1">IFERROR(__xludf.DUMMYFUNCTION("""COMPUTED_VALUE"""),4.4)</f>
        <v>4.4000000000000004</v>
      </c>
      <c r="I48" s="2" t="s">
        <v>101</v>
      </c>
    </row>
    <row r="49" spans="1:9" ht="13.2" x14ac:dyDescent="0.25">
      <c r="A49" s="7">
        <v>43463</v>
      </c>
      <c r="B49" s="4">
        <f ca="1">IFERROR(__xludf.DUMMYFUNCTION("split(I44, "" | "")"),23.4)</f>
        <v>23.4</v>
      </c>
      <c r="C49" s="4">
        <f ca="1">IFERROR(__xludf.DUMMYFUNCTION("""COMPUTED_VALUE"""),23)</f>
        <v>23</v>
      </c>
      <c r="D49" s="4">
        <f ca="1">IFERROR(__xludf.DUMMYFUNCTION("""COMPUTED_VALUE"""),18.9)</f>
        <v>18.899999999999999</v>
      </c>
      <c r="E49" s="4">
        <f ca="1">IFERROR(__xludf.DUMMYFUNCTION("""COMPUTED_VALUE"""),29.3)</f>
        <v>29.3</v>
      </c>
      <c r="F49" s="4">
        <f ca="1">IFERROR(__xludf.DUMMYFUNCTION("""COMPUTED_VALUE"""),46.4)</f>
        <v>46.4</v>
      </c>
      <c r="G49" s="4">
        <f ca="1">IFERROR(__xludf.DUMMYFUNCTION("""COMPUTED_VALUE"""),48.2)</f>
        <v>48.2</v>
      </c>
      <c r="H49" s="4">
        <f ca="1">IFERROR(__xludf.DUMMYFUNCTION("""COMPUTED_VALUE"""),5.4)</f>
        <v>5.4</v>
      </c>
      <c r="I49" s="2" t="s">
        <v>103</v>
      </c>
    </row>
    <row r="50" spans="1:9" ht="13.2" x14ac:dyDescent="0.25">
      <c r="A50" s="7">
        <v>43470</v>
      </c>
      <c r="B50" s="4">
        <f ca="1">IFERROR(__xludf.DUMMYFUNCTION("split(I45, "" | "")"),23)</f>
        <v>23</v>
      </c>
      <c r="C50" s="4">
        <f ca="1">IFERROR(__xludf.DUMMYFUNCTION("""COMPUTED_VALUE"""),26.6)</f>
        <v>26.6</v>
      </c>
      <c r="D50" s="4">
        <f ca="1">IFERROR(__xludf.DUMMYFUNCTION("""COMPUTED_VALUE"""),16.1)</f>
        <v>16.100000000000001</v>
      </c>
      <c r="E50" s="4">
        <f ca="1">IFERROR(__xludf.DUMMYFUNCTION("""COMPUTED_VALUE"""),28.7)</f>
        <v>28.7</v>
      </c>
      <c r="F50" s="4">
        <f ca="1">IFERROR(__xludf.DUMMYFUNCTION("""COMPUTED_VALUE"""),49.6)</f>
        <v>49.6</v>
      </c>
      <c r="G50" s="4">
        <f ca="1">IFERROR(__xludf.DUMMYFUNCTION("""COMPUTED_VALUE"""),44.8)</f>
        <v>44.8</v>
      </c>
      <c r="H50" s="4">
        <f ca="1">IFERROR(__xludf.DUMMYFUNCTION("""COMPUTED_VALUE"""),5.6)</f>
        <v>5.6</v>
      </c>
      <c r="I50" s="8" t="s">
        <v>105</v>
      </c>
    </row>
    <row r="51" spans="1:9" ht="13.2" x14ac:dyDescent="0.25">
      <c r="A51" s="7">
        <v>43477</v>
      </c>
      <c r="B51" s="4">
        <f ca="1">IFERROR(__xludf.DUMMYFUNCTION("split(I46, "" | "")"),24.9)</f>
        <v>24.9</v>
      </c>
      <c r="C51" s="4">
        <f ca="1">IFERROR(__xludf.DUMMYFUNCTION("""COMPUTED_VALUE"""),24.2)</f>
        <v>24.2</v>
      </c>
      <c r="D51" s="4">
        <f ca="1">IFERROR(__xludf.DUMMYFUNCTION("""COMPUTED_VALUE"""),16.4)</f>
        <v>16.399999999999999</v>
      </c>
      <c r="E51" s="4">
        <f ca="1">IFERROR(__xludf.DUMMYFUNCTION("""COMPUTED_VALUE"""),29.2)</f>
        <v>29.2</v>
      </c>
      <c r="F51" s="4">
        <f ca="1">IFERROR(__xludf.DUMMYFUNCTION("""COMPUTED_VALUE"""),49.1)</f>
        <v>49.1</v>
      </c>
      <c r="G51" s="4">
        <f ca="1">IFERROR(__xludf.DUMMYFUNCTION("""COMPUTED_VALUE"""),45.6)</f>
        <v>45.6</v>
      </c>
      <c r="H51" s="4">
        <f ca="1">IFERROR(__xludf.DUMMYFUNCTION("""COMPUTED_VALUE"""),5.3)</f>
        <v>5.3</v>
      </c>
      <c r="I51" s="2" t="s">
        <v>108</v>
      </c>
    </row>
    <row r="52" spans="1:9" ht="13.2" x14ac:dyDescent="0.25">
      <c r="A52" s="7">
        <v>43484</v>
      </c>
      <c r="B52" s="4">
        <f ca="1">IFERROR(__xludf.DUMMYFUNCTION("split(I47, "" | "")"),22.8)</f>
        <v>22.8</v>
      </c>
      <c r="C52" s="4">
        <f ca="1">IFERROR(__xludf.DUMMYFUNCTION("""COMPUTED_VALUE"""),24.9)</f>
        <v>24.9</v>
      </c>
      <c r="D52" s="4">
        <f ca="1">IFERROR(__xludf.DUMMYFUNCTION("""COMPUTED_VALUE"""),16.8)</f>
        <v>16.8</v>
      </c>
      <c r="E52" s="4">
        <f ca="1">IFERROR(__xludf.DUMMYFUNCTION("""COMPUTED_VALUE"""),28.9)</f>
        <v>28.9</v>
      </c>
      <c r="F52" s="4">
        <f ca="1">IFERROR(__xludf.DUMMYFUNCTION("""COMPUTED_VALUE"""),47.7)</f>
        <v>47.7</v>
      </c>
      <c r="G52" s="4">
        <f ca="1">IFERROR(__xludf.DUMMYFUNCTION("""COMPUTED_VALUE"""),45.7)</f>
        <v>45.7</v>
      </c>
      <c r="H52" s="4">
        <f ca="1">IFERROR(__xludf.DUMMYFUNCTION("""COMPUTED_VALUE"""),6.6)</f>
        <v>6.6</v>
      </c>
      <c r="I52" s="2" t="s">
        <v>110</v>
      </c>
    </row>
    <row r="53" spans="1:9" ht="13.2" x14ac:dyDescent="0.25">
      <c r="A53" s="7">
        <v>43491</v>
      </c>
    </row>
    <row r="54" spans="1:9" ht="13.2" x14ac:dyDescent="0.25">
      <c r="A54" s="7">
        <v>43498</v>
      </c>
      <c r="B54" s="4">
        <f ca="1">IFERROR(__xludf.DUMMYFUNCTION("split(I49, "" | "")"),26.4)</f>
        <v>26.4</v>
      </c>
      <c r="C54" s="4">
        <f ca="1">IFERROR(__xludf.DUMMYFUNCTION("""COMPUTED_VALUE"""),24)</f>
        <v>24</v>
      </c>
      <c r="D54" s="4">
        <f ca="1">IFERROR(__xludf.DUMMYFUNCTION("""COMPUTED_VALUE"""),17.2)</f>
        <v>17.2</v>
      </c>
      <c r="E54" s="4">
        <f ca="1">IFERROR(__xludf.DUMMYFUNCTION("""COMPUTED_VALUE"""),28.2)</f>
        <v>28.2</v>
      </c>
      <c r="F54" s="4">
        <f ca="1">IFERROR(__xludf.DUMMYFUNCTION("""COMPUTED_VALUE"""),50.4)</f>
        <v>50.4</v>
      </c>
      <c r="G54" s="4">
        <f ca="1">IFERROR(__xludf.DUMMYFUNCTION("""COMPUTED_VALUE"""),45.4)</f>
        <v>45.4</v>
      </c>
      <c r="H54" s="4">
        <f ca="1">IFERROR(__xludf.DUMMYFUNCTION("""COMPUTED_VALUE"""),4.2)</f>
        <v>4.2</v>
      </c>
      <c r="I54" s="2" t="s">
        <v>112</v>
      </c>
    </row>
    <row r="55" spans="1:9" ht="13.2" x14ac:dyDescent="0.25">
      <c r="A55" s="7">
        <v>43505</v>
      </c>
      <c r="B55" s="4">
        <f ca="1">IFERROR(__xludf.DUMMYFUNCTION("split(I50, "" | "")"),23.7)</f>
        <v>23.7</v>
      </c>
      <c r="C55" s="4">
        <f ca="1">IFERROR(__xludf.DUMMYFUNCTION("""COMPUTED_VALUE"""),26.1)</f>
        <v>26.1</v>
      </c>
      <c r="D55" s="4">
        <f ca="1">IFERROR(__xludf.DUMMYFUNCTION("""COMPUTED_VALUE"""),16.4)</f>
        <v>16.399999999999999</v>
      </c>
      <c r="E55" s="4">
        <f ca="1">IFERROR(__xludf.DUMMYFUNCTION("""COMPUTED_VALUE"""),27.6)</f>
        <v>27.6</v>
      </c>
      <c r="F55" s="4">
        <f ca="1">IFERROR(__xludf.DUMMYFUNCTION("""COMPUTED_VALUE"""),49.8)</f>
        <v>49.8</v>
      </c>
      <c r="G55" s="4">
        <f ca="1">IFERROR(__xludf.DUMMYFUNCTION("""COMPUTED_VALUE"""),44)</f>
        <v>44</v>
      </c>
      <c r="H55" s="4">
        <f ca="1">IFERROR(__xludf.DUMMYFUNCTION("""COMPUTED_VALUE"""),6.2)</f>
        <v>6.2</v>
      </c>
      <c r="I55" s="8" t="s">
        <v>115</v>
      </c>
    </row>
    <row r="56" spans="1:9" ht="13.2" x14ac:dyDescent="0.25">
      <c r="A56" s="7">
        <v>43512</v>
      </c>
      <c r="B56" s="4">
        <f ca="1">IFERROR(__xludf.DUMMYFUNCTION("split(I51, "" | "")"),26.2)</f>
        <v>26.2</v>
      </c>
      <c r="C56" s="4">
        <f ca="1">IFERROR(__xludf.DUMMYFUNCTION("""COMPUTED_VALUE"""),24.8)</f>
        <v>24.8</v>
      </c>
      <c r="D56" s="4">
        <f ca="1">IFERROR(__xludf.DUMMYFUNCTION("""COMPUTED_VALUE"""),16.9)</f>
        <v>16.899999999999999</v>
      </c>
      <c r="E56" s="4">
        <f ca="1">IFERROR(__xludf.DUMMYFUNCTION("""COMPUTED_VALUE"""),27.2)</f>
        <v>27.2</v>
      </c>
      <c r="F56" s="4">
        <f ca="1">IFERROR(__xludf.DUMMYFUNCTION("""COMPUTED_VALUE"""),51)</f>
        <v>51</v>
      </c>
      <c r="G56" s="4">
        <f ca="1">IFERROR(__xludf.DUMMYFUNCTION("""COMPUTED_VALUE"""),44.1)</f>
        <v>44.1</v>
      </c>
      <c r="H56" s="4">
        <f ca="1">IFERROR(__xludf.DUMMYFUNCTION("""COMPUTED_VALUE"""),4.9)</f>
        <v>4.9000000000000004</v>
      </c>
      <c r="I56" s="2" t="s">
        <v>117</v>
      </c>
    </row>
    <row r="57" spans="1:9" ht="13.2" x14ac:dyDescent="0.25">
      <c r="A57" s="7">
        <v>43519</v>
      </c>
      <c r="B57" s="4">
        <f ca="1">IFERROR(__xludf.DUMMYFUNCTION("split(I52, "" | "")"),25.3)</f>
        <v>25.3</v>
      </c>
      <c r="C57" s="4">
        <f ca="1">IFERROR(__xludf.DUMMYFUNCTION("""COMPUTED_VALUE"""),24.1)</f>
        <v>24.1</v>
      </c>
      <c r="D57" s="4">
        <f ca="1">IFERROR(__xludf.DUMMYFUNCTION("""COMPUTED_VALUE"""),15.2)</f>
        <v>15.2</v>
      </c>
      <c r="E57" s="4">
        <f ca="1">IFERROR(__xludf.DUMMYFUNCTION("""COMPUTED_VALUE"""),29.2)</f>
        <v>29.2</v>
      </c>
      <c r="F57" s="4">
        <f ca="1">IFERROR(__xludf.DUMMYFUNCTION("""COMPUTED_VALUE"""),49.4)</f>
        <v>49.4</v>
      </c>
      <c r="G57" s="4">
        <f ca="1">IFERROR(__xludf.DUMMYFUNCTION("""COMPUTED_VALUE"""),44.4)</f>
        <v>44.4</v>
      </c>
      <c r="H57" s="4">
        <f ca="1">IFERROR(__xludf.DUMMYFUNCTION("""COMPUTED_VALUE"""),6.2)</f>
        <v>6.2</v>
      </c>
      <c r="I57" s="2" t="s">
        <v>119</v>
      </c>
    </row>
    <row r="58" spans="1:9" ht="13.2" x14ac:dyDescent="0.25">
      <c r="A58" s="7">
        <v>43526</v>
      </c>
      <c r="B58" s="4">
        <f ca="1">IFERROR(__xludf.DUMMYFUNCTION("split(I53, "" | "")"),23)</f>
        <v>23</v>
      </c>
      <c r="C58" s="4">
        <f ca="1">IFERROR(__xludf.DUMMYFUNCTION("""COMPUTED_VALUE"""),23.3)</f>
        <v>23.3</v>
      </c>
      <c r="D58" s="4">
        <f ca="1">IFERROR(__xludf.DUMMYFUNCTION("""COMPUTED_VALUE"""),16.5)</f>
        <v>16.5</v>
      </c>
      <c r="E58" s="4">
        <f ca="1">IFERROR(__xludf.DUMMYFUNCTION("""COMPUTED_VALUE"""),30.3)</f>
        <v>30.3</v>
      </c>
      <c r="F58" s="4">
        <f ca="1">IFERROR(__xludf.DUMMYFUNCTION("""COMPUTED_VALUE"""),46.3)</f>
        <v>46.3</v>
      </c>
      <c r="G58" s="4">
        <f ca="1">IFERROR(__xludf.DUMMYFUNCTION("""COMPUTED_VALUE"""),46.8)</f>
        <v>46.8</v>
      </c>
      <c r="H58" s="4">
        <f ca="1">IFERROR(__xludf.DUMMYFUNCTION("""COMPUTED_VALUE"""),6.9)</f>
        <v>6.9</v>
      </c>
      <c r="I58" s="2" t="s">
        <v>121</v>
      </c>
    </row>
    <row r="59" spans="1:9" ht="13.2" x14ac:dyDescent="0.25">
      <c r="A59" s="7">
        <v>43533</v>
      </c>
      <c r="B59" s="4">
        <f ca="1">IFERROR(__xludf.DUMMYFUNCTION("split(I54, "" | "")"),22.8)</f>
        <v>22.8</v>
      </c>
      <c r="C59" s="4">
        <f ca="1">IFERROR(__xludf.DUMMYFUNCTION("""COMPUTED_VALUE"""),22.1)</f>
        <v>22.1</v>
      </c>
      <c r="D59" s="4">
        <f ca="1">IFERROR(__xludf.DUMMYFUNCTION("""COMPUTED_VALUE"""),16.6)</f>
        <v>16.600000000000001</v>
      </c>
      <c r="E59" s="4">
        <f ca="1">IFERROR(__xludf.DUMMYFUNCTION("""COMPUTED_VALUE"""),33.1)</f>
        <v>33.1</v>
      </c>
      <c r="F59" s="4">
        <f ca="1">IFERROR(__xludf.DUMMYFUNCTION("""COMPUTED_VALUE"""),44.9)</f>
        <v>44.9</v>
      </c>
      <c r="G59" s="4">
        <f ca="1">IFERROR(__xludf.DUMMYFUNCTION("""COMPUTED_VALUE"""),49.7)</f>
        <v>49.7</v>
      </c>
      <c r="H59" s="4">
        <f ca="1">IFERROR(__xludf.DUMMYFUNCTION("""COMPUTED_VALUE"""),5.4)</f>
        <v>5.4</v>
      </c>
      <c r="I59" s="2" t="s">
        <v>123</v>
      </c>
    </row>
    <row r="60" spans="1:9" ht="13.2" x14ac:dyDescent="0.25">
      <c r="A60" s="7">
        <v>43540</v>
      </c>
      <c r="B60" s="4">
        <f ca="1">IFERROR(__xludf.DUMMYFUNCTION("split(I55, "" | "")"),24.7)</f>
        <v>24.7</v>
      </c>
      <c r="C60" s="4">
        <f ca="1">IFERROR(__xludf.DUMMYFUNCTION("""COMPUTED_VALUE"""),22.4)</f>
        <v>22.4</v>
      </c>
      <c r="D60" s="4">
        <f ca="1">IFERROR(__xludf.DUMMYFUNCTION("""COMPUTED_VALUE"""),16.1)</f>
        <v>16.100000000000001</v>
      </c>
      <c r="E60" s="4">
        <f ca="1">IFERROR(__xludf.DUMMYFUNCTION("""COMPUTED_VALUE"""),31.1)</f>
        <v>31.1</v>
      </c>
      <c r="F60" s="4">
        <f ca="1">IFERROR(__xludf.DUMMYFUNCTION("""COMPUTED_VALUE"""),47.1)</f>
        <v>47.1</v>
      </c>
      <c r="G60" s="4">
        <f ca="1">IFERROR(__xludf.DUMMYFUNCTION("""COMPUTED_VALUE"""),47.2)</f>
        <v>47.2</v>
      </c>
      <c r="H60" s="4">
        <f ca="1">IFERROR(__xludf.DUMMYFUNCTION("""COMPUTED_VALUE"""),5.7)</f>
        <v>5.7</v>
      </c>
      <c r="I60" s="2" t="s">
        <v>126</v>
      </c>
    </row>
    <row r="61" spans="1:9" ht="13.2" x14ac:dyDescent="0.25">
      <c r="A61" s="7">
        <v>43547</v>
      </c>
      <c r="B61" s="4">
        <f ca="1">IFERROR(__xludf.DUMMYFUNCTION("split(I56, "" | "")"),24.3)</f>
        <v>24.3</v>
      </c>
      <c r="C61" s="4">
        <f ca="1">IFERROR(__xludf.DUMMYFUNCTION("""COMPUTED_VALUE"""),23.4)</f>
        <v>23.4</v>
      </c>
      <c r="D61" s="4">
        <f ca="1">IFERROR(__xludf.DUMMYFUNCTION("""COMPUTED_VALUE"""),14.8)</f>
        <v>14.8</v>
      </c>
      <c r="E61" s="4">
        <f ca="1">IFERROR(__xludf.DUMMYFUNCTION("""COMPUTED_VALUE"""),31.4)</f>
        <v>31.4</v>
      </c>
      <c r="F61" s="4">
        <f ca="1">IFERROR(__xludf.DUMMYFUNCTION("""COMPUTED_VALUE"""),47.7)</f>
        <v>47.7</v>
      </c>
      <c r="G61" s="4">
        <f ca="1">IFERROR(__xludf.DUMMYFUNCTION("""COMPUTED_VALUE"""),46.2)</f>
        <v>46.2</v>
      </c>
      <c r="H61" s="4">
        <f ca="1">IFERROR(__xludf.DUMMYFUNCTION("""COMPUTED_VALUE"""),6.1)</f>
        <v>6.1</v>
      </c>
      <c r="I61" s="2" t="s">
        <v>128</v>
      </c>
    </row>
    <row r="62" spans="1:9" ht="13.2" x14ac:dyDescent="0.25">
      <c r="A62" s="7">
        <v>43554</v>
      </c>
      <c r="B62" s="4">
        <f ca="1">IFERROR(__xludf.DUMMYFUNCTION("split(I57, "" | "")"),23.6)</f>
        <v>23.6</v>
      </c>
      <c r="C62" s="4">
        <f ca="1">IFERROR(__xludf.DUMMYFUNCTION("""COMPUTED_VALUE"""),23.7)</f>
        <v>23.7</v>
      </c>
      <c r="D62" s="4">
        <f ca="1">IFERROR(__xludf.DUMMYFUNCTION("""COMPUTED_VALUE"""),14.8)</f>
        <v>14.8</v>
      </c>
      <c r="E62" s="4">
        <f ca="1">IFERROR(__xludf.DUMMYFUNCTION("""COMPUTED_VALUE"""),33)</f>
        <v>33</v>
      </c>
      <c r="F62" s="4">
        <f ca="1">IFERROR(__xludf.DUMMYFUNCTION("""COMPUTED_VALUE"""),47.3)</f>
        <v>47.3</v>
      </c>
      <c r="G62" s="4">
        <f ca="1">IFERROR(__xludf.DUMMYFUNCTION("""COMPUTED_VALUE"""),47.8)</f>
        <v>47.8</v>
      </c>
      <c r="H62" s="4">
        <f ca="1">IFERROR(__xludf.DUMMYFUNCTION("""COMPUTED_VALUE"""),4.9)</f>
        <v>4.9000000000000004</v>
      </c>
      <c r="I62" s="2" t="s">
        <v>130</v>
      </c>
    </row>
    <row r="63" spans="1:9" ht="13.2" x14ac:dyDescent="0.25">
      <c r="A63" s="7">
        <v>43561</v>
      </c>
      <c r="B63" s="4">
        <f ca="1">IFERROR(__xludf.DUMMYFUNCTION("split(I58, "" | "")"),25.2)</f>
        <v>25.2</v>
      </c>
      <c r="C63" s="4">
        <f ca="1">IFERROR(__xludf.DUMMYFUNCTION("""COMPUTED_VALUE"""),22.8)</f>
        <v>22.8</v>
      </c>
      <c r="D63" s="4">
        <f ca="1">IFERROR(__xludf.DUMMYFUNCTION("""COMPUTED_VALUE"""),15.7)</f>
        <v>15.7</v>
      </c>
      <c r="E63" s="4">
        <f ca="1">IFERROR(__xludf.DUMMYFUNCTION("""COMPUTED_VALUE"""),31.1)</f>
        <v>31.1</v>
      </c>
      <c r="F63" s="4">
        <f ca="1">IFERROR(__xludf.DUMMYFUNCTION("""COMPUTED_VALUE"""),48)</f>
        <v>48</v>
      </c>
      <c r="G63" s="4">
        <f ca="1">IFERROR(__xludf.DUMMYFUNCTION("""COMPUTED_VALUE"""),46.8)</f>
        <v>46.8</v>
      </c>
      <c r="H63" s="4">
        <f ca="1">IFERROR(__xludf.DUMMYFUNCTION("""COMPUTED_VALUE"""),5.2)</f>
        <v>5.2</v>
      </c>
      <c r="I63" s="2" t="s">
        <v>133</v>
      </c>
    </row>
    <row r="64" spans="1:9" ht="13.2" x14ac:dyDescent="0.25">
      <c r="A64" s="7">
        <v>43568</v>
      </c>
      <c r="B64" s="4">
        <f ca="1">IFERROR(__xludf.DUMMYFUNCTION("split(I59, "" | "")"),24.4)</f>
        <v>24.4</v>
      </c>
      <c r="C64" s="4">
        <f ca="1">IFERROR(__xludf.DUMMYFUNCTION("""COMPUTED_VALUE"""),23.8)</f>
        <v>23.8</v>
      </c>
      <c r="D64" s="4">
        <f ca="1">IFERROR(__xludf.DUMMYFUNCTION("""COMPUTED_VALUE"""),15.7)</f>
        <v>15.7</v>
      </c>
      <c r="E64" s="4">
        <f ca="1">IFERROR(__xludf.DUMMYFUNCTION("""COMPUTED_VALUE"""),30.4)</f>
        <v>30.4</v>
      </c>
      <c r="F64" s="4">
        <f ca="1">IFERROR(__xludf.DUMMYFUNCTION("""COMPUTED_VALUE"""),48.2)</f>
        <v>48.2</v>
      </c>
      <c r="G64" s="4">
        <f ca="1">IFERROR(__xludf.DUMMYFUNCTION("""COMPUTED_VALUE"""),46.1)</f>
        <v>46.1</v>
      </c>
      <c r="H64" s="4">
        <f ca="1">IFERROR(__xludf.DUMMYFUNCTION("""COMPUTED_VALUE"""),5.7)</f>
        <v>5.7</v>
      </c>
      <c r="I64" s="2" t="s">
        <v>135</v>
      </c>
    </row>
    <row r="65" spans="1:9" ht="13.2" x14ac:dyDescent="0.25">
      <c r="A65" s="7">
        <v>43575</v>
      </c>
      <c r="B65" s="4">
        <f ca="1">IFERROR(__xludf.DUMMYFUNCTION("split(I60, "" | "")"),26.4)</f>
        <v>26.4</v>
      </c>
      <c r="C65" s="4">
        <f ca="1">IFERROR(__xludf.DUMMYFUNCTION("""COMPUTED_VALUE"""),21)</f>
        <v>21</v>
      </c>
      <c r="D65" s="4">
        <f ca="1">IFERROR(__xludf.DUMMYFUNCTION("""COMPUTED_VALUE"""),14.1)</f>
        <v>14.1</v>
      </c>
      <c r="E65" s="4">
        <f ca="1">IFERROR(__xludf.DUMMYFUNCTION("""COMPUTED_VALUE"""),34.3)</f>
        <v>34.299999999999997</v>
      </c>
      <c r="F65" s="4">
        <f ca="1">IFERROR(__xludf.DUMMYFUNCTION("""COMPUTED_VALUE"""),47.4)</f>
        <v>47.4</v>
      </c>
      <c r="G65" s="4">
        <f ca="1">IFERROR(__xludf.DUMMYFUNCTION("""COMPUTED_VALUE"""),48.4)</f>
        <v>48.4</v>
      </c>
      <c r="H65" s="4">
        <f ca="1">IFERROR(__xludf.DUMMYFUNCTION("""COMPUTED_VALUE"""),4.2)</f>
        <v>4.2</v>
      </c>
      <c r="I65" s="2" t="s">
        <v>137</v>
      </c>
    </row>
    <row r="66" spans="1:9" ht="13.2" x14ac:dyDescent="0.25">
      <c r="A66" s="7">
        <v>43582</v>
      </c>
      <c r="B66" s="4">
        <f ca="1">IFERROR(__xludf.DUMMYFUNCTION("split(I61, "" | "")"),26.4)</f>
        <v>26.4</v>
      </c>
      <c r="C66" s="4">
        <f ca="1">IFERROR(__xludf.DUMMYFUNCTION("""COMPUTED_VALUE"""),21)</f>
        <v>21</v>
      </c>
      <c r="D66" s="4">
        <f ca="1">IFERROR(__xludf.DUMMYFUNCTION("""COMPUTED_VALUE"""),14.1)</f>
        <v>14.1</v>
      </c>
      <c r="E66" s="4">
        <f ca="1">IFERROR(__xludf.DUMMYFUNCTION("""COMPUTED_VALUE"""),34.3)</f>
        <v>34.299999999999997</v>
      </c>
      <c r="F66" s="4">
        <f ca="1">IFERROR(__xludf.DUMMYFUNCTION("""COMPUTED_VALUE"""),47.4)</f>
        <v>47.4</v>
      </c>
      <c r="G66" s="4">
        <f ca="1">IFERROR(__xludf.DUMMYFUNCTION("""COMPUTED_VALUE"""),48.4)</f>
        <v>48.4</v>
      </c>
      <c r="H66" s="4">
        <f ca="1">IFERROR(__xludf.DUMMYFUNCTION("""COMPUTED_VALUE"""),4.2)</f>
        <v>4.2</v>
      </c>
      <c r="I66" s="2" t="s">
        <v>137</v>
      </c>
    </row>
    <row r="67" spans="1:9" ht="13.2" x14ac:dyDescent="0.25">
      <c r="A67" s="7">
        <v>43589</v>
      </c>
      <c r="B67" s="4">
        <f ca="1">IFERROR(__xludf.DUMMYFUNCTION("split(I62, "" | "")"),24.8)</f>
        <v>24.8</v>
      </c>
      <c r="C67" s="4">
        <f ca="1">IFERROR(__xludf.DUMMYFUNCTION("""COMPUTED_VALUE"""),23.8)</f>
        <v>23.8</v>
      </c>
      <c r="D67" s="4">
        <f ca="1">IFERROR(__xludf.DUMMYFUNCTION("""COMPUTED_VALUE"""),12.3)</f>
        <v>12.3</v>
      </c>
      <c r="E67" s="4">
        <f ca="1">IFERROR(__xludf.DUMMYFUNCTION("""COMPUTED_VALUE"""),34.7)</f>
        <v>34.700000000000003</v>
      </c>
      <c r="F67" s="4">
        <f ca="1">IFERROR(__xludf.DUMMYFUNCTION("""COMPUTED_VALUE"""),48.6)</f>
        <v>48.6</v>
      </c>
      <c r="G67" s="4">
        <f ca="1">IFERROR(__xludf.DUMMYFUNCTION("""COMPUTED_VALUE"""),47)</f>
        <v>47</v>
      </c>
      <c r="H67" s="4">
        <f ca="1">IFERROR(__xludf.DUMMYFUNCTION("""COMPUTED_VALUE"""),4.4)</f>
        <v>4.4000000000000004</v>
      </c>
      <c r="I67" s="2" t="s">
        <v>140</v>
      </c>
    </row>
    <row r="68" spans="1:9" ht="13.2" x14ac:dyDescent="0.25">
      <c r="A68" s="7">
        <v>43596</v>
      </c>
      <c r="B68" s="4">
        <f ca="1">IFERROR(__xludf.DUMMYFUNCTION("split(I63, "" | "")"),26.2)</f>
        <v>26.2</v>
      </c>
      <c r="C68" s="4">
        <f ca="1">IFERROR(__xludf.DUMMYFUNCTION("""COMPUTED_VALUE"""),23.2)</f>
        <v>23.2</v>
      </c>
      <c r="D68" s="4">
        <f ca="1">IFERROR(__xludf.DUMMYFUNCTION("""COMPUTED_VALUE"""),15)</f>
        <v>15</v>
      </c>
      <c r="E68" s="4">
        <f ca="1">IFERROR(__xludf.DUMMYFUNCTION("""COMPUTED_VALUE"""),31)</f>
        <v>31</v>
      </c>
      <c r="F68" s="4">
        <f ca="1">IFERROR(__xludf.DUMMYFUNCTION("""COMPUTED_VALUE"""),49.4)</f>
        <v>49.4</v>
      </c>
      <c r="G68" s="4">
        <f ca="1">IFERROR(__xludf.DUMMYFUNCTION("""COMPUTED_VALUE"""),46)</f>
        <v>46</v>
      </c>
      <c r="H68" s="4">
        <f ca="1">IFERROR(__xludf.DUMMYFUNCTION("""COMPUTED_VALUE"""),4.6)</f>
        <v>4.5999999999999996</v>
      </c>
      <c r="I68" s="2" t="s">
        <v>143</v>
      </c>
    </row>
    <row r="69" spans="1:9" ht="13.2" x14ac:dyDescent="0.25">
      <c r="A69" s="7">
        <v>43603</v>
      </c>
      <c r="B69" s="4">
        <f ca="1">IFERROR(__xludf.DUMMYFUNCTION("split(I64, "" | "")"),27.9)</f>
        <v>27.9</v>
      </c>
      <c r="C69" s="4">
        <f ca="1">IFERROR(__xludf.DUMMYFUNCTION("""COMPUTED_VALUE"""),22.1)</f>
        <v>22.1</v>
      </c>
      <c r="D69" s="4">
        <f ca="1">IFERROR(__xludf.DUMMYFUNCTION("""COMPUTED_VALUE"""),14.2)</f>
        <v>14.2</v>
      </c>
      <c r="E69" s="4">
        <f ca="1">IFERROR(__xludf.DUMMYFUNCTION("""COMPUTED_VALUE"""),31.4)</f>
        <v>31.4</v>
      </c>
      <c r="F69" s="4">
        <f ca="1">IFERROR(__xludf.DUMMYFUNCTION("""COMPUTED_VALUE"""),50)</f>
        <v>50</v>
      </c>
      <c r="G69" s="4">
        <f ca="1">IFERROR(__xludf.DUMMYFUNCTION("""COMPUTED_VALUE"""),45.6)</f>
        <v>45.6</v>
      </c>
      <c r="H69" s="4">
        <f ca="1">IFERROR(__xludf.DUMMYFUNCTION("""COMPUTED_VALUE"""),4.4)</f>
        <v>4.4000000000000004</v>
      </c>
      <c r="I69" s="2" t="s">
        <v>145</v>
      </c>
    </row>
    <row r="70" spans="1:9" ht="13.2" x14ac:dyDescent="0.25">
      <c r="A70" s="7">
        <v>43610</v>
      </c>
      <c r="B70" s="4">
        <f ca="1">IFERROR(__xludf.DUMMYFUNCTION("split(I65, "" | "")"),26)</f>
        <v>26</v>
      </c>
      <c r="C70" s="4">
        <f ca="1">IFERROR(__xludf.DUMMYFUNCTION("""COMPUTED_VALUE"""),22.3)</f>
        <v>22.3</v>
      </c>
      <c r="D70" s="4">
        <f ca="1">IFERROR(__xludf.DUMMYFUNCTION("""COMPUTED_VALUE"""),15.1)</f>
        <v>15.1</v>
      </c>
      <c r="E70" s="4">
        <f ca="1">IFERROR(__xludf.DUMMYFUNCTION("""COMPUTED_VALUE"""),32)</f>
        <v>32</v>
      </c>
      <c r="F70" s="4">
        <f ca="1">IFERROR(__xludf.DUMMYFUNCTION("""COMPUTED_VALUE"""),48.3)</f>
        <v>48.3</v>
      </c>
      <c r="G70" s="4">
        <f ca="1">IFERROR(__xludf.DUMMYFUNCTION("""COMPUTED_VALUE"""),47.1)</f>
        <v>47.1</v>
      </c>
      <c r="H70" s="4">
        <f ca="1">IFERROR(__xludf.DUMMYFUNCTION("""COMPUTED_VALUE"""),4.6)</f>
        <v>4.5999999999999996</v>
      </c>
      <c r="I70" s="2" t="s">
        <v>147</v>
      </c>
    </row>
    <row r="71" spans="1:9" ht="13.2" x14ac:dyDescent="0.25">
      <c r="A71" s="7">
        <v>43617</v>
      </c>
      <c r="B71" s="4">
        <f ca="1">IFERROR(__xludf.DUMMYFUNCTION("split(I66, "" | "")"),26)</f>
        <v>26</v>
      </c>
      <c r="C71" s="4">
        <f ca="1">IFERROR(__xludf.DUMMYFUNCTION("""COMPUTED_VALUE"""),22)</f>
        <v>22</v>
      </c>
      <c r="D71" s="4">
        <f ca="1">IFERROR(__xludf.DUMMYFUNCTION("""COMPUTED_VALUE"""),15.5)</f>
        <v>15.5</v>
      </c>
      <c r="E71" s="4">
        <f ca="1">IFERROR(__xludf.DUMMYFUNCTION("""COMPUTED_VALUE"""),31.2)</f>
        <v>31.2</v>
      </c>
      <c r="F71" s="4">
        <f ca="1">IFERROR(__xludf.DUMMYFUNCTION("""COMPUTED_VALUE"""),48)</f>
        <v>48</v>
      </c>
      <c r="G71" s="4">
        <f ca="1">IFERROR(__xludf.DUMMYFUNCTION("""COMPUTED_VALUE"""),46.7)</f>
        <v>46.7</v>
      </c>
      <c r="H71" s="4">
        <f ca="1">IFERROR(__xludf.DUMMYFUNCTION("""COMPUTED_VALUE"""),5.3)</f>
        <v>5.3</v>
      </c>
      <c r="I71" s="2" t="s">
        <v>149</v>
      </c>
    </row>
    <row r="72" spans="1:9" ht="13.2" x14ac:dyDescent="0.25">
      <c r="A72" s="7">
        <v>43624</v>
      </c>
      <c r="B72" s="4">
        <f ca="1">IFERROR(__xludf.DUMMYFUNCTION("split(I67, "" | "")"),26.8)</f>
        <v>26.8</v>
      </c>
      <c r="C72" s="4">
        <f ca="1">IFERROR(__xludf.DUMMYFUNCTION("""COMPUTED_VALUE"""),22.7)</f>
        <v>22.7</v>
      </c>
      <c r="D72" s="4">
        <f ca="1">IFERROR(__xludf.DUMMYFUNCTION("""COMPUTED_VALUE"""),13.4)</f>
        <v>13.4</v>
      </c>
      <c r="E72" s="4">
        <f ca="1">IFERROR(__xludf.DUMMYFUNCTION("""COMPUTED_VALUE"""),32)</f>
        <v>32</v>
      </c>
      <c r="F72" s="4">
        <f ca="1">IFERROR(__xludf.DUMMYFUNCTION("""COMPUTED_VALUE"""),49.5)</f>
        <v>49.5</v>
      </c>
      <c r="G72" s="4">
        <f ca="1">IFERROR(__xludf.DUMMYFUNCTION("""COMPUTED_VALUE"""),45.4)</f>
        <v>45.4</v>
      </c>
      <c r="H72" s="4">
        <f ca="1">IFERROR(__xludf.DUMMYFUNCTION("""COMPUTED_VALUE"""),5.1)</f>
        <v>5.0999999999999996</v>
      </c>
      <c r="I72" s="2" t="s">
        <v>152</v>
      </c>
    </row>
    <row r="73" spans="1:9" ht="13.2" x14ac:dyDescent="0.25">
      <c r="A73" s="7">
        <v>43631</v>
      </c>
      <c r="B73" s="4">
        <f ca="1">IFERROR(__xludf.DUMMYFUNCTION("split(I68, "" | "")"),22.8)</f>
        <v>22.8</v>
      </c>
      <c r="C73" s="4">
        <f ca="1">IFERROR(__xludf.DUMMYFUNCTION("""COMPUTED_VALUE"""),23.9)</f>
        <v>23.9</v>
      </c>
      <c r="D73" s="4">
        <f ca="1">IFERROR(__xludf.DUMMYFUNCTION("""COMPUTED_VALUE"""),14)</f>
        <v>14</v>
      </c>
      <c r="E73" s="4">
        <f ca="1">IFERROR(__xludf.DUMMYFUNCTION("""COMPUTED_VALUE"""),34.3)</f>
        <v>34.299999999999997</v>
      </c>
      <c r="F73" s="4">
        <f ca="1">IFERROR(__xludf.DUMMYFUNCTION("""COMPUTED_VALUE"""),46.7)</f>
        <v>46.7</v>
      </c>
      <c r="G73" s="4">
        <f ca="1">IFERROR(__xludf.DUMMYFUNCTION("""COMPUTED_VALUE"""),48.3)</f>
        <v>48.3</v>
      </c>
      <c r="H73" s="4">
        <f ca="1">IFERROR(__xludf.DUMMYFUNCTION("""COMPUTED_VALUE"""),5)</f>
        <v>5</v>
      </c>
      <c r="I73" s="2" t="s">
        <v>154</v>
      </c>
    </row>
    <row r="74" spans="1:9" ht="13.2" x14ac:dyDescent="0.25">
      <c r="A74" s="7">
        <v>43638</v>
      </c>
      <c r="B74" s="4">
        <f ca="1">IFERROR(__xludf.DUMMYFUNCTION("split(I69, "" | "")"),24.9)</f>
        <v>24.9</v>
      </c>
      <c r="C74" s="4">
        <f ca="1">IFERROR(__xludf.DUMMYFUNCTION("""COMPUTED_VALUE"""),22.7)</f>
        <v>22.7</v>
      </c>
      <c r="D74" s="4">
        <f ca="1">IFERROR(__xludf.DUMMYFUNCTION("""COMPUTED_VALUE"""),15.8)</f>
        <v>15.8</v>
      </c>
      <c r="E74" s="4">
        <f ca="1">IFERROR(__xludf.DUMMYFUNCTION("""COMPUTED_VALUE"""),31.8)</f>
        <v>31.8</v>
      </c>
      <c r="F74" s="4">
        <f ca="1">IFERROR(__xludf.DUMMYFUNCTION("""COMPUTED_VALUE"""),47.6)</f>
        <v>47.6</v>
      </c>
      <c r="G74" s="4">
        <f ca="1">IFERROR(__xludf.DUMMYFUNCTION("""COMPUTED_VALUE"""),47.6)</f>
        <v>47.6</v>
      </c>
      <c r="H74" s="4">
        <f ca="1">IFERROR(__xludf.DUMMYFUNCTION("""COMPUTED_VALUE"""),4.8)</f>
        <v>4.8</v>
      </c>
      <c r="I74" s="2" t="s">
        <v>156</v>
      </c>
    </row>
    <row r="75" spans="1:9" ht="13.2" x14ac:dyDescent="0.25">
      <c r="A75" s="7">
        <v>43645</v>
      </c>
      <c r="B75" s="4">
        <f ca="1">IFERROR(__xludf.DUMMYFUNCTION("split(I70, "" | "")"),29.4)</f>
        <v>29.4</v>
      </c>
      <c r="C75" s="4">
        <f ca="1">IFERROR(__xludf.DUMMYFUNCTION("""COMPUTED_VALUE"""),21.9)</f>
        <v>21.9</v>
      </c>
      <c r="D75" s="4">
        <f ca="1">IFERROR(__xludf.DUMMYFUNCTION("""COMPUTED_VALUE"""),15.2)</f>
        <v>15.2</v>
      </c>
      <c r="E75" s="4">
        <f ca="1">IFERROR(__xludf.DUMMYFUNCTION("""COMPUTED_VALUE"""),28.6)</f>
        <v>28.6</v>
      </c>
      <c r="F75" s="4">
        <f ca="1">IFERROR(__xludf.DUMMYFUNCTION("""COMPUTED_VALUE"""),51.3)</f>
        <v>51.3</v>
      </c>
      <c r="G75" s="4">
        <f ca="1">IFERROR(__xludf.DUMMYFUNCTION("""COMPUTED_VALUE"""),43.8)</f>
        <v>43.8</v>
      </c>
      <c r="H75" s="4">
        <f ca="1">IFERROR(__xludf.DUMMYFUNCTION("""COMPUTED_VALUE"""),4.9)</f>
        <v>4.9000000000000004</v>
      </c>
      <c r="I75" s="2" t="s">
        <v>159</v>
      </c>
    </row>
    <row r="76" spans="1:9" ht="13.2" x14ac:dyDescent="0.25">
      <c r="A76" s="7">
        <v>43652</v>
      </c>
      <c r="B76" s="4">
        <f ca="1">IFERROR(__xludf.DUMMYFUNCTION("split(I71, "" | "")"),26)</f>
        <v>26</v>
      </c>
      <c r="C76" s="4">
        <f ca="1">IFERROR(__xludf.DUMMYFUNCTION("""COMPUTED_VALUE"""),21.8)</f>
        <v>21.8</v>
      </c>
      <c r="D76" s="4">
        <f ca="1">IFERROR(__xludf.DUMMYFUNCTION("""COMPUTED_VALUE"""),14)</f>
        <v>14</v>
      </c>
      <c r="E76" s="4">
        <f ca="1">IFERROR(__xludf.DUMMYFUNCTION("""COMPUTED_VALUE"""),33.3)</f>
        <v>33.299999999999997</v>
      </c>
      <c r="F76" s="4">
        <f ca="1">IFERROR(__xludf.DUMMYFUNCTION("""COMPUTED_VALUE"""),47.8)</f>
        <v>47.8</v>
      </c>
      <c r="G76" s="4">
        <f ca="1">IFERROR(__xludf.DUMMYFUNCTION("""COMPUTED_VALUE"""),47.3)</f>
        <v>47.3</v>
      </c>
      <c r="H76" s="4">
        <f ca="1">IFERROR(__xludf.DUMMYFUNCTION("""COMPUTED_VALUE"""),4.9)</f>
        <v>4.9000000000000004</v>
      </c>
      <c r="I76" s="2" t="s">
        <v>161</v>
      </c>
    </row>
    <row r="77" spans="1:9" ht="13.2" x14ac:dyDescent="0.25">
      <c r="A77" s="7">
        <v>43659</v>
      </c>
      <c r="B77" s="4">
        <f ca="1">IFERROR(__xludf.DUMMYFUNCTION("split(I72, "" | "")"),29.6)</f>
        <v>29.6</v>
      </c>
      <c r="C77" s="4">
        <f ca="1">IFERROR(__xludf.DUMMYFUNCTION("""COMPUTED_VALUE"""),22.2)</f>
        <v>22.2</v>
      </c>
      <c r="D77" s="4">
        <f ca="1">IFERROR(__xludf.DUMMYFUNCTION("""COMPUTED_VALUE"""),13.5)</f>
        <v>13.5</v>
      </c>
      <c r="E77" s="4">
        <f ca="1">IFERROR(__xludf.DUMMYFUNCTION("""COMPUTED_VALUE"""),29.6)</f>
        <v>29.6</v>
      </c>
      <c r="F77" s="4">
        <f ca="1">IFERROR(__xludf.DUMMYFUNCTION("""COMPUTED_VALUE"""),51.8)</f>
        <v>51.8</v>
      </c>
      <c r="G77" s="4">
        <f ca="1">IFERROR(__xludf.DUMMYFUNCTION("""COMPUTED_VALUE"""),43.1)</f>
        <v>43.1</v>
      </c>
      <c r="H77" s="4">
        <f ca="1">IFERROR(__xludf.DUMMYFUNCTION("""COMPUTED_VALUE"""),5.1)</f>
        <v>5.0999999999999996</v>
      </c>
      <c r="I77" s="2" t="s">
        <v>163</v>
      </c>
    </row>
    <row r="78" spans="1:9" ht="13.2" x14ac:dyDescent="0.25">
      <c r="A78" s="7">
        <v>43666</v>
      </c>
      <c r="B78" s="4">
        <f ca="1">IFERROR(__xludf.DUMMYFUNCTION("split(I73, "" | "")"),30.9)</f>
        <v>30.9</v>
      </c>
      <c r="C78" s="4">
        <f ca="1">IFERROR(__xludf.DUMMYFUNCTION("""COMPUTED_VALUE"""),21.2)</f>
        <v>21.2</v>
      </c>
      <c r="D78" s="4">
        <f ca="1">IFERROR(__xludf.DUMMYFUNCTION("""COMPUTED_VALUE"""),15.3)</f>
        <v>15.3</v>
      </c>
      <c r="E78" s="4">
        <f ca="1">IFERROR(__xludf.DUMMYFUNCTION("""COMPUTED_VALUE"""),28.4)</f>
        <v>28.4</v>
      </c>
      <c r="F78" s="4">
        <f ca="1">IFERROR(__xludf.DUMMYFUNCTION("""COMPUTED_VALUE"""),52.1)</f>
        <v>52.1</v>
      </c>
      <c r="G78" s="4">
        <f ca="1">IFERROR(__xludf.DUMMYFUNCTION("""COMPUTED_VALUE"""),43.7)</f>
        <v>43.7</v>
      </c>
      <c r="H78" s="4">
        <f ca="1">IFERROR(__xludf.DUMMYFUNCTION("""COMPUTED_VALUE"""),4.2)</f>
        <v>4.2</v>
      </c>
      <c r="I78" s="2" t="s">
        <v>166</v>
      </c>
    </row>
    <row r="79" spans="1:9" ht="13.2" x14ac:dyDescent="0.25">
      <c r="A79" s="7">
        <v>43673</v>
      </c>
    </row>
    <row r="80" spans="1:9" ht="13.2" x14ac:dyDescent="0.25">
      <c r="A80" s="7">
        <v>43680</v>
      </c>
      <c r="B80" s="4">
        <f ca="1">IFERROR(__xludf.DUMMYFUNCTION("split(I75, "" | "")"),29.8)</f>
        <v>29.8</v>
      </c>
      <c r="C80" s="4">
        <f ca="1">IFERROR(__xludf.DUMMYFUNCTION("""COMPUTED_VALUE"""),20.6)</f>
        <v>20.6</v>
      </c>
      <c r="D80" s="4">
        <f ca="1">IFERROR(__xludf.DUMMYFUNCTION("""COMPUTED_VALUE"""),11.7)</f>
        <v>11.7</v>
      </c>
      <c r="E80" s="4">
        <f ca="1">IFERROR(__xludf.DUMMYFUNCTION("""COMPUTED_VALUE"""),32.7)</f>
        <v>32.700000000000003</v>
      </c>
      <c r="F80" s="4">
        <f ca="1">IFERROR(__xludf.DUMMYFUNCTION("""COMPUTED_VALUE"""),50.4)</f>
        <v>50.4</v>
      </c>
      <c r="G80" s="4">
        <f ca="1">IFERROR(__xludf.DUMMYFUNCTION("""COMPUTED_VALUE"""),44.4)</f>
        <v>44.4</v>
      </c>
      <c r="H80" s="4">
        <f ca="1">IFERROR(__xludf.DUMMYFUNCTION("""COMPUTED_VALUE"""),5.2)</f>
        <v>5.2</v>
      </c>
      <c r="I80" s="8" t="s">
        <v>168</v>
      </c>
    </row>
    <row r="81" spans="1:9" ht="13.2" x14ac:dyDescent="0.25">
      <c r="A81" s="7">
        <v>43687</v>
      </c>
      <c r="B81" s="4">
        <f ca="1">IFERROR(__xludf.DUMMYFUNCTION("split(I76, "" | "")"),27.8)</f>
        <v>27.8</v>
      </c>
      <c r="C81" s="4">
        <f ca="1">IFERROR(__xludf.DUMMYFUNCTION("""COMPUTED_VALUE"""),21.6)</f>
        <v>21.6</v>
      </c>
      <c r="D81" s="4">
        <f ca="1">IFERROR(__xludf.DUMMYFUNCTION("""COMPUTED_VALUE"""),13.7)</f>
        <v>13.7</v>
      </c>
      <c r="E81" s="4">
        <f ca="1">IFERROR(__xludf.DUMMYFUNCTION("""COMPUTED_VALUE"""),32.6)</f>
        <v>32.6</v>
      </c>
      <c r="F81" s="4">
        <f ca="1">IFERROR(__xludf.DUMMYFUNCTION("""COMPUTED_VALUE"""),49.4)</f>
        <v>49.4</v>
      </c>
      <c r="G81" s="4">
        <f ca="1">IFERROR(__xludf.DUMMYFUNCTION("""COMPUTED_VALUE"""),46.3)</f>
        <v>46.3</v>
      </c>
      <c r="H81" s="4">
        <f ca="1">IFERROR(__xludf.DUMMYFUNCTION("""COMPUTED_VALUE"""),4.3)</f>
        <v>4.3</v>
      </c>
      <c r="I81" s="2" t="s">
        <v>171</v>
      </c>
    </row>
    <row r="82" spans="1:9" ht="13.2" x14ac:dyDescent="0.25">
      <c r="A82" s="7">
        <v>43694</v>
      </c>
      <c r="B82" s="4">
        <f ca="1">IFERROR(__xludf.DUMMYFUNCTION("split(I77, "" | "")"),26.4)</f>
        <v>26.4</v>
      </c>
      <c r="C82" s="4">
        <f ca="1">IFERROR(__xludf.DUMMYFUNCTION("""COMPUTED_VALUE"""),19.8)</f>
        <v>19.8</v>
      </c>
      <c r="D82" s="4">
        <f ca="1">IFERROR(__xludf.DUMMYFUNCTION("""COMPUTED_VALUE"""),13.9)</f>
        <v>13.9</v>
      </c>
      <c r="E82" s="4">
        <f ca="1">IFERROR(__xludf.DUMMYFUNCTION("""COMPUTED_VALUE"""),36.5)</f>
        <v>36.5</v>
      </c>
      <c r="F82" s="4">
        <f ca="1">IFERROR(__xludf.DUMMYFUNCTION("""COMPUTED_VALUE"""),46.2)</f>
        <v>46.2</v>
      </c>
      <c r="G82" s="4">
        <f ca="1">IFERROR(__xludf.DUMMYFUNCTION("""COMPUTED_VALUE"""),50.4)</f>
        <v>50.4</v>
      </c>
      <c r="H82" s="4">
        <f ca="1">IFERROR(__xludf.DUMMYFUNCTION("""COMPUTED_VALUE"""),3.4)</f>
        <v>3.4</v>
      </c>
      <c r="I82" s="2" t="s">
        <v>173</v>
      </c>
    </row>
    <row r="83" spans="1:9" ht="13.2" x14ac:dyDescent="0.25">
      <c r="A83" s="7">
        <v>43701</v>
      </c>
      <c r="B83" s="4">
        <f ca="1">IFERROR(__xludf.DUMMYFUNCTION("split(I78, "" | "")"),27.5)</f>
        <v>27.5</v>
      </c>
      <c r="C83" s="4">
        <f ca="1">IFERROR(__xludf.DUMMYFUNCTION("""COMPUTED_VALUE"""),19)</f>
        <v>19</v>
      </c>
      <c r="D83" s="4">
        <f ca="1">IFERROR(__xludf.DUMMYFUNCTION("""COMPUTED_VALUE"""),11.8)</f>
        <v>11.8</v>
      </c>
      <c r="E83" s="4">
        <f ca="1">IFERROR(__xludf.DUMMYFUNCTION("""COMPUTED_VALUE"""),38.4)</f>
        <v>38.4</v>
      </c>
      <c r="F83" s="4">
        <f ca="1">IFERROR(__xludf.DUMMYFUNCTION("""COMPUTED_VALUE"""),46.5)</f>
        <v>46.5</v>
      </c>
      <c r="G83" s="4">
        <f ca="1">IFERROR(__xludf.DUMMYFUNCTION("""COMPUTED_VALUE"""),50.2)</f>
        <v>50.2</v>
      </c>
      <c r="H83" s="4">
        <f ca="1">IFERROR(__xludf.DUMMYFUNCTION("""COMPUTED_VALUE"""),3.3)</f>
        <v>3.3</v>
      </c>
      <c r="I83" s="2" t="s">
        <v>176</v>
      </c>
    </row>
    <row r="84" spans="1:9" ht="13.2" x14ac:dyDescent="0.25">
      <c r="A84" s="7">
        <v>43708</v>
      </c>
      <c r="B84" s="4">
        <f ca="1">IFERROR(__xludf.DUMMYFUNCTION("split(I79, "" | "")"),26.7)</f>
        <v>26.7</v>
      </c>
      <c r="C84" s="4">
        <f ca="1">IFERROR(__xludf.DUMMYFUNCTION("""COMPUTED_VALUE"""),19.6)</f>
        <v>19.600000000000001</v>
      </c>
      <c r="D84" s="4">
        <f ca="1">IFERROR(__xludf.DUMMYFUNCTION("""COMPUTED_VALUE"""),11.1)</f>
        <v>11.1</v>
      </c>
      <c r="E84" s="4">
        <f ca="1">IFERROR(__xludf.DUMMYFUNCTION("""COMPUTED_VALUE"""),38.8)</f>
        <v>38.799999999999997</v>
      </c>
      <c r="F84" s="4">
        <f ca="1">IFERROR(__xludf.DUMMYFUNCTION("""COMPUTED_VALUE"""),46.3)</f>
        <v>46.3</v>
      </c>
      <c r="G84" s="4">
        <f ca="1">IFERROR(__xludf.DUMMYFUNCTION("""COMPUTED_VALUE"""),49.9)</f>
        <v>49.9</v>
      </c>
      <c r="H84" s="4">
        <f ca="1">IFERROR(__xludf.DUMMYFUNCTION("""COMPUTED_VALUE"""),3.8)</f>
        <v>3.8</v>
      </c>
      <c r="I84" s="2" t="s">
        <v>178</v>
      </c>
    </row>
    <row r="85" spans="1:9" ht="13.2" x14ac:dyDescent="0.25">
      <c r="A85" s="7">
        <v>43715</v>
      </c>
      <c r="B85" s="4">
        <f ca="1">IFERROR(__xludf.DUMMYFUNCTION("split(I80, "" | "")"),28.3)</f>
        <v>28.3</v>
      </c>
      <c r="C85" s="4">
        <f ca="1">IFERROR(__xludf.DUMMYFUNCTION("""COMPUTED_VALUE"""),18.9)</f>
        <v>18.899999999999999</v>
      </c>
      <c r="D85" s="4">
        <f ca="1">IFERROR(__xludf.DUMMYFUNCTION("""COMPUTED_VALUE"""),9.9)</f>
        <v>9.9</v>
      </c>
      <c r="E85" s="4">
        <f ca="1">IFERROR(__xludf.DUMMYFUNCTION("""COMPUTED_VALUE"""),40.1)</f>
        <v>40.1</v>
      </c>
      <c r="F85" s="4">
        <f ca="1">IFERROR(__xludf.DUMMYFUNCTION("""COMPUTED_VALUE"""),47.2)</f>
        <v>47.2</v>
      </c>
      <c r="G85" s="4">
        <f ca="1">IFERROR(__xludf.DUMMYFUNCTION("""COMPUTED_VALUE"""),50)</f>
        <v>50</v>
      </c>
      <c r="H85" s="4">
        <f ca="1">IFERROR(__xludf.DUMMYFUNCTION("""COMPUTED_VALUE"""),2.8)</f>
        <v>2.8</v>
      </c>
      <c r="I85" s="2" t="s">
        <v>180</v>
      </c>
    </row>
    <row r="86" spans="1:9" ht="13.2" x14ac:dyDescent="0.25">
      <c r="A86" s="7">
        <v>43722</v>
      </c>
      <c r="B86" s="4">
        <f ca="1">IFERROR(__xludf.DUMMYFUNCTION("split(I81, "" | "")"),26.7)</f>
        <v>26.7</v>
      </c>
      <c r="C86" s="4">
        <f ca="1">IFERROR(__xludf.DUMMYFUNCTION("""COMPUTED_VALUE"""),18.5)</f>
        <v>18.5</v>
      </c>
      <c r="D86" s="4">
        <f ca="1">IFERROR(__xludf.DUMMYFUNCTION("""COMPUTED_VALUE"""),11.7)</f>
        <v>11.7</v>
      </c>
      <c r="E86" s="4">
        <f ca="1">IFERROR(__xludf.DUMMYFUNCTION("""COMPUTED_VALUE"""),40.3)</f>
        <v>40.299999999999997</v>
      </c>
      <c r="F86" s="4">
        <f ca="1">IFERROR(__xludf.DUMMYFUNCTION("""COMPUTED_VALUE"""),45.2)</f>
        <v>45.2</v>
      </c>
      <c r="G86" s="4">
        <f ca="1">IFERROR(__xludf.DUMMYFUNCTION("""COMPUTED_VALUE"""),52)</f>
        <v>52</v>
      </c>
      <c r="H86" s="4">
        <f ca="1">IFERROR(__xludf.DUMMYFUNCTION("""COMPUTED_VALUE"""),2.8)</f>
        <v>2.8</v>
      </c>
      <c r="I86" s="2" t="s">
        <v>182</v>
      </c>
    </row>
    <row r="87" spans="1:9" ht="13.2" x14ac:dyDescent="0.25">
      <c r="A87" s="7">
        <v>43729</v>
      </c>
      <c r="B87" s="4">
        <f ca="1">IFERROR(__xludf.DUMMYFUNCTION("split(I82, "" | "")"),29.6)</f>
        <v>29.6</v>
      </c>
      <c r="C87" s="4">
        <f ca="1">IFERROR(__xludf.DUMMYFUNCTION("""COMPUTED_VALUE"""),17.7)</f>
        <v>17.7</v>
      </c>
      <c r="D87" s="4">
        <f ca="1">IFERROR(__xludf.DUMMYFUNCTION("""COMPUTED_VALUE"""),11.2)</f>
        <v>11.2</v>
      </c>
      <c r="E87" s="4">
        <f ca="1">IFERROR(__xludf.DUMMYFUNCTION("""COMPUTED_VALUE"""),39)</f>
        <v>39</v>
      </c>
      <c r="F87" s="4">
        <f ca="1">IFERROR(__xludf.DUMMYFUNCTION("""COMPUTED_VALUE"""),47.3)</f>
        <v>47.3</v>
      </c>
      <c r="G87" s="4">
        <f ca="1">IFERROR(__xludf.DUMMYFUNCTION("""COMPUTED_VALUE"""),50.2)</f>
        <v>50.2</v>
      </c>
      <c r="H87" s="4">
        <f ca="1">IFERROR(__xludf.DUMMYFUNCTION("""COMPUTED_VALUE"""),2.5)</f>
        <v>2.5</v>
      </c>
      <c r="I87" s="2" t="s">
        <v>186</v>
      </c>
    </row>
    <row r="88" spans="1:9" ht="13.2" x14ac:dyDescent="0.25">
      <c r="A88" s="7">
        <v>43736</v>
      </c>
      <c r="B88" s="4">
        <f ca="1">IFERROR(__xludf.DUMMYFUNCTION("split(I83, "" | "")"),26.5)</f>
        <v>26.5</v>
      </c>
      <c r="C88" s="4">
        <f ca="1">IFERROR(__xludf.DUMMYFUNCTION("""COMPUTED_VALUE"""),17.9)</f>
        <v>17.899999999999999</v>
      </c>
      <c r="D88" s="4">
        <f ca="1">IFERROR(__xludf.DUMMYFUNCTION("""COMPUTED_VALUE"""),11.7)</f>
        <v>11.7</v>
      </c>
      <c r="E88" s="4">
        <f ca="1">IFERROR(__xludf.DUMMYFUNCTION("""COMPUTED_VALUE"""),40.6)</f>
        <v>40.6</v>
      </c>
      <c r="F88" s="4">
        <f ca="1">IFERROR(__xludf.DUMMYFUNCTION("""COMPUTED_VALUE"""),44.4)</f>
        <v>44.4</v>
      </c>
      <c r="G88" s="4">
        <f ca="1">IFERROR(__xludf.DUMMYFUNCTION("""COMPUTED_VALUE"""),52.3)</f>
        <v>52.3</v>
      </c>
      <c r="H88" s="4">
        <f ca="1">IFERROR(__xludf.DUMMYFUNCTION("""COMPUTED_VALUE"""),3.3)</f>
        <v>3.3</v>
      </c>
      <c r="I88" s="2" t="s">
        <v>188</v>
      </c>
    </row>
    <row r="89" spans="1:9" ht="13.2" x14ac:dyDescent="0.25">
      <c r="A89" s="7">
        <v>43743</v>
      </c>
      <c r="B89" s="4">
        <f ca="1">IFERROR(__xludf.DUMMYFUNCTION("split(I84, "" | "")"),25.9)</f>
        <v>25.9</v>
      </c>
      <c r="C89" s="4">
        <f ca="1">IFERROR(__xludf.DUMMYFUNCTION("""COMPUTED_VALUE"""),15.5)</f>
        <v>15.5</v>
      </c>
      <c r="D89" s="4">
        <f ca="1">IFERROR(__xludf.DUMMYFUNCTION("""COMPUTED_VALUE"""),11.1)</f>
        <v>11.1</v>
      </c>
      <c r="E89" s="4">
        <f ca="1">IFERROR(__xludf.DUMMYFUNCTION("""COMPUTED_VALUE"""),45)</f>
        <v>45</v>
      </c>
      <c r="F89" s="4">
        <f ca="1">IFERROR(__xludf.DUMMYFUNCTION("""COMPUTED_VALUE"""),41.4)</f>
        <v>41.4</v>
      </c>
      <c r="G89" s="4">
        <f ca="1">IFERROR(__xludf.DUMMYFUNCTION("""COMPUTED_VALUE"""),56.1)</f>
        <v>56.1</v>
      </c>
      <c r="H89" s="4">
        <f ca="1">IFERROR(__xludf.DUMMYFUNCTION("""COMPUTED_VALUE"""),2.5)</f>
        <v>2.5</v>
      </c>
      <c r="I89" s="2" t="s">
        <v>191</v>
      </c>
    </row>
    <row r="90" spans="1:9" ht="13.2" x14ac:dyDescent="0.25">
      <c r="A90" s="7">
        <v>43750</v>
      </c>
      <c r="B90" s="4">
        <f ca="1">IFERROR(__xludf.DUMMYFUNCTION("split(I85, "" | "")"),28.9)</f>
        <v>28.9</v>
      </c>
      <c r="C90" s="4">
        <f ca="1">IFERROR(__xludf.DUMMYFUNCTION("""COMPUTED_VALUE"""),16.1)</f>
        <v>16.100000000000001</v>
      </c>
      <c r="D90" s="4">
        <f ca="1">IFERROR(__xludf.DUMMYFUNCTION("""COMPUTED_VALUE"""),10)</f>
        <v>10</v>
      </c>
      <c r="E90" s="4">
        <f ca="1">IFERROR(__xludf.DUMMYFUNCTION("""COMPUTED_VALUE"""),42.3)</f>
        <v>42.3</v>
      </c>
      <c r="F90" s="4">
        <f ca="1">IFERROR(__xludf.DUMMYFUNCTION("""COMPUTED_VALUE"""),45)</f>
        <v>45</v>
      </c>
      <c r="G90" s="4">
        <f ca="1">IFERROR(__xludf.DUMMYFUNCTION("""COMPUTED_VALUE"""),52.3)</f>
        <v>52.3</v>
      </c>
      <c r="H90" s="4">
        <f ca="1">IFERROR(__xludf.DUMMYFUNCTION("""COMPUTED_VALUE"""),2.7)</f>
        <v>2.7</v>
      </c>
      <c r="I90" s="2" t="s">
        <v>194</v>
      </c>
    </row>
    <row r="91" spans="1:9" ht="13.2" x14ac:dyDescent="0.25">
      <c r="A91" s="7">
        <v>43757</v>
      </c>
      <c r="B91" s="4">
        <f ca="1">IFERROR(__xludf.DUMMYFUNCTION("split(I86, "" | "")"),28.2)</f>
        <v>28.2</v>
      </c>
      <c r="C91" s="4">
        <f ca="1">IFERROR(__xludf.DUMMYFUNCTION("""COMPUTED_VALUE"""),17.5)</f>
        <v>17.5</v>
      </c>
      <c r="D91" s="4">
        <f ca="1">IFERROR(__xludf.DUMMYFUNCTION("""COMPUTED_VALUE"""),11.8)</f>
        <v>11.8</v>
      </c>
      <c r="E91" s="4">
        <f ca="1">IFERROR(__xludf.DUMMYFUNCTION("""COMPUTED_VALUE"""),38.6)</f>
        <v>38.6</v>
      </c>
      <c r="F91" s="4">
        <f ca="1">IFERROR(__xludf.DUMMYFUNCTION("""COMPUTED_VALUE"""),45.7)</f>
        <v>45.7</v>
      </c>
      <c r="G91" s="4">
        <f ca="1">IFERROR(__xludf.DUMMYFUNCTION("""COMPUTED_VALUE"""),50.4)</f>
        <v>50.4</v>
      </c>
      <c r="H91" s="4">
        <f ca="1">IFERROR(__xludf.DUMMYFUNCTION("""COMPUTED_VALUE"""),3.9)</f>
        <v>3.9</v>
      </c>
      <c r="I91" s="2" t="s">
        <v>196</v>
      </c>
    </row>
    <row r="92" spans="1:9" ht="13.2" x14ac:dyDescent="0.25">
      <c r="A92" s="7">
        <v>43764</v>
      </c>
      <c r="B92" s="4">
        <f ca="1">IFERROR(__xludf.DUMMYFUNCTION("split(I87, "" | "")"),28.5)</f>
        <v>28.5</v>
      </c>
      <c r="C92" s="4">
        <f ca="1">IFERROR(__xludf.DUMMYFUNCTION("""COMPUTED_VALUE"""),19)</f>
        <v>19</v>
      </c>
      <c r="D92" s="4">
        <f ca="1">IFERROR(__xludf.DUMMYFUNCTION("""COMPUTED_VALUE"""),11.6)</f>
        <v>11.6</v>
      </c>
      <c r="E92" s="4">
        <f ca="1">IFERROR(__xludf.DUMMYFUNCTION("""COMPUTED_VALUE"""),37.5)</f>
        <v>37.5</v>
      </c>
      <c r="F92" s="4">
        <f ca="1">IFERROR(__xludf.DUMMYFUNCTION("""COMPUTED_VALUE"""),47.5)</f>
        <v>47.5</v>
      </c>
      <c r="G92" s="4">
        <f ca="1">IFERROR(__xludf.DUMMYFUNCTION("""COMPUTED_VALUE"""),49.1)</f>
        <v>49.1</v>
      </c>
      <c r="H92" s="4">
        <f ca="1">IFERROR(__xludf.DUMMYFUNCTION("""COMPUTED_VALUE"""),3.4)</f>
        <v>3.4</v>
      </c>
      <c r="I92" s="2" t="s">
        <v>198</v>
      </c>
    </row>
    <row r="93" spans="1:9" ht="13.2" x14ac:dyDescent="0.25">
      <c r="A93" s="7">
        <v>43771</v>
      </c>
      <c r="B93" s="4">
        <f ca="1">IFERROR(__xludf.DUMMYFUNCTION("split(I88, "" | "")"),26.3)</f>
        <v>26.3</v>
      </c>
      <c r="C93" s="4">
        <f ca="1">IFERROR(__xludf.DUMMYFUNCTION("""COMPUTED_VALUE"""),18.2)</f>
        <v>18.2</v>
      </c>
      <c r="D93" s="4">
        <f ca="1">IFERROR(__xludf.DUMMYFUNCTION("""COMPUTED_VALUE"""),13.4)</f>
        <v>13.4</v>
      </c>
      <c r="E93" s="4">
        <f ca="1">IFERROR(__xludf.DUMMYFUNCTION("""COMPUTED_VALUE"""),38.8)</f>
        <v>38.799999999999997</v>
      </c>
      <c r="F93" s="4">
        <f ca="1">IFERROR(__xludf.DUMMYFUNCTION("""COMPUTED_VALUE"""),44.5)</f>
        <v>44.5</v>
      </c>
      <c r="G93" s="4">
        <f ca="1">IFERROR(__xludf.DUMMYFUNCTION("""COMPUTED_VALUE"""),52.2)</f>
        <v>52.2</v>
      </c>
      <c r="H93" s="4">
        <f ca="1">IFERROR(__xludf.DUMMYFUNCTION("""COMPUTED_VALUE"""),3.3)</f>
        <v>3.3</v>
      </c>
      <c r="I93" s="2" t="s">
        <v>201</v>
      </c>
    </row>
    <row r="94" spans="1:9" ht="13.2" x14ac:dyDescent="0.25">
      <c r="A94" s="7">
        <v>43778</v>
      </c>
      <c r="B94" s="4">
        <f ca="1">IFERROR(__xludf.DUMMYFUNCTION("split(I89, "" | "")"),26.3)</f>
        <v>26.3</v>
      </c>
      <c r="C94" s="4">
        <f ca="1">IFERROR(__xludf.DUMMYFUNCTION("""COMPUTED_VALUE"""),21.5)</f>
        <v>21.5</v>
      </c>
      <c r="D94" s="4">
        <f ca="1">IFERROR(__xludf.DUMMYFUNCTION("""COMPUTED_VALUE"""),12.6)</f>
        <v>12.6</v>
      </c>
      <c r="E94" s="4">
        <f ca="1">IFERROR(__xludf.DUMMYFUNCTION("""COMPUTED_VALUE"""),36)</f>
        <v>36</v>
      </c>
      <c r="F94" s="4">
        <f ca="1">IFERROR(__xludf.DUMMYFUNCTION("""COMPUTED_VALUE"""),47.8)</f>
        <v>47.8</v>
      </c>
      <c r="G94" s="4">
        <f ca="1">IFERROR(__xludf.DUMMYFUNCTION("""COMPUTED_VALUE"""),48.6)</f>
        <v>48.6</v>
      </c>
      <c r="H94" s="4">
        <f ca="1">IFERROR(__xludf.DUMMYFUNCTION("""COMPUTED_VALUE"""),3.6)</f>
        <v>3.6</v>
      </c>
      <c r="I94" s="2" t="s">
        <v>203</v>
      </c>
    </row>
    <row r="95" spans="1:9" ht="13.2" x14ac:dyDescent="0.25">
      <c r="A95" s="7">
        <v>43785</v>
      </c>
    </row>
    <row r="96" spans="1:9" ht="13.2" x14ac:dyDescent="0.25">
      <c r="A96" s="7">
        <v>43792</v>
      </c>
      <c r="B96" s="4">
        <f ca="1">IFERROR(__xludf.DUMMYFUNCTION("split(I91, "" | "")"),26.3)</f>
        <v>26.3</v>
      </c>
      <c r="C96" s="4">
        <f ca="1">IFERROR(__xludf.DUMMYFUNCTION("""COMPUTED_VALUE"""),21.5)</f>
        <v>21.5</v>
      </c>
      <c r="D96" s="4">
        <f ca="1">IFERROR(__xludf.DUMMYFUNCTION("""COMPUTED_VALUE"""),12.6)</f>
        <v>12.6</v>
      </c>
      <c r="E96" s="4">
        <f ca="1">IFERROR(__xludf.DUMMYFUNCTION("""COMPUTED_VALUE"""),36)</f>
        <v>36</v>
      </c>
      <c r="F96" s="4">
        <f ca="1">IFERROR(__xludf.DUMMYFUNCTION("""COMPUTED_VALUE"""),47.8)</f>
        <v>47.8</v>
      </c>
      <c r="G96" s="4">
        <f ca="1">IFERROR(__xludf.DUMMYFUNCTION("""COMPUTED_VALUE"""),48.6)</f>
        <v>48.6</v>
      </c>
      <c r="H96" s="4">
        <f ca="1">IFERROR(__xludf.DUMMYFUNCTION("""COMPUTED_VALUE"""),3.6)</f>
        <v>3.6</v>
      </c>
      <c r="I96" s="2" t="s">
        <v>203</v>
      </c>
    </row>
    <row r="97" spans="1:9" ht="13.2" x14ac:dyDescent="0.25">
      <c r="A97" s="7">
        <v>43799</v>
      </c>
      <c r="B97" s="4">
        <f ca="1">IFERROR(__xludf.DUMMYFUNCTION("split(I92, "" | "")"),26.5)</f>
        <v>26.5</v>
      </c>
      <c r="C97" s="4">
        <f ca="1">IFERROR(__xludf.DUMMYFUNCTION("""COMPUTED_VALUE"""),21)</f>
        <v>21</v>
      </c>
      <c r="D97" s="4">
        <f ca="1">IFERROR(__xludf.DUMMYFUNCTION("""COMPUTED_VALUE"""),12.6)</f>
        <v>12.6</v>
      </c>
      <c r="E97" s="4">
        <f ca="1">IFERROR(__xludf.DUMMYFUNCTION("""COMPUTED_VALUE"""),35.7)</f>
        <v>35.700000000000003</v>
      </c>
      <c r="F97" s="4">
        <f ca="1">IFERROR(__xludf.DUMMYFUNCTION("""COMPUTED_VALUE"""),47.5)</f>
        <v>47.5</v>
      </c>
      <c r="G97" s="4">
        <f ca="1">IFERROR(__xludf.DUMMYFUNCTION("""COMPUTED_VALUE"""),48.3)</f>
        <v>48.3</v>
      </c>
      <c r="H97" s="4">
        <f ca="1">IFERROR(__xludf.DUMMYFUNCTION("""COMPUTED_VALUE"""),4.2)</f>
        <v>4.2</v>
      </c>
      <c r="I97" s="2" t="s">
        <v>207</v>
      </c>
    </row>
    <row r="98" spans="1:9" ht="13.2" x14ac:dyDescent="0.25">
      <c r="A98" s="7">
        <v>43806</v>
      </c>
      <c r="B98" s="4">
        <f ca="1">IFERROR(__xludf.DUMMYFUNCTION("split(I93, "" | "")"),26.4)</f>
        <v>26.4</v>
      </c>
      <c r="C98" s="4">
        <f ca="1">IFERROR(__xludf.DUMMYFUNCTION("""COMPUTED_VALUE"""),22.9)</f>
        <v>22.9</v>
      </c>
      <c r="D98" s="4">
        <f ca="1">IFERROR(__xludf.DUMMYFUNCTION("""COMPUTED_VALUE"""),13.7)</f>
        <v>13.7</v>
      </c>
      <c r="E98" s="4">
        <f ca="1">IFERROR(__xludf.DUMMYFUNCTION("""COMPUTED_VALUE"""),33.2)</f>
        <v>33.200000000000003</v>
      </c>
      <c r="F98" s="4">
        <f ca="1">IFERROR(__xludf.DUMMYFUNCTION("""COMPUTED_VALUE"""),49.3)</f>
        <v>49.3</v>
      </c>
      <c r="G98" s="4">
        <f ca="1">IFERROR(__xludf.DUMMYFUNCTION("""COMPUTED_VALUE"""),46.9)</f>
        <v>46.9</v>
      </c>
      <c r="H98" s="4">
        <f ca="1">IFERROR(__xludf.DUMMYFUNCTION("""COMPUTED_VALUE"""),3.8)</f>
        <v>3.8</v>
      </c>
      <c r="I98" s="2" t="s">
        <v>209</v>
      </c>
    </row>
    <row r="99" spans="1:9" ht="13.2" x14ac:dyDescent="0.25">
      <c r="A99" s="7">
        <v>43813</v>
      </c>
      <c r="B99" s="4">
        <f ca="1">IFERROR(__xludf.DUMMYFUNCTION("split(I94, "" | "")"),26.4)</f>
        <v>26.4</v>
      </c>
      <c r="C99" s="4">
        <f ca="1">IFERROR(__xludf.DUMMYFUNCTION("""COMPUTED_VALUE"""),21.2)</f>
        <v>21.2</v>
      </c>
      <c r="D99" s="4">
        <f ca="1">IFERROR(__xludf.DUMMYFUNCTION("""COMPUTED_VALUE"""),12.2)</f>
        <v>12.2</v>
      </c>
      <c r="E99" s="4">
        <f ca="1">IFERROR(__xludf.DUMMYFUNCTION("""COMPUTED_VALUE"""),35.8)</f>
        <v>35.799999999999997</v>
      </c>
      <c r="F99" s="4">
        <f ca="1">IFERROR(__xludf.DUMMYFUNCTION("""COMPUTED_VALUE"""),47.6)</f>
        <v>47.6</v>
      </c>
      <c r="G99" s="4">
        <f ca="1">IFERROR(__xludf.DUMMYFUNCTION("""COMPUTED_VALUE"""),48)</f>
        <v>48</v>
      </c>
      <c r="H99" s="4">
        <f ca="1">IFERROR(__xludf.DUMMYFUNCTION("""COMPUTED_VALUE"""),4.4)</f>
        <v>4.4000000000000004</v>
      </c>
      <c r="I99" s="2" t="s">
        <v>211</v>
      </c>
    </row>
    <row r="100" spans="1:9" ht="13.2" x14ac:dyDescent="0.25">
      <c r="A100" s="7">
        <v>43820</v>
      </c>
      <c r="B100" s="4">
        <f ca="1">IFERROR(__xludf.DUMMYFUNCTION("split(I95, "" | "")"),29.7)</f>
        <v>29.7</v>
      </c>
      <c r="C100" s="4">
        <f ca="1">IFERROR(__xludf.DUMMYFUNCTION("""COMPUTED_VALUE"""),20)</f>
        <v>20</v>
      </c>
      <c r="D100" s="4">
        <f ca="1">IFERROR(__xludf.DUMMYFUNCTION("""COMPUTED_VALUE"""),12.9)</f>
        <v>12.9</v>
      </c>
      <c r="E100" s="4">
        <f ca="1">IFERROR(__xludf.DUMMYFUNCTION("""COMPUTED_VALUE"""),33.6)</f>
        <v>33.6</v>
      </c>
      <c r="F100" s="4">
        <f ca="1">IFERROR(__xludf.DUMMYFUNCTION("""COMPUTED_VALUE"""),49.7)</f>
        <v>49.7</v>
      </c>
      <c r="G100" s="4">
        <f ca="1">IFERROR(__xludf.DUMMYFUNCTION("""COMPUTED_VALUE"""),46.5)</f>
        <v>46.5</v>
      </c>
      <c r="H100" s="4">
        <f ca="1">IFERROR(__xludf.DUMMYFUNCTION("""COMPUTED_VALUE"""),3.8)</f>
        <v>3.8</v>
      </c>
      <c r="I100" s="2" t="s">
        <v>213</v>
      </c>
    </row>
    <row r="101" spans="1:9" ht="13.2" x14ac:dyDescent="0.25">
      <c r="A101" s="7">
        <v>43827</v>
      </c>
      <c r="B101" s="4">
        <f ca="1">IFERROR(__xludf.DUMMYFUNCTION("split(I96, "" | "")"),28.6)</f>
        <v>28.6</v>
      </c>
      <c r="C101" s="4">
        <f ca="1">IFERROR(__xludf.DUMMYFUNCTION("""COMPUTED_VALUE"""),20.4)</f>
        <v>20.399999999999999</v>
      </c>
      <c r="D101" s="4">
        <f ca="1">IFERROR(__xludf.DUMMYFUNCTION("""COMPUTED_VALUE"""),12.7)</f>
        <v>12.7</v>
      </c>
      <c r="E101" s="4">
        <f ca="1">IFERROR(__xludf.DUMMYFUNCTION("""COMPUTED_VALUE"""),33.5)</f>
        <v>33.5</v>
      </c>
      <c r="F101" s="4">
        <f ca="1">IFERROR(__xludf.DUMMYFUNCTION("""COMPUTED_VALUE"""),49)</f>
        <v>49</v>
      </c>
      <c r="G101" s="4">
        <f ca="1">IFERROR(__xludf.DUMMYFUNCTION("""COMPUTED_VALUE"""),46.2)</f>
        <v>46.2</v>
      </c>
      <c r="H101" s="4">
        <f ca="1">IFERROR(__xludf.DUMMYFUNCTION("""COMPUTED_VALUE"""),4.8)</f>
        <v>4.8</v>
      </c>
      <c r="I101" s="2" t="s">
        <v>215</v>
      </c>
    </row>
    <row r="102" spans="1:9" ht="13.2" x14ac:dyDescent="0.25">
      <c r="A102" s="7">
        <v>43834</v>
      </c>
      <c r="B102" s="4">
        <f ca="1">IFERROR(__xludf.DUMMYFUNCTION("split(I97, "" | "")"),28.2)</f>
        <v>28.2</v>
      </c>
      <c r="C102" s="4">
        <f ca="1">IFERROR(__xludf.DUMMYFUNCTION("""COMPUTED_VALUE"""),20.6)</f>
        <v>20.6</v>
      </c>
      <c r="D102" s="4">
        <f ca="1">IFERROR(__xludf.DUMMYFUNCTION("""COMPUTED_VALUE"""),13.1)</f>
        <v>13.1</v>
      </c>
      <c r="E102" s="4">
        <f ca="1">IFERROR(__xludf.DUMMYFUNCTION("""COMPUTED_VALUE"""),33.4)</f>
        <v>33.4</v>
      </c>
      <c r="F102" s="4">
        <f ca="1">IFERROR(__xludf.DUMMYFUNCTION("""COMPUTED_VALUE"""),48.8)</f>
        <v>48.8</v>
      </c>
      <c r="G102" s="4">
        <f ca="1">IFERROR(__xludf.DUMMYFUNCTION("""COMPUTED_VALUE"""),46.5)</f>
        <v>46.5</v>
      </c>
      <c r="H102" s="4">
        <f ca="1">IFERROR(__xludf.DUMMYFUNCTION("""COMPUTED_VALUE"""),4.7)</f>
        <v>4.7</v>
      </c>
      <c r="I102" s="2" t="s">
        <v>216</v>
      </c>
    </row>
    <row r="103" spans="1:9" ht="13.2" x14ac:dyDescent="0.25">
      <c r="A103" s="7">
        <v>43841</v>
      </c>
      <c r="B103" s="4">
        <f ca="1">IFERROR(__xludf.DUMMYFUNCTION("split(I98, "" | "")"),25.7)</f>
        <v>25.7</v>
      </c>
      <c r="C103" s="4">
        <f ca="1">IFERROR(__xludf.DUMMYFUNCTION("""COMPUTED_VALUE"""),19.6)</f>
        <v>19.600000000000001</v>
      </c>
      <c r="D103" s="4">
        <f ca="1">IFERROR(__xludf.DUMMYFUNCTION("""COMPUTED_VALUE"""),11.3)</f>
        <v>11.3</v>
      </c>
      <c r="E103" s="4">
        <f ca="1">IFERROR(__xludf.DUMMYFUNCTION("""COMPUTED_VALUE"""),39.6)</f>
        <v>39.6</v>
      </c>
      <c r="F103" s="4">
        <f ca="1">IFERROR(__xludf.DUMMYFUNCTION("""COMPUTED_VALUE"""),45.3)</f>
        <v>45.3</v>
      </c>
      <c r="G103" s="4">
        <f ca="1">IFERROR(__xludf.DUMMYFUNCTION("""COMPUTED_VALUE"""),50.9)</f>
        <v>50.9</v>
      </c>
      <c r="H103" s="4">
        <f ca="1">IFERROR(__xludf.DUMMYFUNCTION("""COMPUTED_VALUE"""),3.8)</f>
        <v>3.8</v>
      </c>
      <c r="I103" s="2" t="s">
        <v>218</v>
      </c>
    </row>
    <row r="104" spans="1:9" ht="13.2" x14ac:dyDescent="0.25">
      <c r="A104" s="7">
        <v>43848</v>
      </c>
      <c r="B104" s="4">
        <f ca="1">IFERROR(__xludf.DUMMYFUNCTION("split(I99, "" | "")"),27)</f>
        <v>27</v>
      </c>
      <c r="C104" s="4">
        <f ca="1">IFERROR(__xludf.DUMMYFUNCTION("""COMPUTED_VALUE"""),20)</f>
        <v>20</v>
      </c>
      <c r="D104" s="4">
        <f ca="1">IFERROR(__xludf.DUMMYFUNCTION("""COMPUTED_VALUE"""),11.5)</f>
        <v>11.5</v>
      </c>
      <c r="E104" s="4">
        <f ca="1">IFERROR(__xludf.DUMMYFUNCTION("""COMPUTED_VALUE"""),38.4)</f>
        <v>38.4</v>
      </c>
      <c r="F104" s="4">
        <f ca="1">IFERROR(__xludf.DUMMYFUNCTION("""COMPUTED_VALUE"""),47)</f>
        <v>47</v>
      </c>
      <c r="G104" s="4">
        <f ca="1">IFERROR(__xludf.DUMMYFUNCTION("""COMPUTED_VALUE"""),49.9)</f>
        <v>49.9</v>
      </c>
      <c r="H104" s="4">
        <f ca="1">IFERROR(__xludf.DUMMYFUNCTION("""COMPUTED_VALUE"""),3.1)</f>
        <v>3.1</v>
      </c>
      <c r="I104" s="2" t="s">
        <v>220</v>
      </c>
    </row>
    <row r="105" spans="1:9" ht="13.2" x14ac:dyDescent="0.25">
      <c r="A105" s="7">
        <v>43855</v>
      </c>
      <c r="B105" s="4">
        <f ca="1">IFERROR(__xludf.DUMMYFUNCTION("split(I100, "" | "")"),24.4)</f>
        <v>24.4</v>
      </c>
      <c r="C105" s="4">
        <f ca="1">IFERROR(__xludf.DUMMYFUNCTION("""COMPUTED_VALUE"""),20.6)</f>
        <v>20.6</v>
      </c>
      <c r="D105" s="4">
        <f ca="1">IFERROR(__xludf.DUMMYFUNCTION("""COMPUTED_VALUE"""),13.8)</f>
        <v>13.8</v>
      </c>
      <c r="E105" s="4">
        <f ca="1">IFERROR(__xludf.DUMMYFUNCTION("""COMPUTED_VALUE"""),36.5)</f>
        <v>36.5</v>
      </c>
      <c r="F105" s="4">
        <f ca="1">IFERROR(__xludf.DUMMYFUNCTION("""COMPUTED_VALUE"""),45)</f>
        <v>45</v>
      </c>
      <c r="G105" s="4">
        <f ca="1">IFERROR(__xludf.DUMMYFUNCTION("""COMPUTED_VALUE"""),50.3)</f>
        <v>50.3</v>
      </c>
      <c r="H105" s="4">
        <f ca="1">IFERROR(__xludf.DUMMYFUNCTION("""COMPUTED_VALUE"""),4.7)</f>
        <v>4.7</v>
      </c>
      <c r="I105" s="2" t="s">
        <v>222</v>
      </c>
    </row>
    <row r="106" spans="1:9" ht="13.2" x14ac:dyDescent="0.25">
      <c r="A106" s="7">
        <v>43862</v>
      </c>
      <c r="B106" s="4">
        <f ca="1">IFERROR(__xludf.DUMMYFUNCTION("split(I101, "" | "")"),27.8)</f>
        <v>27.8</v>
      </c>
      <c r="C106" s="4">
        <f ca="1">IFERROR(__xludf.DUMMYFUNCTION("""COMPUTED_VALUE"""),19.1)</f>
        <v>19.100000000000001</v>
      </c>
      <c r="D106" s="4">
        <f ca="1">IFERROR(__xludf.DUMMYFUNCTION("""COMPUTED_VALUE"""),12.1)</f>
        <v>12.1</v>
      </c>
      <c r="E106" s="4">
        <f ca="1">IFERROR(__xludf.DUMMYFUNCTION("""COMPUTED_VALUE"""),37.1)</f>
        <v>37.1</v>
      </c>
      <c r="F106" s="4">
        <f ca="1">IFERROR(__xludf.DUMMYFUNCTION("""COMPUTED_VALUE"""),46.9)</f>
        <v>46.9</v>
      </c>
      <c r="G106" s="4">
        <f ca="1">IFERROR(__xludf.DUMMYFUNCTION("""COMPUTED_VALUE"""),49.2)</f>
        <v>49.2</v>
      </c>
      <c r="H106" s="4">
        <f ca="1">IFERROR(__xludf.DUMMYFUNCTION("""COMPUTED_VALUE"""),3.9)</f>
        <v>3.9</v>
      </c>
      <c r="I106" s="2" t="s">
        <v>223</v>
      </c>
    </row>
    <row r="107" spans="1:9" ht="13.2" x14ac:dyDescent="0.25">
      <c r="A107" s="7">
        <v>43869</v>
      </c>
      <c r="B107" s="4">
        <f ca="1">IFERROR(__xludf.DUMMYFUNCTION("split(I102, "" | "")"),27.4)</f>
        <v>27.4</v>
      </c>
      <c r="C107" s="4">
        <f ca="1">IFERROR(__xludf.DUMMYFUNCTION("""COMPUTED_VALUE"""),19.2)</f>
        <v>19.2</v>
      </c>
      <c r="D107" s="4">
        <f ca="1">IFERROR(__xludf.DUMMYFUNCTION("""COMPUTED_VALUE"""),13)</f>
        <v>13</v>
      </c>
      <c r="E107" s="4">
        <f ca="1">IFERROR(__xludf.DUMMYFUNCTION("""COMPUTED_VALUE"""),36.7)</f>
        <v>36.700000000000003</v>
      </c>
      <c r="F107" s="4">
        <f ca="1">IFERROR(__xludf.DUMMYFUNCTION("""COMPUTED_VALUE"""),46.6)</f>
        <v>46.6</v>
      </c>
      <c r="G107" s="4">
        <f ca="1">IFERROR(__xludf.DUMMYFUNCTION("""COMPUTED_VALUE"""),49.7)</f>
        <v>49.7</v>
      </c>
      <c r="H107" s="4">
        <f ca="1">IFERROR(__xludf.DUMMYFUNCTION("""COMPUTED_VALUE"""),3.7)</f>
        <v>3.7</v>
      </c>
      <c r="I107" s="2" t="s">
        <v>224</v>
      </c>
    </row>
    <row r="108" spans="1:9" ht="13.2" x14ac:dyDescent="0.25">
      <c r="A108" s="7">
        <v>43876</v>
      </c>
      <c r="B108" s="4">
        <f ca="1">IFERROR(__xludf.DUMMYFUNCTION("split(I103, "" | "")"),29)</f>
        <v>29</v>
      </c>
      <c r="C108" s="4">
        <f ca="1">IFERROR(__xludf.DUMMYFUNCTION("""COMPUTED_VALUE"""),18.4)</f>
        <v>18.399999999999999</v>
      </c>
      <c r="D108" s="4">
        <f ca="1">IFERROR(__xludf.DUMMYFUNCTION("""COMPUTED_VALUE"""),12.7)</f>
        <v>12.7</v>
      </c>
      <c r="E108" s="4">
        <f ca="1">IFERROR(__xludf.DUMMYFUNCTION("""COMPUTED_VALUE"""),36.4)</f>
        <v>36.4</v>
      </c>
      <c r="F108" s="4">
        <f ca="1">IFERROR(__xludf.DUMMYFUNCTION("""COMPUTED_VALUE"""),47.4)</f>
        <v>47.4</v>
      </c>
      <c r="G108" s="4">
        <f ca="1">IFERROR(__xludf.DUMMYFUNCTION("""COMPUTED_VALUE"""),49.1)</f>
        <v>49.1</v>
      </c>
      <c r="H108" s="4">
        <f ca="1">IFERROR(__xludf.DUMMYFUNCTION("""COMPUTED_VALUE"""),3.5)</f>
        <v>3.5</v>
      </c>
      <c r="I108" s="2" t="s">
        <v>225</v>
      </c>
    </row>
    <row r="109" spans="1:9" ht="13.2" x14ac:dyDescent="0.25">
      <c r="A109" s="7">
        <v>43883</v>
      </c>
      <c r="B109" s="4">
        <f ca="1">IFERROR(__xludf.DUMMYFUNCTION("split(I104, "" | "")"),29.1)</f>
        <v>29.1</v>
      </c>
      <c r="C109" s="4">
        <f ca="1">IFERROR(__xludf.DUMMYFUNCTION("""COMPUTED_VALUE"""),17)</f>
        <v>17</v>
      </c>
      <c r="D109" s="4">
        <f ca="1">IFERROR(__xludf.DUMMYFUNCTION("""COMPUTED_VALUE"""),14.1)</f>
        <v>14.1</v>
      </c>
      <c r="E109" s="4">
        <f ca="1">IFERROR(__xludf.DUMMYFUNCTION("""COMPUTED_VALUE"""),36.6)</f>
        <v>36.6</v>
      </c>
      <c r="F109" s="4">
        <f ca="1">IFERROR(__xludf.DUMMYFUNCTION("""COMPUTED_VALUE"""),46.1)</f>
        <v>46.1</v>
      </c>
      <c r="G109" s="4">
        <f ca="1">IFERROR(__xludf.DUMMYFUNCTION("""COMPUTED_VALUE"""),50.7)</f>
        <v>50.7</v>
      </c>
      <c r="H109" s="4">
        <f ca="1">IFERROR(__xludf.DUMMYFUNCTION("""COMPUTED_VALUE"""),3.2)</f>
        <v>3.2</v>
      </c>
      <c r="I109" s="2" t="s">
        <v>226</v>
      </c>
    </row>
    <row r="110" spans="1:9" ht="13.2" x14ac:dyDescent="0.25">
      <c r="A110" s="7">
        <v>43890</v>
      </c>
      <c r="B110" s="4">
        <f ca="1">IFERROR(__xludf.DUMMYFUNCTION("split(I105, "" | "")"),28.7)</f>
        <v>28.7</v>
      </c>
      <c r="C110" s="4">
        <f ca="1">IFERROR(__xludf.DUMMYFUNCTION("""COMPUTED_VALUE"""),19.2)</f>
        <v>19.2</v>
      </c>
      <c r="D110" s="4">
        <f ca="1">IFERROR(__xludf.DUMMYFUNCTION("""COMPUTED_VALUE"""),11.6)</f>
        <v>11.6</v>
      </c>
      <c r="E110" s="4">
        <f ca="1">IFERROR(__xludf.DUMMYFUNCTION("""COMPUTED_VALUE"""),37.1)</f>
        <v>37.1</v>
      </c>
      <c r="F110" s="4">
        <f ca="1">IFERROR(__xludf.DUMMYFUNCTION("""COMPUTED_VALUE"""),47.9)</f>
        <v>47.9</v>
      </c>
      <c r="G110" s="4">
        <f ca="1">IFERROR(__xludf.DUMMYFUNCTION("""COMPUTED_VALUE"""),48.7)</f>
        <v>48.7</v>
      </c>
      <c r="H110" s="4">
        <f ca="1">IFERROR(__xludf.DUMMYFUNCTION("""COMPUTED_VALUE"""),3.4)</f>
        <v>3.4</v>
      </c>
      <c r="I110" s="2" t="s">
        <v>227</v>
      </c>
    </row>
    <row r="111" spans="1:9" ht="13.2" x14ac:dyDescent="0.25">
      <c r="A111" s="7">
        <v>43897</v>
      </c>
      <c r="B111" s="4">
        <f ca="1">IFERROR(__xludf.DUMMYFUNCTION("split(I106, "" | "")"),29.3)</f>
        <v>29.3</v>
      </c>
      <c r="C111" s="4">
        <f ca="1">IFERROR(__xludf.DUMMYFUNCTION("""COMPUTED_VALUE"""),17.9)</f>
        <v>17.899999999999999</v>
      </c>
      <c r="D111" s="4">
        <f ca="1">IFERROR(__xludf.DUMMYFUNCTION("""COMPUTED_VALUE"""),12.1)</f>
        <v>12.1</v>
      </c>
      <c r="E111" s="4">
        <f ca="1">IFERROR(__xludf.DUMMYFUNCTION("""COMPUTED_VALUE"""),37.1)</f>
        <v>37.1</v>
      </c>
      <c r="F111" s="4">
        <f ca="1">IFERROR(__xludf.DUMMYFUNCTION("""COMPUTED_VALUE"""),47.2)</f>
        <v>47.2</v>
      </c>
      <c r="G111" s="4">
        <f ca="1">IFERROR(__xludf.DUMMYFUNCTION("""COMPUTED_VALUE"""),49.1)</f>
        <v>49.1</v>
      </c>
      <c r="H111" s="4">
        <f ca="1">IFERROR(__xludf.DUMMYFUNCTION("""COMPUTED_VALUE"""),3.6)</f>
        <v>3.6</v>
      </c>
      <c r="I111" s="2" t="s">
        <v>228</v>
      </c>
    </row>
    <row r="112" spans="1:9" ht="13.2" x14ac:dyDescent="0.25">
      <c r="A112" s="7">
        <v>43904</v>
      </c>
      <c r="B112" s="4">
        <f ca="1">IFERROR(__xludf.DUMMYFUNCTION("split(I107, "" | "")"),31.6)</f>
        <v>31.6</v>
      </c>
      <c r="C112" s="4">
        <f ca="1">IFERROR(__xludf.DUMMYFUNCTION("""COMPUTED_VALUE"""),17.8)</f>
        <v>17.8</v>
      </c>
      <c r="D112" s="4">
        <f ca="1">IFERROR(__xludf.DUMMYFUNCTION("""COMPUTED_VALUE"""),12.9)</f>
        <v>12.9</v>
      </c>
      <c r="E112" s="4">
        <f ca="1">IFERROR(__xludf.DUMMYFUNCTION("""COMPUTED_VALUE"""),34.9)</f>
        <v>34.9</v>
      </c>
      <c r="F112" s="4">
        <f ca="1">IFERROR(__xludf.DUMMYFUNCTION("""COMPUTED_VALUE"""),49.3)</f>
        <v>49.3</v>
      </c>
      <c r="G112" s="4">
        <f ca="1">IFERROR(__xludf.DUMMYFUNCTION("""COMPUTED_VALUE"""),47.9)</f>
        <v>47.9</v>
      </c>
      <c r="H112" s="4">
        <f ca="1">IFERROR(__xludf.DUMMYFUNCTION("""COMPUTED_VALUE"""),2.8)</f>
        <v>2.8</v>
      </c>
      <c r="I112" s="2" t="s">
        <v>229</v>
      </c>
    </row>
    <row r="113" spans="1:9" ht="13.2" x14ac:dyDescent="0.25">
      <c r="A113" s="7">
        <v>43911</v>
      </c>
      <c r="B113" s="4">
        <f ca="1">IFERROR(__xludf.DUMMYFUNCTION("split(I108, "" | "")"),34.3)</f>
        <v>34.299999999999997</v>
      </c>
      <c r="C113" s="4">
        <f ca="1">IFERROR(__xludf.DUMMYFUNCTION("""COMPUTED_VALUE"""),18.3)</f>
        <v>18.3</v>
      </c>
      <c r="D113" s="4">
        <f ca="1">IFERROR(__xludf.DUMMYFUNCTION("""COMPUTED_VALUE"""),12.7)</f>
        <v>12.7</v>
      </c>
      <c r="E113" s="4">
        <f ca="1">IFERROR(__xludf.DUMMYFUNCTION("""COMPUTED_VALUE"""),31.4)</f>
        <v>31.4</v>
      </c>
      <c r="F113" s="4">
        <f ca="1">IFERROR(__xludf.DUMMYFUNCTION("""COMPUTED_VALUE"""),52.6)</f>
        <v>52.6</v>
      </c>
      <c r="G113" s="4">
        <f ca="1">IFERROR(__xludf.DUMMYFUNCTION("""COMPUTED_VALUE"""),44.1)</f>
        <v>44.1</v>
      </c>
      <c r="H113" s="4">
        <f ca="1">IFERROR(__xludf.DUMMYFUNCTION("""COMPUTED_VALUE"""),3.3)</f>
        <v>3.3</v>
      </c>
      <c r="I113" s="2" t="s">
        <v>230</v>
      </c>
    </row>
    <row r="114" spans="1:9" ht="13.2" x14ac:dyDescent="0.25">
      <c r="A114" s="7">
        <v>43918</v>
      </c>
      <c r="B114" s="4">
        <f ca="1">IFERROR(__xludf.DUMMYFUNCTION("split(I109, "" | "")"),33.6)</f>
        <v>33.6</v>
      </c>
      <c r="C114" s="4">
        <f ca="1">IFERROR(__xludf.DUMMYFUNCTION("""COMPUTED_VALUE"""),20.1)</f>
        <v>20.100000000000001</v>
      </c>
      <c r="D114" s="4">
        <f ca="1">IFERROR(__xludf.DUMMYFUNCTION("""COMPUTED_VALUE"""),12)</f>
        <v>12</v>
      </c>
      <c r="E114" s="4">
        <f ca="1">IFERROR(__xludf.DUMMYFUNCTION("""COMPUTED_VALUE"""),31.2)</f>
        <v>31.2</v>
      </c>
      <c r="F114" s="4">
        <f ca="1">IFERROR(__xludf.DUMMYFUNCTION("""COMPUTED_VALUE"""),53.7)</f>
        <v>53.7</v>
      </c>
      <c r="G114" s="4">
        <f ca="1">IFERROR(__xludf.DUMMYFUNCTION("""COMPUTED_VALUE"""),43.2)</f>
        <v>43.2</v>
      </c>
      <c r="H114" s="4">
        <f ca="1">IFERROR(__xludf.DUMMYFUNCTION("""COMPUTED_VALUE"""),3.1)</f>
        <v>3.1</v>
      </c>
      <c r="I114" s="2" t="s">
        <v>231</v>
      </c>
    </row>
    <row r="115" spans="1:9" ht="13.2" x14ac:dyDescent="0.25">
      <c r="A115" s="7">
        <v>43925</v>
      </c>
      <c r="B115" s="4">
        <f ca="1">IFERROR(__xludf.DUMMYFUNCTION("split(I110, "" | "")"),36)</f>
        <v>36</v>
      </c>
      <c r="C115" s="4">
        <f ca="1">IFERROR(__xludf.DUMMYFUNCTION("""COMPUTED_VALUE"""),18.3)</f>
        <v>18.3</v>
      </c>
      <c r="D115" s="4">
        <f ca="1">IFERROR(__xludf.DUMMYFUNCTION("""COMPUTED_VALUE"""),12.5)</f>
        <v>12.5</v>
      </c>
      <c r="E115" s="4">
        <f ca="1">IFERROR(__xludf.DUMMYFUNCTION("""COMPUTED_VALUE"""),29.8)</f>
        <v>29.8</v>
      </c>
      <c r="F115" s="4">
        <f ca="1">IFERROR(__xludf.DUMMYFUNCTION("""COMPUTED_VALUE"""),54.4)</f>
        <v>54.4</v>
      </c>
      <c r="G115" s="4">
        <f ca="1">IFERROR(__xludf.DUMMYFUNCTION("""COMPUTED_VALUE"""),42.3)</f>
        <v>42.3</v>
      </c>
      <c r="H115" s="4">
        <f ca="1">IFERROR(__xludf.DUMMYFUNCTION("""COMPUTED_VALUE"""),3.3)</f>
        <v>3.3</v>
      </c>
      <c r="I115" s="2" t="s">
        <v>232</v>
      </c>
    </row>
    <row r="116" spans="1:9" ht="13.2" x14ac:dyDescent="0.25">
      <c r="A116" s="7">
        <v>43932</v>
      </c>
      <c r="B116" s="4">
        <f ca="1">IFERROR(__xludf.DUMMYFUNCTION("split(I111, "" | "")"),36.2)</f>
        <v>36.200000000000003</v>
      </c>
      <c r="C116" s="4">
        <f ca="1">IFERROR(__xludf.DUMMYFUNCTION("""COMPUTED_VALUE"""),22.1)</f>
        <v>22.1</v>
      </c>
      <c r="D116" s="4">
        <f ca="1">IFERROR(__xludf.DUMMYFUNCTION("""COMPUTED_VALUE"""),13.4)</f>
        <v>13.4</v>
      </c>
      <c r="E116" s="4">
        <f ca="1">IFERROR(__xludf.DUMMYFUNCTION("""COMPUTED_VALUE"""),24.1)</f>
        <v>24.1</v>
      </c>
      <c r="F116" s="4">
        <f ca="1">IFERROR(__xludf.DUMMYFUNCTION("""COMPUTED_VALUE"""),58.3)</f>
        <v>58.3</v>
      </c>
      <c r="G116" s="4">
        <f ca="1">IFERROR(__xludf.DUMMYFUNCTION("""COMPUTED_VALUE"""),37.6)</f>
        <v>37.6</v>
      </c>
      <c r="H116" s="4">
        <f ca="1">IFERROR(__xludf.DUMMYFUNCTION("""COMPUTED_VALUE"""),4.1)</f>
        <v>4.0999999999999996</v>
      </c>
      <c r="I116" s="2" t="s">
        <v>233</v>
      </c>
    </row>
    <row r="117" spans="1:9" ht="13.2" x14ac:dyDescent="0.25">
      <c r="A117" s="7">
        <v>43939</v>
      </c>
      <c r="B117" s="4">
        <f ca="1">IFERROR(__xludf.DUMMYFUNCTION("split(I112, "" | "")"),40.7)</f>
        <v>40.700000000000003</v>
      </c>
      <c r="C117" s="4">
        <f ca="1">IFERROR(__xludf.DUMMYFUNCTION("""COMPUTED_VALUE"""),23)</f>
        <v>23</v>
      </c>
      <c r="D117" s="4">
        <f ca="1">IFERROR(__xludf.DUMMYFUNCTION("""COMPUTED_VALUE"""),13.9)</f>
        <v>13.9</v>
      </c>
      <c r="E117" s="4">
        <f ca="1">IFERROR(__xludf.DUMMYFUNCTION("""COMPUTED_VALUE"""),18.4)</f>
        <v>18.399999999999999</v>
      </c>
      <c r="F117" s="4">
        <f ca="1">IFERROR(__xludf.DUMMYFUNCTION("""COMPUTED_VALUE"""),63.7)</f>
        <v>63.7</v>
      </c>
      <c r="G117" s="4">
        <f ca="1">IFERROR(__xludf.DUMMYFUNCTION("""COMPUTED_VALUE"""),32.4)</f>
        <v>32.4</v>
      </c>
      <c r="H117" s="4">
        <f ca="1">IFERROR(__xludf.DUMMYFUNCTION("""COMPUTED_VALUE"""),3.9)</f>
        <v>3.9</v>
      </c>
      <c r="I117" s="2" t="s">
        <v>234</v>
      </c>
    </row>
    <row r="118" spans="1:9" ht="13.2" x14ac:dyDescent="0.25">
      <c r="A118" s="7">
        <v>43946</v>
      </c>
      <c r="B118" s="4">
        <f ca="1">IFERROR(__xludf.DUMMYFUNCTION("split(I113, "" | "")"),38.7)</f>
        <v>38.700000000000003</v>
      </c>
      <c r="C118" s="4">
        <f ca="1">IFERROR(__xludf.DUMMYFUNCTION("""COMPUTED_VALUE"""),21.9)</f>
        <v>21.9</v>
      </c>
      <c r="D118" s="4">
        <f ca="1">IFERROR(__xludf.DUMMYFUNCTION("""COMPUTED_VALUE"""),17.1)</f>
        <v>17.100000000000001</v>
      </c>
      <c r="E118" s="4">
        <f ca="1">IFERROR(__xludf.DUMMYFUNCTION("""COMPUTED_VALUE"""),18.4)</f>
        <v>18.399999999999999</v>
      </c>
      <c r="F118" s="4">
        <f ca="1">IFERROR(__xludf.DUMMYFUNCTION("""COMPUTED_VALUE"""),60.6)</f>
        <v>60.6</v>
      </c>
      <c r="G118" s="4">
        <f ca="1">IFERROR(__xludf.DUMMYFUNCTION("""COMPUTED_VALUE"""),35.4)</f>
        <v>35.4</v>
      </c>
      <c r="H118" s="4">
        <f ca="1">IFERROR(__xludf.DUMMYFUNCTION("""COMPUTED_VALUE"""),4)</f>
        <v>4</v>
      </c>
      <c r="I118" s="2" t="s">
        <v>235</v>
      </c>
    </row>
    <row r="119" spans="1:9" ht="13.2" x14ac:dyDescent="0.25">
      <c r="A119" s="7">
        <v>43953</v>
      </c>
      <c r="B119" s="4">
        <f ca="1">IFERROR(__xludf.DUMMYFUNCTION("split(I114, "" | "")"),40.3)</f>
        <v>40.299999999999997</v>
      </c>
      <c r="C119" s="4">
        <f ca="1">IFERROR(__xludf.DUMMYFUNCTION("""COMPUTED_VALUE"""),21.7)</f>
        <v>21.7</v>
      </c>
      <c r="D119" s="4">
        <f ca="1">IFERROR(__xludf.DUMMYFUNCTION("""COMPUTED_VALUE"""),13.3)</f>
        <v>13.3</v>
      </c>
      <c r="E119" s="4">
        <f ca="1">IFERROR(__xludf.DUMMYFUNCTION("""COMPUTED_VALUE"""),19.2)</f>
        <v>19.2</v>
      </c>
      <c r="F119" s="4">
        <f ca="1">IFERROR(__xludf.DUMMYFUNCTION("""COMPUTED_VALUE"""),62)</f>
        <v>62</v>
      </c>
      <c r="G119" s="4">
        <f ca="1">IFERROR(__xludf.DUMMYFUNCTION("""COMPUTED_VALUE"""),32.4)</f>
        <v>32.4</v>
      </c>
      <c r="H119" s="4">
        <f ca="1">IFERROR(__xludf.DUMMYFUNCTION("""COMPUTED_VALUE"""),5.6)</f>
        <v>5.6</v>
      </c>
      <c r="I119" s="2" t="s">
        <v>236</v>
      </c>
    </row>
    <row r="120" spans="1:9" ht="13.2" x14ac:dyDescent="0.25">
      <c r="A120" s="7">
        <v>43960</v>
      </c>
      <c r="B120" s="4">
        <f ca="1">IFERROR(__xludf.DUMMYFUNCTION("split(I115, "" | "")"),41.4)</f>
        <v>41.4</v>
      </c>
      <c r="C120" s="4">
        <f ca="1">IFERROR(__xludf.DUMMYFUNCTION("""COMPUTED_VALUE"""),20.3)</f>
        <v>20.3</v>
      </c>
      <c r="D120" s="4">
        <f ca="1">IFERROR(__xludf.DUMMYFUNCTION("""COMPUTED_VALUE"""),13.1)</f>
        <v>13.1</v>
      </c>
      <c r="E120" s="4">
        <f ca="1">IFERROR(__xludf.DUMMYFUNCTION("""COMPUTED_VALUE"""),19.9)</f>
        <v>19.899999999999999</v>
      </c>
      <c r="F120" s="4">
        <f ca="1">IFERROR(__xludf.DUMMYFUNCTION("""COMPUTED_VALUE"""),61.7)</f>
        <v>61.7</v>
      </c>
      <c r="G120" s="4">
        <f ca="1">IFERROR(__xludf.DUMMYFUNCTION("""COMPUTED_VALUE"""),33.1)</f>
        <v>33.1</v>
      </c>
      <c r="H120" s="4">
        <f ca="1">IFERROR(__xludf.DUMMYFUNCTION("""COMPUTED_VALUE"""),5.3)</f>
        <v>5.3</v>
      </c>
      <c r="I120" s="2" t="s">
        <v>237</v>
      </c>
    </row>
    <row r="121" spans="1:9" ht="13.2" x14ac:dyDescent="0.25">
      <c r="A121" s="7">
        <v>43967</v>
      </c>
      <c r="B121" s="4">
        <f ca="1">IFERROR(__xludf.DUMMYFUNCTION("split(I116, "" | "")"),40.4)</f>
        <v>40.4</v>
      </c>
      <c r="C121" s="4">
        <f ca="1">IFERROR(__xludf.DUMMYFUNCTION("""COMPUTED_VALUE"""),21.9)</f>
        <v>21.9</v>
      </c>
      <c r="D121" s="4">
        <f ca="1">IFERROR(__xludf.DUMMYFUNCTION("""COMPUTED_VALUE"""),14.3)</f>
        <v>14.3</v>
      </c>
      <c r="E121" s="4">
        <f ca="1">IFERROR(__xludf.DUMMYFUNCTION("""COMPUTED_VALUE"""),18.4)</f>
        <v>18.399999999999999</v>
      </c>
      <c r="F121" s="4">
        <f ca="1">IFERROR(__xludf.DUMMYFUNCTION("""COMPUTED_VALUE"""),62.3)</f>
        <v>62.3</v>
      </c>
      <c r="G121" s="4">
        <f ca="1">IFERROR(__xludf.DUMMYFUNCTION("""COMPUTED_VALUE"""),32.6)</f>
        <v>32.6</v>
      </c>
      <c r="H121" s="4">
        <f ca="1">IFERROR(__xludf.DUMMYFUNCTION("""COMPUTED_VALUE"""),5.1)</f>
        <v>5.0999999999999996</v>
      </c>
      <c r="I121" s="2" t="s">
        <v>238</v>
      </c>
    </row>
    <row r="122" spans="1:9" ht="13.2" x14ac:dyDescent="0.25">
      <c r="A122" s="9"/>
    </row>
    <row r="123" spans="1:9" ht="13.2" x14ac:dyDescent="0.25">
      <c r="A123" s="9"/>
    </row>
    <row r="124" spans="1:9" ht="13.2" x14ac:dyDescent="0.25">
      <c r="A12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21"/>
  <sheetViews>
    <sheetView tabSelected="1" topLeftCell="B1" workbookViewId="0">
      <selection activeCell="G10" sqref="G10"/>
    </sheetView>
  </sheetViews>
  <sheetFormatPr defaultColWidth="14.44140625" defaultRowHeight="15.75" customHeight="1" x14ac:dyDescent="0.25"/>
  <sheetData>
    <row r="1" spans="1:9" x14ac:dyDescent="0.25">
      <c r="B1" s="2" t="s">
        <v>1</v>
      </c>
      <c r="C1" s="2" t="s">
        <v>8</v>
      </c>
      <c r="D1" s="2" t="s">
        <v>9</v>
      </c>
      <c r="E1" s="2" t="s">
        <v>245</v>
      </c>
      <c r="F1" s="2" t="s">
        <v>246</v>
      </c>
      <c r="G1" s="2" t="s">
        <v>247</v>
      </c>
      <c r="H1" s="2" t="s">
        <v>248</v>
      </c>
      <c r="I1" s="2"/>
    </row>
    <row r="2" spans="1:9" x14ac:dyDescent="0.25">
      <c r="A2" s="4" t="str">
        <f ca="1">IFERROR(__xludf.DUMMYFUNCTION("split(I3, "" "")"),"주간")</f>
        <v>주간</v>
      </c>
      <c r="B2" s="4" t="str">
        <f ca="1">IFERROR(__xludf.DUMMYFUNCTION("""COMPUTED_VALUE"""),"02월")</f>
        <v>02월</v>
      </c>
      <c r="C2" s="4" t="str">
        <f ca="1">IFERROR(__xludf.DUMMYFUNCTION("""COMPUTED_VALUE"""),"2주(06~08)")</f>
        <v>2주(06~08)</v>
      </c>
      <c r="D2" s="5">
        <f ca="1">IFERROR(__xludf.DUMMYFUNCTION("""COMPUTED_VALUE"""),1004)</f>
        <v>1004</v>
      </c>
      <c r="E2" s="6">
        <f ca="1">IFERROR(__xludf.DUMMYFUNCTION("""COMPUTED_VALUE"""),0.63)</f>
        <v>0.63</v>
      </c>
      <c r="F2" s="6">
        <f ca="1">IFERROR(__xludf.DUMMYFUNCTION("""COMPUTED_VALUE"""),0.28)</f>
        <v>0.28000000000000003</v>
      </c>
      <c r="G2" s="6">
        <f ca="1">IFERROR(__xludf.DUMMYFUNCTION("""COMPUTED_VALUE"""),0.04)</f>
        <v>0.04</v>
      </c>
      <c r="H2" s="6">
        <f ca="1">IFERROR(__xludf.DUMMYFUNCTION("""COMPUTED_VALUE"""),0.05)</f>
        <v>0.05</v>
      </c>
      <c r="I2" s="2" t="s">
        <v>11</v>
      </c>
    </row>
    <row r="3" spans="1:9" x14ac:dyDescent="0.25">
      <c r="A3" s="4" t="str">
        <f ca="1">IFERROR(__xludf.DUMMYFUNCTION("split(I4, "" "")"),"주간")</f>
        <v>주간</v>
      </c>
      <c r="B3" s="4" t="str">
        <f ca="1">IFERROR(__xludf.DUMMYFUNCTION("""COMPUTED_VALUE"""),"02월")</f>
        <v>02월</v>
      </c>
      <c r="C3" s="4" t="str">
        <f ca="1">IFERROR(__xludf.DUMMYFUNCTION("""COMPUTED_VALUE"""),"3주(12~16)")</f>
        <v>3주(12~16)</v>
      </c>
      <c r="I3" s="2" t="s">
        <v>12</v>
      </c>
    </row>
    <row r="4" spans="1:9" x14ac:dyDescent="0.25">
      <c r="A4" s="4" t="str">
        <f ca="1">IFERROR(__xludf.DUMMYFUNCTION("split(I5, "" "")"),"주간")</f>
        <v>주간</v>
      </c>
      <c r="B4" s="4" t="str">
        <f ca="1">IFERROR(__xludf.DUMMYFUNCTION("""COMPUTED_VALUE"""),"02월")</f>
        <v>02월</v>
      </c>
      <c r="C4" s="4" t="str">
        <f ca="1">IFERROR(__xludf.DUMMYFUNCTION("""COMPUTED_VALUE"""),"4주(20~22)")</f>
        <v>4주(20~22)</v>
      </c>
      <c r="D4" s="5">
        <f ca="1">IFERROR(__xludf.DUMMYFUNCTION("""COMPUTED_VALUE"""),1002)</f>
        <v>1002</v>
      </c>
      <c r="E4" s="6">
        <f ca="1">IFERROR(__xludf.DUMMYFUNCTION("""COMPUTED_VALUE"""),0.68)</f>
        <v>0.68</v>
      </c>
      <c r="F4" s="6">
        <f ca="1">IFERROR(__xludf.DUMMYFUNCTION("""COMPUTED_VALUE"""),0.22)</f>
        <v>0.22</v>
      </c>
      <c r="G4" s="6">
        <f ca="1">IFERROR(__xludf.DUMMYFUNCTION("""COMPUTED_VALUE"""),0.05)</f>
        <v>0.05</v>
      </c>
      <c r="H4" s="6">
        <f ca="1">IFERROR(__xludf.DUMMYFUNCTION("""COMPUTED_VALUE"""),0.04)</f>
        <v>0.04</v>
      </c>
      <c r="I4" s="2" t="s">
        <v>14</v>
      </c>
    </row>
    <row r="5" spans="1:9" x14ac:dyDescent="0.25">
      <c r="A5" s="4" t="str">
        <f ca="1">IFERROR(__xludf.DUMMYFUNCTION("split(I6, "" "")"),"주간")</f>
        <v>주간</v>
      </c>
      <c r="B5" s="4" t="str">
        <f ca="1">IFERROR(__xludf.DUMMYFUNCTION("""COMPUTED_VALUE"""),"02월")</f>
        <v>02월</v>
      </c>
      <c r="C5" s="4" t="str">
        <f ca="1">IFERROR(__xludf.DUMMYFUNCTION("""COMPUTED_VALUE"""),"5주(27~28)")</f>
        <v>5주(27~28)</v>
      </c>
      <c r="D5" s="5">
        <f ca="1">IFERROR(__xludf.DUMMYFUNCTION("""COMPUTED_VALUE"""),1008)</f>
        <v>1008</v>
      </c>
      <c r="E5" s="6">
        <f ca="1">IFERROR(__xludf.DUMMYFUNCTION("""COMPUTED_VALUE"""),0.64)</f>
        <v>0.64</v>
      </c>
      <c r="F5" s="6">
        <f ca="1">IFERROR(__xludf.DUMMYFUNCTION("""COMPUTED_VALUE"""),0.26)</f>
        <v>0.26</v>
      </c>
      <c r="G5" s="6">
        <f ca="1">IFERROR(__xludf.DUMMYFUNCTION("""COMPUTED_VALUE"""),0.04)</f>
        <v>0.04</v>
      </c>
      <c r="H5" s="6">
        <f ca="1">IFERROR(__xludf.DUMMYFUNCTION("""COMPUTED_VALUE"""),0.06)</f>
        <v>0.06</v>
      </c>
      <c r="I5" s="2" t="s">
        <v>15</v>
      </c>
    </row>
    <row r="6" spans="1:9" x14ac:dyDescent="0.25">
      <c r="A6" s="4" t="str">
        <f ca="1">IFERROR(__xludf.DUMMYFUNCTION("split(I7, "" "")"),"주간")</f>
        <v>주간</v>
      </c>
      <c r="B6" s="4" t="str">
        <f ca="1">IFERROR(__xludf.DUMMYFUNCTION("""COMPUTED_VALUE"""),"03월")</f>
        <v>03월</v>
      </c>
      <c r="C6" s="4" t="str">
        <f ca="1">IFERROR(__xludf.DUMMYFUNCTION("""COMPUTED_VALUE"""),"1주(06~08)")</f>
        <v>1주(06~08)</v>
      </c>
      <c r="D6" s="5">
        <f ca="1">IFERROR(__xludf.DUMMYFUNCTION("""COMPUTED_VALUE"""),1005)</f>
        <v>1005</v>
      </c>
      <c r="E6" s="6">
        <f ca="1">IFERROR(__xludf.DUMMYFUNCTION("""COMPUTED_VALUE"""),0.71)</f>
        <v>0.71</v>
      </c>
      <c r="F6" s="6">
        <f ca="1">IFERROR(__xludf.DUMMYFUNCTION("""COMPUTED_VALUE"""),0.22)</f>
        <v>0.22</v>
      </c>
      <c r="G6" s="6">
        <f ca="1">IFERROR(__xludf.DUMMYFUNCTION("""COMPUTED_VALUE"""),0.04)</f>
        <v>0.04</v>
      </c>
      <c r="H6" s="6">
        <f ca="1">IFERROR(__xludf.DUMMYFUNCTION("""COMPUTED_VALUE"""),0.04)</f>
        <v>0.04</v>
      </c>
      <c r="I6" s="2" t="s">
        <v>17</v>
      </c>
    </row>
    <row r="7" spans="1:9" x14ac:dyDescent="0.25">
      <c r="A7" s="4" t="str">
        <f ca="1">IFERROR(__xludf.DUMMYFUNCTION("split(I8, "" "")"),"주간")</f>
        <v>주간</v>
      </c>
      <c r="B7" s="4" t="str">
        <f ca="1">IFERROR(__xludf.DUMMYFUNCTION("""COMPUTED_VALUE"""),"03월")</f>
        <v>03월</v>
      </c>
      <c r="C7" s="4" t="str">
        <f ca="1">IFERROR(__xludf.DUMMYFUNCTION("""COMPUTED_VALUE"""),"2주(13~15)")</f>
        <v>2주(13~15)</v>
      </c>
      <c r="D7" s="5">
        <f ca="1">IFERROR(__xludf.DUMMYFUNCTION("""COMPUTED_VALUE"""),1003)</f>
        <v>1003</v>
      </c>
      <c r="E7" s="6">
        <f ca="1">IFERROR(__xludf.DUMMYFUNCTION("""COMPUTED_VALUE"""),0.74)</f>
        <v>0.74</v>
      </c>
      <c r="F7" s="6">
        <f ca="1">IFERROR(__xludf.DUMMYFUNCTION("""COMPUTED_VALUE"""),0.18)</f>
        <v>0.18</v>
      </c>
      <c r="G7" s="6">
        <f ca="1">IFERROR(__xludf.DUMMYFUNCTION("""COMPUTED_VALUE"""),0.05)</f>
        <v>0.05</v>
      </c>
      <c r="H7" s="6">
        <f ca="1">IFERROR(__xludf.DUMMYFUNCTION("""COMPUTED_VALUE"""),0.04)</f>
        <v>0.04</v>
      </c>
      <c r="I7" s="2" t="s">
        <v>18</v>
      </c>
    </row>
    <row r="8" spans="1:9" x14ac:dyDescent="0.25">
      <c r="A8" s="4" t="str">
        <f ca="1">IFERROR(__xludf.DUMMYFUNCTION("split(I9, "" "")"),"주간")</f>
        <v>주간</v>
      </c>
      <c r="B8" s="4" t="str">
        <f ca="1">IFERROR(__xludf.DUMMYFUNCTION("""COMPUTED_VALUE"""),"03월")</f>
        <v>03월</v>
      </c>
      <c r="C8" s="4" t="str">
        <f ca="1">IFERROR(__xludf.DUMMYFUNCTION("""COMPUTED_VALUE"""),"3주(20~22)")</f>
        <v>3주(20~22)</v>
      </c>
      <c r="D8" s="5">
        <f ca="1">IFERROR(__xludf.DUMMYFUNCTION("""COMPUTED_VALUE"""),1003)</f>
        <v>1003</v>
      </c>
      <c r="E8" s="6">
        <f ca="1">IFERROR(__xludf.DUMMYFUNCTION("""COMPUTED_VALUE"""),0.71)</f>
        <v>0.71</v>
      </c>
      <c r="F8" s="6">
        <f ca="1">IFERROR(__xludf.DUMMYFUNCTION("""COMPUTED_VALUE"""),0.19)</f>
        <v>0.19</v>
      </c>
      <c r="G8" s="6">
        <f ca="1">IFERROR(__xludf.DUMMYFUNCTION("""COMPUTED_VALUE"""),0.06)</f>
        <v>0.06</v>
      </c>
      <c r="H8" s="6">
        <f ca="1">IFERROR(__xludf.DUMMYFUNCTION("""COMPUTED_VALUE"""),0.05)</f>
        <v>0.05</v>
      </c>
      <c r="I8" s="2" t="s">
        <v>20</v>
      </c>
    </row>
    <row r="9" spans="1:9" x14ac:dyDescent="0.25">
      <c r="A9" s="4" t="str">
        <f ca="1">IFERROR(__xludf.DUMMYFUNCTION("split(I10, "" "")"),"주간")</f>
        <v>주간</v>
      </c>
      <c r="B9" s="4" t="str">
        <f ca="1">IFERROR(__xludf.DUMMYFUNCTION("""COMPUTED_VALUE"""),"03월")</f>
        <v>03월</v>
      </c>
      <c r="C9" s="4" t="str">
        <f ca="1">IFERROR(__xludf.DUMMYFUNCTION("""COMPUTED_VALUE"""),"4주(27~29)")</f>
        <v>4주(27~29)</v>
      </c>
      <c r="D9" s="5">
        <f ca="1">IFERROR(__xludf.DUMMYFUNCTION("""COMPUTED_VALUE"""),1004)</f>
        <v>1004</v>
      </c>
      <c r="E9" s="6">
        <f ca="1">IFERROR(__xludf.DUMMYFUNCTION("""COMPUTED_VALUE"""),0.7)</f>
        <v>0.7</v>
      </c>
      <c r="F9" s="6">
        <f ca="1">IFERROR(__xludf.DUMMYFUNCTION("""COMPUTED_VALUE"""),0.21)</f>
        <v>0.21</v>
      </c>
      <c r="G9" s="6">
        <f ca="1">IFERROR(__xludf.DUMMYFUNCTION("""COMPUTED_VALUE"""),0.05)</f>
        <v>0.05</v>
      </c>
      <c r="H9" s="6">
        <f ca="1">IFERROR(__xludf.DUMMYFUNCTION("""COMPUTED_VALUE"""),0.04)</f>
        <v>0.04</v>
      </c>
      <c r="I9" s="2" t="s">
        <v>22</v>
      </c>
    </row>
    <row r="10" spans="1:9" x14ac:dyDescent="0.25">
      <c r="A10" s="4" t="str">
        <f ca="1">IFERROR(__xludf.DUMMYFUNCTION("split(I11, "" "")"),"주간")</f>
        <v>주간</v>
      </c>
      <c r="B10" s="4" t="str">
        <f ca="1">IFERROR(__xludf.DUMMYFUNCTION("""COMPUTED_VALUE"""),"04월")</f>
        <v>04월</v>
      </c>
      <c r="C10" s="4" t="str">
        <f ca="1">IFERROR(__xludf.DUMMYFUNCTION("""COMPUTED_VALUE"""),"1주(03~05)")</f>
        <v>1주(03~05)</v>
      </c>
      <c r="D10" s="5">
        <f ca="1">IFERROR(__xludf.DUMMYFUNCTION("""COMPUTED_VALUE"""),1004)</f>
        <v>1004</v>
      </c>
      <c r="E10" s="6">
        <f ca="1">IFERROR(__xludf.DUMMYFUNCTION("""COMPUTED_VALUE"""),0.74)</f>
        <v>0.74</v>
      </c>
      <c r="F10" s="6">
        <f ca="1">IFERROR(__xludf.DUMMYFUNCTION("""COMPUTED_VALUE"""),0.17)</f>
        <v>0.17</v>
      </c>
      <c r="G10" s="6">
        <f ca="1">IFERROR(__xludf.DUMMYFUNCTION("""COMPUTED_VALUE"""),0.05)</f>
        <v>0.05</v>
      </c>
      <c r="H10" s="6">
        <f ca="1">IFERROR(__xludf.DUMMYFUNCTION("""COMPUTED_VALUE"""),0.04)</f>
        <v>0.04</v>
      </c>
      <c r="I10" s="2" t="s">
        <v>23</v>
      </c>
    </row>
    <row r="11" spans="1:9" x14ac:dyDescent="0.25">
      <c r="A11" s="4" t="str">
        <f ca="1">IFERROR(__xludf.DUMMYFUNCTION("split(I12, "" "")"),"주간")</f>
        <v>주간</v>
      </c>
      <c r="B11" s="4" t="str">
        <f ca="1">IFERROR(__xludf.DUMMYFUNCTION("""COMPUTED_VALUE"""),"04월")</f>
        <v>04월</v>
      </c>
      <c r="C11" s="4" t="str">
        <f ca="1">IFERROR(__xludf.DUMMYFUNCTION("""COMPUTED_VALUE"""),"2주(10~12)")</f>
        <v>2주(10~12)</v>
      </c>
      <c r="D11" s="5">
        <f ca="1">IFERROR(__xludf.DUMMYFUNCTION("""COMPUTED_VALUE"""),1005)</f>
        <v>1005</v>
      </c>
      <c r="E11" s="6">
        <f ca="1">IFERROR(__xludf.DUMMYFUNCTION("""COMPUTED_VALUE"""),0.72)</f>
        <v>0.72</v>
      </c>
      <c r="F11" s="6">
        <f ca="1">IFERROR(__xludf.DUMMYFUNCTION("""COMPUTED_VALUE"""),0.19)</f>
        <v>0.19</v>
      </c>
      <c r="G11" s="6">
        <f ca="1">IFERROR(__xludf.DUMMYFUNCTION("""COMPUTED_VALUE"""),0.05)</f>
        <v>0.05</v>
      </c>
      <c r="H11" s="6">
        <f ca="1">IFERROR(__xludf.DUMMYFUNCTION("""COMPUTED_VALUE"""),0.04)</f>
        <v>0.04</v>
      </c>
      <c r="I11" s="2" t="s">
        <v>25</v>
      </c>
    </row>
    <row r="12" spans="1:9" x14ac:dyDescent="0.25">
      <c r="A12" s="4" t="str">
        <f ca="1">IFERROR(__xludf.DUMMYFUNCTION("split(I13, "" "")"),"주간")</f>
        <v>주간</v>
      </c>
      <c r="B12" s="4" t="str">
        <f ca="1">IFERROR(__xludf.DUMMYFUNCTION("""COMPUTED_VALUE"""),"04월")</f>
        <v>04월</v>
      </c>
      <c r="C12" s="4" t="str">
        <f ca="1">IFERROR(__xludf.DUMMYFUNCTION("""COMPUTED_VALUE"""),"3주(17~19)")</f>
        <v>3주(17~19)</v>
      </c>
      <c r="D12" s="5">
        <f ca="1">IFERROR(__xludf.DUMMYFUNCTION("""COMPUTED_VALUE"""),1003)</f>
        <v>1003</v>
      </c>
      <c r="E12" s="6">
        <f ca="1">IFERROR(__xludf.DUMMYFUNCTION("""COMPUTED_VALUE"""),0.7)</f>
        <v>0.7</v>
      </c>
      <c r="F12" s="6">
        <f ca="1">IFERROR(__xludf.DUMMYFUNCTION("""COMPUTED_VALUE"""),0.21)</f>
        <v>0.21</v>
      </c>
      <c r="G12" s="6">
        <f ca="1">IFERROR(__xludf.DUMMYFUNCTION("""COMPUTED_VALUE"""),0.04)</f>
        <v>0.04</v>
      </c>
      <c r="H12" s="6">
        <f ca="1">IFERROR(__xludf.DUMMYFUNCTION("""COMPUTED_VALUE"""),0.04)</f>
        <v>0.04</v>
      </c>
      <c r="I12" s="2" t="s">
        <v>27</v>
      </c>
    </row>
    <row r="13" spans="1:9" x14ac:dyDescent="0.25">
      <c r="A13" s="4" t="str">
        <f ca="1">IFERROR(__xludf.DUMMYFUNCTION("split(I14, "" "")"),"주간")</f>
        <v>주간</v>
      </c>
      <c r="B13" s="4" t="str">
        <f ca="1">IFERROR(__xludf.DUMMYFUNCTION("""COMPUTED_VALUE"""),"04월")</f>
        <v>04월</v>
      </c>
      <c r="C13" s="4" t="str">
        <f ca="1">IFERROR(__xludf.DUMMYFUNCTION("""COMPUTED_VALUE"""),"4주(24~26)")</f>
        <v>4주(24~26)</v>
      </c>
      <c r="D13" s="5">
        <f ca="1">IFERROR(__xludf.DUMMYFUNCTION("""COMPUTED_VALUE"""),1005)</f>
        <v>1005</v>
      </c>
      <c r="E13" s="6">
        <f ca="1">IFERROR(__xludf.DUMMYFUNCTION("""COMPUTED_VALUE"""),0.73)</f>
        <v>0.73</v>
      </c>
      <c r="F13" s="6">
        <f ca="1">IFERROR(__xludf.DUMMYFUNCTION("""COMPUTED_VALUE"""),0.18)</f>
        <v>0.18</v>
      </c>
      <c r="G13" s="6">
        <f ca="1">IFERROR(__xludf.DUMMYFUNCTION("""COMPUTED_VALUE"""),0.04)</f>
        <v>0.04</v>
      </c>
      <c r="H13" s="6">
        <f ca="1">IFERROR(__xludf.DUMMYFUNCTION("""COMPUTED_VALUE"""),0.05)</f>
        <v>0.05</v>
      </c>
      <c r="I13" s="2" t="s">
        <v>29</v>
      </c>
    </row>
    <row r="14" spans="1:9" x14ac:dyDescent="0.25">
      <c r="A14" s="4" t="str">
        <f ca="1">IFERROR(__xludf.DUMMYFUNCTION("split(I15, "" "")"),"주간")</f>
        <v>주간</v>
      </c>
      <c r="B14" s="4" t="str">
        <f ca="1">IFERROR(__xludf.DUMMYFUNCTION("""COMPUTED_VALUE"""),"05월")</f>
        <v>05월</v>
      </c>
      <c r="C14" s="4" t="str">
        <f ca="1">IFERROR(__xludf.DUMMYFUNCTION("""COMPUTED_VALUE"""),"1주(02~03)")</f>
        <v>1주(02~03)</v>
      </c>
      <c r="D14" s="5">
        <f ca="1">IFERROR(__xludf.DUMMYFUNCTION("""COMPUTED_VALUE"""),1002)</f>
        <v>1002</v>
      </c>
      <c r="E14" s="6">
        <f ca="1">IFERROR(__xludf.DUMMYFUNCTION("""COMPUTED_VALUE"""),0.83)</f>
        <v>0.83</v>
      </c>
      <c r="F14" s="6">
        <f ca="1">IFERROR(__xludf.DUMMYFUNCTION("""COMPUTED_VALUE"""),0.1)</f>
        <v>0.1</v>
      </c>
      <c r="G14" s="6">
        <f ca="1">IFERROR(__xludf.DUMMYFUNCTION("""COMPUTED_VALUE"""),0.05)</f>
        <v>0.05</v>
      </c>
      <c r="H14" s="6">
        <f ca="1">IFERROR(__xludf.DUMMYFUNCTION("""COMPUTED_VALUE"""),0.03)</f>
        <v>0.03</v>
      </c>
      <c r="I14" s="2" t="s">
        <v>30</v>
      </c>
    </row>
    <row r="15" spans="1:9" x14ac:dyDescent="0.25">
      <c r="A15" s="4" t="str">
        <f ca="1">IFERROR(__xludf.DUMMYFUNCTION("split(I16, "" "")"),"주간")</f>
        <v>주간</v>
      </c>
      <c r="B15" s="4" t="str">
        <f ca="1">IFERROR(__xludf.DUMMYFUNCTION("""COMPUTED_VALUE"""),"05월")</f>
        <v>05월</v>
      </c>
      <c r="C15" s="4" t="str">
        <f ca="1">IFERROR(__xludf.DUMMYFUNCTION("""COMPUTED_VALUE"""),"2주(08~10)")</f>
        <v>2주(08~10)</v>
      </c>
      <c r="D15" s="5">
        <f ca="1">IFERROR(__xludf.DUMMYFUNCTION("""COMPUTED_VALUE"""),1002)</f>
        <v>1002</v>
      </c>
      <c r="E15" s="6">
        <f ca="1">IFERROR(__xludf.DUMMYFUNCTION("""COMPUTED_VALUE"""),0.78)</f>
        <v>0.78</v>
      </c>
      <c r="F15" s="6">
        <f ca="1">IFERROR(__xludf.DUMMYFUNCTION("""COMPUTED_VALUE"""),0.13)</f>
        <v>0.13</v>
      </c>
      <c r="G15" s="6">
        <f ca="1">IFERROR(__xludf.DUMMYFUNCTION("""COMPUTED_VALUE"""),0.05)</f>
        <v>0.05</v>
      </c>
      <c r="H15" s="6">
        <f ca="1">IFERROR(__xludf.DUMMYFUNCTION("""COMPUTED_VALUE"""),0.04)</f>
        <v>0.04</v>
      </c>
      <c r="I15" s="2" t="s">
        <v>32</v>
      </c>
    </row>
    <row r="16" spans="1:9" x14ac:dyDescent="0.25">
      <c r="A16" s="4" t="str">
        <f ca="1">IFERROR(__xludf.DUMMYFUNCTION("split(I17, "" "")"),"주간")</f>
        <v>주간</v>
      </c>
      <c r="B16" s="4" t="str">
        <f ca="1">IFERROR(__xludf.DUMMYFUNCTION("""COMPUTED_VALUE"""),"05월")</f>
        <v>05월</v>
      </c>
      <c r="C16" s="4" t="str">
        <f ca="1">IFERROR(__xludf.DUMMYFUNCTION("""COMPUTED_VALUE"""),"3주(16~17)")</f>
        <v>3주(16~17)</v>
      </c>
      <c r="D16" s="5">
        <f ca="1">IFERROR(__xludf.DUMMYFUNCTION("""COMPUTED_VALUE"""),1004)</f>
        <v>1004</v>
      </c>
      <c r="E16" s="6">
        <f ca="1">IFERROR(__xludf.DUMMYFUNCTION("""COMPUTED_VALUE"""),0.76)</f>
        <v>0.76</v>
      </c>
      <c r="F16" s="6">
        <f ca="1">IFERROR(__xludf.DUMMYFUNCTION("""COMPUTED_VALUE"""),0.14)</f>
        <v>0.14000000000000001</v>
      </c>
      <c r="G16" s="6">
        <f ca="1">IFERROR(__xludf.DUMMYFUNCTION("""COMPUTED_VALUE"""),0.06)</f>
        <v>0.06</v>
      </c>
      <c r="H16" s="6">
        <f ca="1">IFERROR(__xludf.DUMMYFUNCTION("""COMPUTED_VALUE"""),0.04)</f>
        <v>0.04</v>
      </c>
      <c r="I16" s="2" t="s">
        <v>34</v>
      </c>
    </row>
    <row r="17" spans="1:9" x14ac:dyDescent="0.25">
      <c r="A17" s="4" t="str">
        <f ca="1">IFERROR(__xludf.DUMMYFUNCTION("split(I18, "" "")"),"주간")</f>
        <v>주간</v>
      </c>
      <c r="B17" s="4" t="str">
        <f ca="1">IFERROR(__xludf.DUMMYFUNCTION("""COMPUTED_VALUE"""),"05월")</f>
        <v>05월</v>
      </c>
      <c r="C17" s="4" t="str">
        <f ca="1">IFERROR(__xludf.DUMMYFUNCTION("""COMPUTED_VALUE"""),"4주(23~24)")</f>
        <v>4주(23~24)</v>
      </c>
      <c r="D17" s="5">
        <f ca="1">IFERROR(__xludf.DUMMYFUNCTION("""COMPUTED_VALUE"""),1003)</f>
        <v>1003</v>
      </c>
      <c r="E17" s="6">
        <f ca="1">IFERROR(__xludf.DUMMYFUNCTION("""COMPUTED_VALUE"""),0.76)</f>
        <v>0.76</v>
      </c>
      <c r="F17" s="6">
        <f ca="1">IFERROR(__xludf.DUMMYFUNCTION("""COMPUTED_VALUE"""),0.14)</f>
        <v>0.14000000000000001</v>
      </c>
      <c r="G17" s="6">
        <f ca="1">IFERROR(__xludf.DUMMYFUNCTION("""COMPUTED_VALUE"""),0.04)</f>
        <v>0.04</v>
      </c>
      <c r="H17" s="6">
        <f ca="1">IFERROR(__xludf.DUMMYFUNCTION("""COMPUTED_VALUE"""),0.06)</f>
        <v>0.06</v>
      </c>
      <c r="I17" s="2" t="s">
        <v>36</v>
      </c>
    </row>
    <row r="18" spans="1:9" x14ac:dyDescent="0.25">
      <c r="A18" s="4" t="str">
        <f ca="1">IFERROR(__xludf.DUMMYFUNCTION("split(I19, "" "")"),"주간")</f>
        <v>주간</v>
      </c>
      <c r="B18" s="4" t="str">
        <f ca="1">IFERROR(__xludf.DUMMYFUNCTION("""COMPUTED_VALUE"""),"05월")</f>
        <v>05월</v>
      </c>
      <c r="C18" s="4" t="str">
        <f ca="1">IFERROR(__xludf.DUMMYFUNCTION("""COMPUTED_VALUE"""),"5주(29~31)")</f>
        <v>5주(29~31)</v>
      </c>
      <c r="D18" s="5">
        <f ca="1">IFERROR(__xludf.DUMMYFUNCTION("""COMPUTED_VALUE"""),1002)</f>
        <v>1002</v>
      </c>
      <c r="E18" s="6">
        <f ca="1">IFERROR(__xludf.DUMMYFUNCTION("""COMPUTED_VALUE"""),0.75)</f>
        <v>0.75</v>
      </c>
      <c r="F18" s="6">
        <f ca="1">IFERROR(__xludf.DUMMYFUNCTION("""COMPUTED_VALUE"""),0.15)</f>
        <v>0.15</v>
      </c>
      <c r="G18" s="6">
        <f ca="1">IFERROR(__xludf.DUMMYFUNCTION("""COMPUTED_VALUE"""),0.05)</f>
        <v>0.05</v>
      </c>
      <c r="H18" s="6">
        <f ca="1">IFERROR(__xludf.DUMMYFUNCTION("""COMPUTED_VALUE"""),0.05)</f>
        <v>0.05</v>
      </c>
      <c r="I18" s="2" t="s">
        <v>38</v>
      </c>
    </row>
    <row r="19" spans="1:9" x14ac:dyDescent="0.25">
      <c r="A19" s="4" t="str">
        <f ca="1">IFERROR(__xludf.DUMMYFUNCTION("split(I20, "" "")"),"주간")</f>
        <v>주간</v>
      </c>
      <c r="B19" s="4" t="str">
        <f ca="1">IFERROR(__xludf.DUMMYFUNCTION("""COMPUTED_VALUE"""),"06월")</f>
        <v>06월</v>
      </c>
      <c r="C19" s="4" t="str">
        <f ca="1">IFERROR(__xludf.DUMMYFUNCTION("""COMPUTED_VALUE"""),"1주(04~08)")</f>
        <v>1주(04~08)</v>
      </c>
      <c r="I19" s="2" t="s">
        <v>39</v>
      </c>
    </row>
    <row r="20" spans="1:9" x14ac:dyDescent="0.25">
      <c r="A20" s="4" t="str">
        <f ca="1">IFERROR(__xludf.DUMMYFUNCTION("split(I21, "" "")"),"주간")</f>
        <v>주간</v>
      </c>
      <c r="B20" s="4" t="str">
        <f ca="1">IFERROR(__xludf.DUMMYFUNCTION("""COMPUTED_VALUE"""),"06월")</f>
        <v>06월</v>
      </c>
      <c r="C20" s="4" t="str">
        <f ca="1">IFERROR(__xludf.DUMMYFUNCTION("""COMPUTED_VALUE"""),"2주(14~14)")</f>
        <v>2주(14~14)</v>
      </c>
      <c r="D20" s="5">
        <f ca="1">IFERROR(__xludf.DUMMYFUNCTION("""COMPUTED_VALUE"""),1007)</f>
        <v>1007</v>
      </c>
      <c r="E20" s="6">
        <f ca="1">IFERROR(__xludf.DUMMYFUNCTION("""COMPUTED_VALUE"""),0.79)</f>
        <v>0.79</v>
      </c>
      <c r="F20" s="6">
        <f ca="1">IFERROR(__xludf.DUMMYFUNCTION("""COMPUTED_VALUE"""),0.12)</f>
        <v>0.12</v>
      </c>
      <c r="G20" s="6">
        <f ca="1">IFERROR(__xludf.DUMMYFUNCTION("""COMPUTED_VALUE"""),0.04)</f>
        <v>0.04</v>
      </c>
      <c r="H20" s="6">
        <f ca="1">IFERROR(__xludf.DUMMYFUNCTION("""COMPUTED_VALUE"""),0.04)</f>
        <v>0.04</v>
      </c>
      <c r="I20" s="2" t="s">
        <v>41</v>
      </c>
    </row>
    <row r="21" spans="1:9" x14ac:dyDescent="0.25">
      <c r="A21" s="4" t="str">
        <f ca="1">IFERROR(__xludf.DUMMYFUNCTION("split(I22, "" "")"),"주간")</f>
        <v>주간</v>
      </c>
      <c r="B21" s="4" t="str">
        <f ca="1">IFERROR(__xludf.DUMMYFUNCTION("""COMPUTED_VALUE"""),"06월")</f>
        <v>06월</v>
      </c>
      <c r="C21" s="4" t="str">
        <f ca="1">IFERROR(__xludf.DUMMYFUNCTION("""COMPUTED_VALUE"""),"3주(18~22)")</f>
        <v>3주(18~22)</v>
      </c>
      <c r="D21" s="5">
        <f ca="1">IFERROR(__xludf.DUMMYFUNCTION("""COMPUTED_VALUE"""),1003)</f>
        <v>1003</v>
      </c>
      <c r="E21" s="6">
        <f ca="1">IFERROR(__xludf.DUMMYFUNCTION("""COMPUTED_VALUE"""),0.75)</f>
        <v>0.75</v>
      </c>
      <c r="F21" s="6">
        <f ca="1">IFERROR(__xludf.DUMMYFUNCTION("""COMPUTED_VALUE"""),0.16)</f>
        <v>0.16</v>
      </c>
      <c r="G21" s="6">
        <f ca="1">IFERROR(__xludf.DUMMYFUNCTION("""COMPUTED_VALUE"""),0.04)</f>
        <v>0.04</v>
      </c>
      <c r="H21" s="6">
        <f ca="1">IFERROR(__xludf.DUMMYFUNCTION("""COMPUTED_VALUE"""),0.05)</f>
        <v>0.05</v>
      </c>
      <c r="I21" s="2" t="s">
        <v>43</v>
      </c>
    </row>
    <row r="22" spans="1:9" x14ac:dyDescent="0.25">
      <c r="A22" s="4" t="str">
        <f ca="1">IFERROR(__xludf.DUMMYFUNCTION("split(I23, "" "")"),"주간")</f>
        <v>주간</v>
      </c>
      <c r="B22" s="4" t="str">
        <f ca="1">IFERROR(__xludf.DUMMYFUNCTION("""COMPUTED_VALUE"""),"06월")</f>
        <v>06월</v>
      </c>
      <c r="C22" s="4" t="str">
        <f ca="1">IFERROR(__xludf.DUMMYFUNCTION("""COMPUTED_VALUE"""),"4주(26~28)")</f>
        <v>4주(26~28)</v>
      </c>
      <c r="D22" s="5">
        <f ca="1">IFERROR(__xludf.DUMMYFUNCTION("""COMPUTED_VALUE"""),1001)</f>
        <v>1001</v>
      </c>
      <c r="E22" s="6">
        <f ca="1">IFERROR(__xludf.DUMMYFUNCTION("""COMPUTED_VALUE"""),0.73)</f>
        <v>0.73</v>
      </c>
      <c r="F22" s="6">
        <f ca="1">IFERROR(__xludf.DUMMYFUNCTION("""COMPUTED_VALUE"""),0.16)</f>
        <v>0.16</v>
      </c>
      <c r="G22" s="6">
        <f ca="1">IFERROR(__xludf.DUMMYFUNCTION("""COMPUTED_VALUE"""),0.06)</f>
        <v>0.06</v>
      </c>
      <c r="H22" s="6">
        <f ca="1">IFERROR(__xludf.DUMMYFUNCTION("""COMPUTED_VALUE"""),0.05)</f>
        <v>0.05</v>
      </c>
      <c r="I22" s="2" t="s">
        <v>44</v>
      </c>
    </row>
    <row r="23" spans="1:9" x14ac:dyDescent="0.25">
      <c r="A23" s="4" t="str">
        <f ca="1">IFERROR(__xludf.DUMMYFUNCTION("split(I24, "" "")"),"주간")</f>
        <v>주간</v>
      </c>
      <c r="B23" s="4" t="str">
        <f ca="1">IFERROR(__xludf.DUMMYFUNCTION("""COMPUTED_VALUE"""),"07월")</f>
        <v>07월</v>
      </c>
      <c r="C23" s="4" t="str">
        <f ca="1">IFERROR(__xludf.DUMMYFUNCTION("""COMPUTED_VALUE"""),"1주(03~05)")</f>
        <v>1주(03~05)</v>
      </c>
      <c r="D23" s="5">
        <f ca="1">IFERROR(__xludf.DUMMYFUNCTION("""COMPUTED_VALUE"""),1002)</f>
        <v>1002</v>
      </c>
      <c r="E23" s="6">
        <f ca="1">IFERROR(__xludf.DUMMYFUNCTION("""COMPUTED_VALUE"""),0.71)</f>
        <v>0.71</v>
      </c>
      <c r="F23" s="6">
        <f ca="1">IFERROR(__xludf.DUMMYFUNCTION("""COMPUTED_VALUE"""),0.18)</f>
        <v>0.18</v>
      </c>
      <c r="G23" s="6">
        <f ca="1">IFERROR(__xludf.DUMMYFUNCTION("""COMPUTED_VALUE"""),0.06)</f>
        <v>0.06</v>
      </c>
      <c r="H23" s="6">
        <f ca="1">IFERROR(__xludf.DUMMYFUNCTION("""COMPUTED_VALUE"""),0.05)</f>
        <v>0.05</v>
      </c>
      <c r="I23" s="2" t="s">
        <v>47</v>
      </c>
    </row>
    <row r="24" spans="1:9" x14ac:dyDescent="0.25">
      <c r="A24" s="4" t="str">
        <f ca="1">IFERROR(__xludf.DUMMYFUNCTION("split(I25, "" "")"),"주간")</f>
        <v>주간</v>
      </c>
      <c r="B24" s="4" t="str">
        <f ca="1">IFERROR(__xludf.DUMMYFUNCTION("""COMPUTED_VALUE"""),"07월")</f>
        <v>07월</v>
      </c>
      <c r="C24" s="4" t="str">
        <f ca="1">IFERROR(__xludf.DUMMYFUNCTION("""COMPUTED_VALUE"""),"2주(10~12)")</f>
        <v>2주(10~12)</v>
      </c>
      <c r="D24" s="5">
        <f ca="1">IFERROR(__xludf.DUMMYFUNCTION("""COMPUTED_VALUE"""),1002)</f>
        <v>1002</v>
      </c>
      <c r="E24" s="6">
        <f ca="1">IFERROR(__xludf.DUMMYFUNCTION("""COMPUTED_VALUE"""),0.69)</f>
        <v>0.69</v>
      </c>
      <c r="F24" s="6">
        <f ca="1">IFERROR(__xludf.DUMMYFUNCTION("""COMPUTED_VALUE"""),0.21)</f>
        <v>0.21</v>
      </c>
      <c r="G24" s="6">
        <f ca="1">IFERROR(__xludf.DUMMYFUNCTION("""COMPUTED_VALUE"""),0.04)</f>
        <v>0.04</v>
      </c>
      <c r="H24" s="6">
        <f ca="1">IFERROR(__xludf.DUMMYFUNCTION("""COMPUTED_VALUE"""),0.05)</f>
        <v>0.05</v>
      </c>
      <c r="I24" s="2" t="s">
        <v>49</v>
      </c>
    </row>
    <row r="25" spans="1:9" x14ac:dyDescent="0.25">
      <c r="A25" s="4" t="str">
        <f ca="1">IFERROR(__xludf.DUMMYFUNCTION("split(I26, "" "")"),"주간")</f>
        <v>주간</v>
      </c>
      <c r="B25" s="4" t="str">
        <f ca="1">IFERROR(__xludf.DUMMYFUNCTION("""COMPUTED_VALUE"""),"07월")</f>
        <v>07월</v>
      </c>
      <c r="C25" s="4" t="str">
        <f ca="1">IFERROR(__xludf.DUMMYFUNCTION("""COMPUTED_VALUE"""),"3주(17~19)")</f>
        <v>3주(17~19)</v>
      </c>
      <c r="D25" s="5">
        <f ca="1">IFERROR(__xludf.DUMMYFUNCTION("""COMPUTED_VALUE"""),1002)</f>
        <v>1002</v>
      </c>
      <c r="E25" s="6">
        <f ca="1">IFERROR(__xludf.DUMMYFUNCTION("""COMPUTED_VALUE"""),0.67)</f>
        <v>0.67</v>
      </c>
      <c r="F25" s="6">
        <f ca="1">IFERROR(__xludf.DUMMYFUNCTION("""COMPUTED_VALUE"""),0.25)</f>
        <v>0.25</v>
      </c>
      <c r="G25" s="6">
        <f ca="1">IFERROR(__xludf.DUMMYFUNCTION("""COMPUTED_VALUE"""),0.04)</f>
        <v>0.04</v>
      </c>
      <c r="H25" s="6">
        <f ca="1">IFERROR(__xludf.DUMMYFUNCTION("""COMPUTED_VALUE"""),0.05)</f>
        <v>0.05</v>
      </c>
      <c r="I25" s="2" t="s">
        <v>51</v>
      </c>
    </row>
    <row r="26" spans="1:9" x14ac:dyDescent="0.25">
      <c r="A26" s="4" t="str">
        <f ca="1">IFERROR(__xludf.DUMMYFUNCTION("split(I27, "" "")"),"주간")</f>
        <v>주간</v>
      </c>
      <c r="B26" s="4" t="str">
        <f ca="1">IFERROR(__xludf.DUMMYFUNCTION("""COMPUTED_VALUE"""),"07월")</f>
        <v>07월</v>
      </c>
      <c r="C26" s="4" t="str">
        <f ca="1">IFERROR(__xludf.DUMMYFUNCTION("""COMPUTED_VALUE"""),"4주(24~26)")</f>
        <v>4주(24~26)</v>
      </c>
      <c r="D26" s="5">
        <f ca="1">IFERROR(__xludf.DUMMYFUNCTION("""COMPUTED_VALUE"""),1002)</f>
        <v>1002</v>
      </c>
      <c r="E26" s="6">
        <f ca="1">IFERROR(__xludf.DUMMYFUNCTION("""COMPUTED_VALUE"""),0.62)</f>
        <v>0.62</v>
      </c>
      <c r="F26" s="6">
        <f ca="1">IFERROR(__xludf.DUMMYFUNCTION("""COMPUTED_VALUE"""),0.28)</f>
        <v>0.28000000000000003</v>
      </c>
      <c r="G26" s="6">
        <f ca="1">IFERROR(__xludf.DUMMYFUNCTION("""COMPUTED_VALUE"""),0.04)</f>
        <v>0.04</v>
      </c>
      <c r="H26" s="6">
        <f ca="1">IFERROR(__xludf.DUMMYFUNCTION("""COMPUTED_VALUE"""),0.05)</f>
        <v>0.05</v>
      </c>
      <c r="I26" s="2" t="s">
        <v>53</v>
      </c>
    </row>
    <row r="27" spans="1:9" x14ac:dyDescent="0.25">
      <c r="A27" s="4" t="str">
        <f ca="1">IFERROR(__xludf.DUMMYFUNCTION("split(I28, "" "")"),"주간")</f>
        <v>주간</v>
      </c>
      <c r="B27" s="4" t="str">
        <f ca="1">IFERROR(__xludf.DUMMYFUNCTION("""COMPUTED_VALUE"""),"08월")</f>
        <v>08월</v>
      </c>
      <c r="C27" s="4" t="str">
        <f ca="1">IFERROR(__xludf.DUMMYFUNCTION("""COMPUTED_VALUE"""),"1주(31~02)")</f>
        <v>1주(31~02)</v>
      </c>
      <c r="D27" s="5">
        <f ca="1">IFERROR(__xludf.DUMMYFUNCTION("""COMPUTED_VALUE"""),1003)</f>
        <v>1003</v>
      </c>
      <c r="E27" s="6">
        <f ca="1">IFERROR(__xludf.DUMMYFUNCTION("""COMPUTED_VALUE"""),0.6)</f>
        <v>0.6</v>
      </c>
      <c r="F27" s="6">
        <f ca="1">IFERROR(__xludf.DUMMYFUNCTION("""COMPUTED_VALUE"""),0.29)</f>
        <v>0.28999999999999998</v>
      </c>
      <c r="G27" s="6">
        <f ca="1">IFERROR(__xludf.DUMMYFUNCTION("""COMPUTED_VALUE"""),0.04)</f>
        <v>0.04</v>
      </c>
      <c r="H27" s="6">
        <f ca="1">IFERROR(__xludf.DUMMYFUNCTION("""COMPUTED_VALUE"""),0.07)</f>
        <v>7.0000000000000007E-2</v>
      </c>
      <c r="I27" s="2" t="s">
        <v>55</v>
      </c>
    </row>
    <row r="28" spans="1:9" x14ac:dyDescent="0.25">
      <c r="A28" s="4" t="str">
        <f ca="1">IFERROR(__xludf.DUMMYFUNCTION("split(I29, "" "")"),"주간")</f>
        <v>주간</v>
      </c>
      <c r="B28" s="4" t="str">
        <f ca="1">IFERROR(__xludf.DUMMYFUNCTION("""COMPUTED_VALUE"""),"08월")</f>
        <v>08월</v>
      </c>
      <c r="C28" s="4" t="str">
        <f ca="1">IFERROR(__xludf.DUMMYFUNCTION("""COMPUTED_VALUE"""),"2주(07~09)")</f>
        <v>2주(07~09)</v>
      </c>
      <c r="D28" s="5">
        <f ca="1">IFERROR(__xludf.DUMMYFUNCTION("""COMPUTED_VALUE"""),1003)</f>
        <v>1003</v>
      </c>
      <c r="E28" s="6">
        <f ca="1">IFERROR(__xludf.DUMMYFUNCTION("""COMPUTED_VALUE"""),0.58)</f>
        <v>0.57999999999999996</v>
      </c>
      <c r="F28" s="6">
        <f ca="1">IFERROR(__xludf.DUMMYFUNCTION("""COMPUTED_VALUE"""),0.31)</f>
        <v>0.31</v>
      </c>
      <c r="G28" s="6">
        <f ca="1">IFERROR(__xludf.DUMMYFUNCTION("""COMPUTED_VALUE"""),0.04)</f>
        <v>0.04</v>
      </c>
      <c r="H28" s="6">
        <f ca="1">IFERROR(__xludf.DUMMYFUNCTION("""COMPUTED_VALUE"""),0.07)</f>
        <v>7.0000000000000007E-2</v>
      </c>
      <c r="I28" s="2" t="s">
        <v>56</v>
      </c>
    </row>
    <row r="29" spans="1:9" x14ac:dyDescent="0.25">
      <c r="A29" s="4" t="str">
        <f ca="1">IFERROR(__xludf.DUMMYFUNCTION("split(I30, "" "")"),"주간")</f>
        <v>주간</v>
      </c>
      <c r="B29" s="4" t="str">
        <f ca="1">IFERROR(__xludf.DUMMYFUNCTION("""COMPUTED_VALUE"""),"08월")</f>
        <v>08월</v>
      </c>
      <c r="C29" s="4" t="str">
        <f ca="1">IFERROR(__xludf.DUMMYFUNCTION("""COMPUTED_VALUE"""),"3주(14~16)")</f>
        <v>3주(14~16)</v>
      </c>
      <c r="D29" s="5">
        <f ca="1">IFERROR(__xludf.DUMMYFUNCTION("""COMPUTED_VALUE"""),1002)</f>
        <v>1002</v>
      </c>
      <c r="E29" s="6">
        <f ca="1">IFERROR(__xludf.DUMMYFUNCTION("""COMPUTED_VALUE"""),0.6)</f>
        <v>0.6</v>
      </c>
      <c r="F29" s="6">
        <f ca="1">IFERROR(__xludf.DUMMYFUNCTION("""COMPUTED_VALUE"""),0.32)</f>
        <v>0.32</v>
      </c>
      <c r="G29" s="6">
        <f ca="1">IFERROR(__xludf.DUMMYFUNCTION("""COMPUTED_VALUE"""),0.05)</f>
        <v>0.05</v>
      </c>
      <c r="H29" s="6">
        <f ca="1">IFERROR(__xludf.DUMMYFUNCTION("""COMPUTED_VALUE"""),0.04)</f>
        <v>0.04</v>
      </c>
      <c r="I29" s="2" t="s">
        <v>58</v>
      </c>
    </row>
    <row r="30" spans="1:9" x14ac:dyDescent="0.25">
      <c r="A30" s="4" t="str">
        <f ca="1">IFERROR(__xludf.DUMMYFUNCTION("split(I31, "" "")"),"주간")</f>
        <v>주간</v>
      </c>
      <c r="B30" s="4" t="str">
        <f ca="1">IFERROR(__xludf.DUMMYFUNCTION("""COMPUTED_VALUE"""),"08월")</f>
        <v>08월</v>
      </c>
      <c r="C30" s="4" t="str">
        <f ca="1">IFERROR(__xludf.DUMMYFUNCTION("""COMPUTED_VALUE"""),"4주(21~23)")</f>
        <v>4주(21~23)</v>
      </c>
      <c r="D30" s="5">
        <f ca="1">IFERROR(__xludf.DUMMYFUNCTION("""COMPUTED_VALUE"""),1001)</f>
        <v>1001</v>
      </c>
      <c r="E30" s="6">
        <f ca="1">IFERROR(__xludf.DUMMYFUNCTION("""COMPUTED_VALUE"""),0.56)</f>
        <v>0.56000000000000005</v>
      </c>
      <c r="F30" s="6">
        <f ca="1">IFERROR(__xludf.DUMMYFUNCTION("""COMPUTED_VALUE"""),0.33)</f>
        <v>0.33</v>
      </c>
      <c r="G30" s="6">
        <f ca="1">IFERROR(__xludf.DUMMYFUNCTION("""COMPUTED_VALUE"""),0.05)</f>
        <v>0.05</v>
      </c>
      <c r="H30" s="6">
        <f ca="1">IFERROR(__xludf.DUMMYFUNCTION("""COMPUTED_VALUE"""),0.06)</f>
        <v>0.06</v>
      </c>
      <c r="I30" s="2" t="s">
        <v>60</v>
      </c>
    </row>
    <row r="31" spans="1:9" x14ac:dyDescent="0.25">
      <c r="A31" s="4" t="str">
        <f ca="1">IFERROR(__xludf.DUMMYFUNCTION("split(I32, "" "")"),"주간")</f>
        <v>주간</v>
      </c>
      <c r="B31" s="4" t="str">
        <f ca="1">IFERROR(__xludf.DUMMYFUNCTION("""COMPUTED_VALUE"""),"08월")</f>
        <v>08월</v>
      </c>
      <c r="C31" s="4" t="str">
        <f ca="1">IFERROR(__xludf.DUMMYFUNCTION("""COMPUTED_VALUE"""),"5주(28~30)")</f>
        <v>5주(28~30)</v>
      </c>
      <c r="D31" s="5">
        <f ca="1">IFERROR(__xludf.DUMMYFUNCTION("""COMPUTED_VALUE"""),1000)</f>
        <v>1000</v>
      </c>
      <c r="E31" s="6">
        <f ca="1">IFERROR(__xludf.DUMMYFUNCTION("""COMPUTED_VALUE"""),0.53)</f>
        <v>0.53</v>
      </c>
      <c r="F31" s="6">
        <f ca="1">IFERROR(__xludf.DUMMYFUNCTION("""COMPUTED_VALUE"""),0.38)</f>
        <v>0.38</v>
      </c>
      <c r="G31" s="6">
        <f ca="1">IFERROR(__xludf.DUMMYFUNCTION("""COMPUTED_VALUE"""),0.04)</f>
        <v>0.04</v>
      </c>
      <c r="H31" s="6">
        <f ca="1">IFERROR(__xludf.DUMMYFUNCTION("""COMPUTED_VALUE"""),0.04)</f>
        <v>0.04</v>
      </c>
      <c r="I31" s="2" t="s">
        <v>62</v>
      </c>
    </row>
    <row r="32" spans="1:9" x14ac:dyDescent="0.25">
      <c r="A32" s="4" t="str">
        <f ca="1">IFERROR(__xludf.DUMMYFUNCTION("split(I33, "" "")"),"주간")</f>
        <v>주간</v>
      </c>
      <c r="B32" s="4" t="str">
        <f ca="1">IFERROR(__xludf.DUMMYFUNCTION("""COMPUTED_VALUE"""),"09월")</f>
        <v>09월</v>
      </c>
      <c r="C32" s="4" t="str">
        <f ca="1">IFERROR(__xludf.DUMMYFUNCTION("""COMPUTED_VALUE"""),"1주(04~06)")</f>
        <v>1주(04~06)</v>
      </c>
      <c r="D32" s="5">
        <f ca="1">IFERROR(__xludf.DUMMYFUNCTION("""COMPUTED_VALUE"""),1000)</f>
        <v>1000</v>
      </c>
      <c r="E32" s="6">
        <f ca="1">IFERROR(__xludf.DUMMYFUNCTION("""COMPUTED_VALUE"""),0.49)</f>
        <v>0.49</v>
      </c>
      <c r="F32" s="6">
        <f ca="1">IFERROR(__xludf.DUMMYFUNCTION("""COMPUTED_VALUE"""),0.42)</f>
        <v>0.42</v>
      </c>
      <c r="G32" s="6">
        <f ca="1">IFERROR(__xludf.DUMMYFUNCTION("""COMPUTED_VALUE"""),0.05)</f>
        <v>0.05</v>
      </c>
      <c r="H32" s="6">
        <f ca="1">IFERROR(__xludf.DUMMYFUNCTION("""COMPUTED_VALUE"""),0.04)</f>
        <v>0.04</v>
      </c>
      <c r="I32" s="2" t="s">
        <v>64</v>
      </c>
    </row>
    <row r="33" spans="1:9" x14ac:dyDescent="0.25">
      <c r="A33" s="4" t="str">
        <f ca="1">IFERROR(__xludf.DUMMYFUNCTION("split(I34, "" "")"),"주간")</f>
        <v>주간</v>
      </c>
      <c r="B33" s="4" t="str">
        <f ca="1">IFERROR(__xludf.DUMMYFUNCTION("""COMPUTED_VALUE"""),"09월")</f>
        <v>09월</v>
      </c>
      <c r="C33" s="4" t="str">
        <f ca="1">IFERROR(__xludf.DUMMYFUNCTION("""COMPUTED_VALUE"""),"2주(11~13)")</f>
        <v>2주(11~13)</v>
      </c>
      <c r="D33" s="5">
        <f ca="1">IFERROR(__xludf.DUMMYFUNCTION("""COMPUTED_VALUE"""),1001)</f>
        <v>1001</v>
      </c>
      <c r="E33" s="6">
        <f ca="1">IFERROR(__xludf.DUMMYFUNCTION("""COMPUTED_VALUE"""),0.5)</f>
        <v>0.5</v>
      </c>
      <c r="F33" s="6">
        <f ca="1">IFERROR(__xludf.DUMMYFUNCTION("""COMPUTED_VALUE"""),0.39)</f>
        <v>0.39</v>
      </c>
      <c r="G33" s="6">
        <f ca="1">IFERROR(__xludf.DUMMYFUNCTION("""COMPUTED_VALUE"""),0.04)</f>
        <v>0.04</v>
      </c>
      <c r="H33" s="6">
        <f ca="1">IFERROR(__xludf.DUMMYFUNCTION("""COMPUTED_VALUE"""),0.06)</f>
        <v>0.06</v>
      </c>
      <c r="I33" s="2" t="s">
        <v>66</v>
      </c>
    </row>
    <row r="34" spans="1:9" x14ac:dyDescent="0.25">
      <c r="A34" s="4" t="str">
        <f ca="1">IFERROR(__xludf.DUMMYFUNCTION("split(I35, "" "")"),"주간")</f>
        <v>주간</v>
      </c>
      <c r="B34" s="4" t="str">
        <f ca="1">IFERROR(__xludf.DUMMYFUNCTION("""COMPUTED_VALUE"""),"09월")</f>
        <v>09월</v>
      </c>
      <c r="C34" s="4" t="str">
        <f ca="1">IFERROR(__xludf.DUMMYFUNCTION("""COMPUTED_VALUE"""),"3주(18~20)")</f>
        <v>3주(18~20)</v>
      </c>
      <c r="D34" s="5">
        <f ca="1">IFERROR(__xludf.DUMMYFUNCTION("""COMPUTED_VALUE"""),1001)</f>
        <v>1001</v>
      </c>
      <c r="E34" s="6">
        <f ca="1">IFERROR(__xludf.DUMMYFUNCTION("""COMPUTED_VALUE"""),0.61)</f>
        <v>0.61</v>
      </c>
      <c r="F34" s="6">
        <f ca="1">IFERROR(__xludf.DUMMYFUNCTION("""COMPUTED_VALUE"""),0.3)</f>
        <v>0.3</v>
      </c>
      <c r="G34" s="6">
        <f ca="1">IFERROR(__xludf.DUMMYFUNCTION("""COMPUTED_VALUE"""),0.05)</f>
        <v>0.05</v>
      </c>
      <c r="H34" s="6">
        <f ca="1">IFERROR(__xludf.DUMMYFUNCTION("""COMPUTED_VALUE"""),0.05)</f>
        <v>0.05</v>
      </c>
      <c r="I34" s="2" t="s">
        <v>68</v>
      </c>
    </row>
    <row r="35" spans="1:9" x14ac:dyDescent="0.25">
      <c r="A35" s="4" t="str">
        <f ca="1">IFERROR(__xludf.DUMMYFUNCTION("split(I36, "" "")"),"주간")</f>
        <v>주간</v>
      </c>
      <c r="B35" s="4" t="str">
        <f ca="1">IFERROR(__xludf.DUMMYFUNCTION("""COMPUTED_VALUE"""),"09월")</f>
        <v>09월</v>
      </c>
      <c r="C35" s="4" t="str">
        <f ca="1">IFERROR(__xludf.DUMMYFUNCTION("""COMPUTED_VALUE"""),"4주(24~28)")</f>
        <v>4주(24~28)</v>
      </c>
      <c r="I35" s="2" t="s">
        <v>69</v>
      </c>
    </row>
    <row r="36" spans="1:9" x14ac:dyDescent="0.25">
      <c r="A36" s="4" t="str">
        <f ca="1">IFERROR(__xludf.DUMMYFUNCTION("split(I37, "" "")"),"주간")</f>
        <v>주간</v>
      </c>
      <c r="B36" s="4" t="str">
        <f ca="1">IFERROR(__xludf.DUMMYFUNCTION("""COMPUTED_VALUE"""),"10월")</f>
        <v>10월</v>
      </c>
      <c r="C36" s="4" t="str">
        <f ca="1">IFERROR(__xludf.DUMMYFUNCTION("""COMPUTED_VALUE"""),"1주(02~04)")</f>
        <v>1주(02~04)</v>
      </c>
      <c r="D36" s="5">
        <f ca="1">IFERROR(__xludf.DUMMYFUNCTION("""COMPUTED_VALUE"""),1004)</f>
        <v>1004</v>
      </c>
      <c r="E36" s="6">
        <f ca="1">IFERROR(__xludf.DUMMYFUNCTION("""COMPUTED_VALUE"""),0.64)</f>
        <v>0.64</v>
      </c>
      <c r="F36" s="6">
        <f ca="1">IFERROR(__xludf.DUMMYFUNCTION("""COMPUTED_VALUE"""),0.26)</f>
        <v>0.26</v>
      </c>
      <c r="G36" s="6">
        <f ca="1">IFERROR(__xludf.DUMMYFUNCTION("""COMPUTED_VALUE"""),0.04)</f>
        <v>0.04</v>
      </c>
      <c r="H36" s="6">
        <f ca="1">IFERROR(__xludf.DUMMYFUNCTION("""COMPUTED_VALUE"""),0.06)</f>
        <v>0.06</v>
      </c>
      <c r="I36" s="2" t="s">
        <v>71</v>
      </c>
    </row>
    <row r="37" spans="1:9" x14ac:dyDescent="0.25">
      <c r="A37" s="4" t="str">
        <f ca="1">IFERROR(__xludf.DUMMYFUNCTION("split(I38, "" "")"),"주간")</f>
        <v>주간</v>
      </c>
      <c r="B37" s="4" t="str">
        <f ca="1">IFERROR(__xludf.DUMMYFUNCTION("""COMPUTED_VALUE"""),"10월")</f>
        <v>10월</v>
      </c>
      <c r="C37" s="4" t="str">
        <f ca="1">IFERROR(__xludf.DUMMYFUNCTION("""COMPUTED_VALUE"""),"2주(10~11)")</f>
        <v>2주(10~11)</v>
      </c>
      <c r="D37" s="5">
        <f ca="1">IFERROR(__xludf.DUMMYFUNCTION("""COMPUTED_VALUE"""),1001)</f>
        <v>1001</v>
      </c>
      <c r="E37" s="6">
        <f ca="1">IFERROR(__xludf.DUMMYFUNCTION("""COMPUTED_VALUE"""),0.65)</f>
        <v>0.65</v>
      </c>
      <c r="F37" s="6">
        <f ca="1">IFERROR(__xludf.DUMMYFUNCTION("""COMPUTED_VALUE"""),0.25)</f>
        <v>0.25</v>
      </c>
      <c r="G37" s="6">
        <f ca="1">IFERROR(__xludf.DUMMYFUNCTION("""COMPUTED_VALUE"""),0.05)</f>
        <v>0.05</v>
      </c>
      <c r="H37" s="6">
        <f ca="1">IFERROR(__xludf.DUMMYFUNCTION("""COMPUTED_VALUE"""),0.04)</f>
        <v>0.04</v>
      </c>
      <c r="I37" s="2" t="s">
        <v>73</v>
      </c>
    </row>
    <row r="38" spans="1:9" x14ac:dyDescent="0.25">
      <c r="A38" s="4" t="str">
        <f ca="1">IFERROR(__xludf.DUMMYFUNCTION("split(I39, "" "")"),"주간")</f>
        <v>주간</v>
      </c>
      <c r="B38" s="4" t="str">
        <f ca="1">IFERROR(__xludf.DUMMYFUNCTION("""COMPUTED_VALUE"""),"10월")</f>
        <v>10월</v>
      </c>
      <c r="C38" s="4" t="str">
        <f ca="1">IFERROR(__xludf.DUMMYFUNCTION("""COMPUTED_VALUE"""),"3주(16~18)")</f>
        <v>3주(16~18)</v>
      </c>
      <c r="D38" s="5">
        <f ca="1">IFERROR(__xludf.DUMMYFUNCTION("""COMPUTED_VALUE"""),1002)</f>
        <v>1002</v>
      </c>
      <c r="E38" s="6">
        <f ca="1">IFERROR(__xludf.DUMMYFUNCTION("""COMPUTED_VALUE"""),0.62)</f>
        <v>0.62</v>
      </c>
      <c r="F38" s="6">
        <f ca="1">IFERROR(__xludf.DUMMYFUNCTION("""COMPUTED_VALUE"""),0.27)</f>
        <v>0.27</v>
      </c>
      <c r="G38" s="6">
        <f ca="1">IFERROR(__xludf.DUMMYFUNCTION("""COMPUTED_VALUE"""),0.05)</f>
        <v>0.05</v>
      </c>
      <c r="H38" s="6">
        <f ca="1">IFERROR(__xludf.DUMMYFUNCTION("""COMPUTED_VALUE"""),0.05)</f>
        <v>0.05</v>
      </c>
      <c r="I38" s="2" t="s">
        <v>74</v>
      </c>
    </row>
    <row r="39" spans="1:9" x14ac:dyDescent="0.25">
      <c r="A39" s="4" t="str">
        <f ca="1">IFERROR(__xludf.DUMMYFUNCTION("split(I40, "" "")"),"주간")</f>
        <v>주간</v>
      </c>
      <c r="B39" s="4" t="str">
        <f ca="1">IFERROR(__xludf.DUMMYFUNCTION("""COMPUTED_VALUE"""),"10월")</f>
        <v>10월</v>
      </c>
      <c r="C39" s="4" t="str">
        <f ca="1">IFERROR(__xludf.DUMMYFUNCTION("""COMPUTED_VALUE"""),"4주(23~25)")</f>
        <v>4주(23~25)</v>
      </c>
      <c r="D39" s="5">
        <f ca="1">IFERROR(__xludf.DUMMYFUNCTION("""COMPUTED_VALUE"""),1001)</f>
        <v>1001</v>
      </c>
      <c r="E39" s="6">
        <f ca="1">IFERROR(__xludf.DUMMYFUNCTION("""COMPUTED_VALUE"""),0.58)</f>
        <v>0.57999999999999996</v>
      </c>
      <c r="F39" s="6">
        <f ca="1">IFERROR(__xludf.DUMMYFUNCTION("""COMPUTED_VALUE"""),0.32)</f>
        <v>0.32</v>
      </c>
      <c r="G39" s="6">
        <f ca="1">IFERROR(__xludf.DUMMYFUNCTION("""COMPUTED_VALUE"""),0.05)</f>
        <v>0.05</v>
      </c>
      <c r="H39" s="6">
        <f ca="1">IFERROR(__xludf.DUMMYFUNCTION("""COMPUTED_VALUE"""),0.05)</f>
        <v>0.05</v>
      </c>
      <c r="I39" s="2" t="s">
        <v>76</v>
      </c>
    </row>
    <row r="40" spans="1:9" x14ac:dyDescent="0.25">
      <c r="A40" s="4" t="str">
        <f ca="1">IFERROR(__xludf.DUMMYFUNCTION("split(I41, "" "")"),"주간")</f>
        <v>주간</v>
      </c>
      <c r="B40" s="4" t="str">
        <f ca="1">IFERROR(__xludf.DUMMYFUNCTION("""COMPUTED_VALUE"""),"11월")</f>
        <v>11월</v>
      </c>
      <c r="C40" s="4" t="str">
        <f ca="1">IFERROR(__xludf.DUMMYFUNCTION("""COMPUTED_VALUE"""),"1주(30~01)")</f>
        <v>1주(30~01)</v>
      </c>
      <c r="D40" s="5">
        <f ca="1">IFERROR(__xludf.DUMMYFUNCTION("""COMPUTED_VALUE"""),1004)</f>
        <v>1004</v>
      </c>
      <c r="E40" s="6">
        <f ca="1">IFERROR(__xludf.DUMMYFUNCTION("""COMPUTED_VALUE"""),0.55)</f>
        <v>0.55000000000000004</v>
      </c>
      <c r="F40" s="6">
        <f ca="1">IFERROR(__xludf.DUMMYFUNCTION("""COMPUTED_VALUE"""),0.35)</f>
        <v>0.35</v>
      </c>
      <c r="G40" s="6">
        <f ca="1">IFERROR(__xludf.DUMMYFUNCTION("""COMPUTED_VALUE"""),0.05)</f>
        <v>0.05</v>
      </c>
      <c r="H40" s="6">
        <f ca="1">IFERROR(__xludf.DUMMYFUNCTION("""COMPUTED_VALUE"""),0.05)</f>
        <v>0.05</v>
      </c>
      <c r="I40" s="2" t="s">
        <v>78</v>
      </c>
    </row>
    <row r="41" spans="1:9" x14ac:dyDescent="0.25">
      <c r="A41" s="4" t="str">
        <f ca="1">IFERROR(__xludf.DUMMYFUNCTION("split(I42, "" "")"),"주간")</f>
        <v>주간</v>
      </c>
      <c r="B41" s="4" t="str">
        <f ca="1">IFERROR(__xludf.DUMMYFUNCTION("""COMPUTED_VALUE"""),"11월")</f>
        <v>11월</v>
      </c>
      <c r="C41" s="4" t="str">
        <f ca="1">IFERROR(__xludf.DUMMYFUNCTION("""COMPUTED_VALUE"""),"2주(06~08)")</f>
        <v>2주(06~08)</v>
      </c>
      <c r="D41" s="5">
        <f ca="1">IFERROR(__xludf.DUMMYFUNCTION("""COMPUTED_VALUE"""),1002)</f>
        <v>1002</v>
      </c>
      <c r="E41" s="6">
        <f ca="1">IFERROR(__xludf.DUMMYFUNCTION("""COMPUTED_VALUE"""),0.54)</f>
        <v>0.54</v>
      </c>
      <c r="F41" s="6">
        <f ca="1">IFERROR(__xludf.DUMMYFUNCTION("""COMPUTED_VALUE"""),0.36)</f>
        <v>0.36</v>
      </c>
      <c r="G41" s="6">
        <f ca="1">IFERROR(__xludf.DUMMYFUNCTION("""COMPUTED_VALUE"""),0.05)</f>
        <v>0.05</v>
      </c>
      <c r="H41" s="6">
        <f ca="1">IFERROR(__xludf.DUMMYFUNCTION("""COMPUTED_VALUE"""),0.05)</f>
        <v>0.05</v>
      </c>
      <c r="I41" s="2" t="s">
        <v>80</v>
      </c>
    </row>
    <row r="42" spans="1:9" x14ac:dyDescent="0.25">
      <c r="A42" s="4" t="str">
        <f ca="1">IFERROR(__xludf.DUMMYFUNCTION("split(I43, "" "")"),"주간")</f>
        <v>주간</v>
      </c>
      <c r="B42" s="4" t="str">
        <f ca="1">IFERROR(__xludf.DUMMYFUNCTION("""COMPUTED_VALUE"""),"11월")</f>
        <v>11월</v>
      </c>
      <c r="C42" s="4" t="str">
        <f ca="1">IFERROR(__xludf.DUMMYFUNCTION("""COMPUTED_VALUE"""),"3주(13~15)")</f>
        <v>3주(13~15)</v>
      </c>
      <c r="D42" s="5">
        <f ca="1">IFERROR(__xludf.DUMMYFUNCTION("""COMPUTED_VALUE"""),1001)</f>
        <v>1001</v>
      </c>
      <c r="E42" s="6">
        <f ca="1">IFERROR(__xludf.DUMMYFUNCTION("""COMPUTED_VALUE"""),0.52)</f>
        <v>0.52</v>
      </c>
      <c r="F42" s="6">
        <f ca="1">IFERROR(__xludf.DUMMYFUNCTION("""COMPUTED_VALUE"""),0.4)</f>
        <v>0.4</v>
      </c>
      <c r="G42" s="6">
        <f ca="1">IFERROR(__xludf.DUMMYFUNCTION("""COMPUTED_VALUE"""),0.05)</f>
        <v>0.05</v>
      </c>
      <c r="H42" s="6">
        <f ca="1">IFERROR(__xludf.DUMMYFUNCTION("""COMPUTED_VALUE"""),0.04)</f>
        <v>0.04</v>
      </c>
      <c r="I42" s="2" t="s">
        <v>82</v>
      </c>
    </row>
    <row r="43" spans="1:9" x14ac:dyDescent="0.25">
      <c r="A43" s="4" t="str">
        <f ca="1">IFERROR(__xludf.DUMMYFUNCTION("split(I44, "" "")"),"주간")</f>
        <v>주간</v>
      </c>
      <c r="B43" s="4" t="str">
        <f ca="1">IFERROR(__xludf.DUMMYFUNCTION("""COMPUTED_VALUE"""),"11월")</f>
        <v>11월</v>
      </c>
      <c r="C43" s="4" t="str">
        <f ca="1">IFERROR(__xludf.DUMMYFUNCTION("""COMPUTED_VALUE"""),"4주(20~22)")</f>
        <v>4주(20~22)</v>
      </c>
      <c r="D43" s="5">
        <f ca="1">IFERROR(__xludf.DUMMYFUNCTION("""COMPUTED_VALUE"""),1001)</f>
        <v>1001</v>
      </c>
      <c r="E43" s="6">
        <f ca="1">IFERROR(__xludf.DUMMYFUNCTION("""COMPUTED_VALUE"""),0.53)</f>
        <v>0.53</v>
      </c>
      <c r="F43" s="6">
        <f ca="1">IFERROR(__xludf.DUMMYFUNCTION("""COMPUTED_VALUE"""),0.38)</f>
        <v>0.38</v>
      </c>
      <c r="G43" s="6">
        <f ca="1">IFERROR(__xludf.DUMMYFUNCTION("""COMPUTED_VALUE"""),0.06)</f>
        <v>0.06</v>
      </c>
      <c r="H43" s="6">
        <f ca="1">IFERROR(__xludf.DUMMYFUNCTION("""COMPUTED_VALUE"""),0.03)</f>
        <v>0.03</v>
      </c>
      <c r="I43" s="2" t="s">
        <v>84</v>
      </c>
    </row>
    <row r="44" spans="1:9" x14ac:dyDescent="0.25">
      <c r="A44" s="4" t="str">
        <f ca="1">IFERROR(__xludf.DUMMYFUNCTION("split(I45, "" "")"),"주간")</f>
        <v>주간</v>
      </c>
      <c r="B44" s="4" t="str">
        <f ca="1">IFERROR(__xludf.DUMMYFUNCTION("""COMPUTED_VALUE"""),"11월")</f>
        <v>11월</v>
      </c>
      <c r="C44" s="4" t="str">
        <f ca="1">IFERROR(__xludf.DUMMYFUNCTION("""COMPUTED_VALUE"""),"5주(27~29)")</f>
        <v>5주(27~29)</v>
      </c>
      <c r="D44" s="5">
        <f ca="1">IFERROR(__xludf.DUMMYFUNCTION("""COMPUTED_VALUE"""),1001)</f>
        <v>1001</v>
      </c>
      <c r="E44" s="6">
        <f ca="1">IFERROR(__xludf.DUMMYFUNCTION("""COMPUTED_VALUE"""),0.53)</f>
        <v>0.53</v>
      </c>
      <c r="F44" s="6">
        <f ca="1">IFERROR(__xludf.DUMMYFUNCTION("""COMPUTED_VALUE"""),0.39)</f>
        <v>0.39</v>
      </c>
      <c r="G44" s="6">
        <f ca="1">IFERROR(__xludf.DUMMYFUNCTION("""COMPUTED_VALUE"""),0.04)</f>
        <v>0.04</v>
      </c>
      <c r="H44" s="6">
        <f ca="1">IFERROR(__xludf.DUMMYFUNCTION("""COMPUTED_VALUE"""),0.04)</f>
        <v>0.04</v>
      </c>
      <c r="I44" s="2" t="s">
        <v>87</v>
      </c>
    </row>
    <row r="45" spans="1:9" x14ac:dyDescent="0.25">
      <c r="A45" s="4" t="str">
        <f ca="1">IFERROR(__xludf.DUMMYFUNCTION("split(I46, "" "")"),"주간")</f>
        <v>주간</v>
      </c>
      <c r="B45" s="4" t="str">
        <f ca="1">IFERROR(__xludf.DUMMYFUNCTION("""COMPUTED_VALUE"""),"12월")</f>
        <v>12월</v>
      </c>
      <c r="C45" s="4" t="str">
        <f ca="1">IFERROR(__xludf.DUMMYFUNCTION("""COMPUTED_VALUE"""),"1주(04~06)")</f>
        <v>1주(04~06)</v>
      </c>
      <c r="D45" s="5">
        <f ca="1">IFERROR(__xludf.DUMMYFUNCTION("""COMPUTED_VALUE"""),1002)</f>
        <v>1002</v>
      </c>
      <c r="E45" s="6">
        <f ca="1">IFERROR(__xludf.DUMMYFUNCTION("""COMPUTED_VALUE"""),0.49)</f>
        <v>0.49</v>
      </c>
      <c r="F45" s="6">
        <f ca="1">IFERROR(__xludf.DUMMYFUNCTION("""COMPUTED_VALUE"""),0.41)</f>
        <v>0.41</v>
      </c>
      <c r="G45" s="6">
        <f ca="1">IFERROR(__xludf.DUMMYFUNCTION("""COMPUTED_VALUE"""),0.05)</f>
        <v>0.05</v>
      </c>
      <c r="H45" s="6">
        <f ca="1">IFERROR(__xludf.DUMMYFUNCTION("""COMPUTED_VALUE"""),0.06)</f>
        <v>0.06</v>
      </c>
      <c r="I45" s="2" t="s">
        <v>88</v>
      </c>
    </row>
    <row r="46" spans="1:9" x14ac:dyDescent="0.25">
      <c r="A46" s="4" t="str">
        <f ca="1">IFERROR(__xludf.DUMMYFUNCTION("split(I47, "" "")"),"주간")</f>
        <v>주간</v>
      </c>
      <c r="B46" s="4" t="str">
        <f ca="1">IFERROR(__xludf.DUMMYFUNCTION("""COMPUTED_VALUE"""),"12월")</f>
        <v>12월</v>
      </c>
      <c r="C46" s="4" t="str">
        <f ca="1">IFERROR(__xludf.DUMMYFUNCTION("""COMPUTED_VALUE"""),"2주(11~13)")</f>
        <v>2주(11~13)</v>
      </c>
      <c r="D46" s="5">
        <f ca="1">IFERROR(__xludf.DUMMYFUNCTION("""COMPUTED_VALUE"""),1003)</f>
        <v>1003</v>
      </c>
      <c r="E46" s="6">
        <f ca="1">IFERROR(__xludf.DUMMYFUNCTION("""COMPUTED_VALUE"""),0.45)</f>
        <v>0.45</v>
      </c>
      <c r="F46" s="6">
        <f ca="1">IFERROR(__xludf.DUMMYFUNCTION("""COMPUTED_VALUE"""),0.44)</f>
        <v>0.44</v>
      </c>
      <c r="G46" s="6">
        <f ca="1">IFERROR(__xludf.DUMMYFUNCTION("""COMPUTED_VALUE"""),0.05)</f>
        <v>0.05</v>
      </c>
      <c r="H46" s="6">
        <f ca="1">IFERROR(__xludf.DUMMYFUNCTION("""COMPUTED_VALUE"""),0.06)</f>
        <v>0.06</v>
      </c>
      <c r="I46" s="2" t="s">
        <v>90</v>
      </c>
    </row>
    <row r="47" spans="1:9" x14ac:dyDescent="0.25">
      <c r="A47" s="4" t="str">
        <f ca="1">IFERROR(__xludf.DUMMYFUNCTION("split(I48, "" "")"),"주간")</f>
        <v>주간</v>
      </c>
      <c r="B47" s="4" t="str">
        <f ca="1">IFERROR(__xludf.DUMMYFUNCTION("""COMPUTED_VALUE"""),"12월")</f>
        <v>12월</v>
      </c>
      <c r="C47" s="4" t="str">
        <f ca="1">IFERROR(__xludf.DUMMYFUNCTION("""COMPUTED_VALUE"""),"3주(18~20)")</f>
        <v>3주(18~20)</v>
      </c>
      <c r="D47" s="5">
        <f ca="1">IFERROR(__xludf.DUMMYFUNCTION("""COMPUTED_VALUE"""),1002)</f>
        <v>1002</v>
      </c>
      <c r="E47" s="6">
        <f ca="1">IFERROR(__xludf.DUMMYFUNCTION("""COMPUTED_VALUE"""),0.45)</f>
        <v>0.45</v>
      </c>
      <c r="F47" s="6">
        <f ca="1">IFERROR(__xludf.DUMMYFUNCTION("""COMPUTED_VALUE"""),0.46)</f>
        <v>0.46</v>
      </c>
      <c r="G47" s="6">
        <f ca="1">IFERROR(__xludf.DUMMYFUNCTION("""COMPUTED_VALUE"""),0.04)</f>
        <v>0.04</v>
      </c>
      <c r="H47" s="6">
        <f ca="1">IFERROR(__xludf.DUMMYFUNCTION("""COMPUTED_VALUE"""),0.04)</f>
        <v>0.04</v>
      </c>
      <c r="I47" s="2" t="s">
        <v>92</v>
      </c>
    </row>
    <row r="48" spans="1:9" x14ac:dyDescent="0.25">
      <c r="A48" s="4" t="str">
        <f ca="1">IFERROR(__xludf.DUMMYFUNCTION("split(I49, "" "")"),"주간")</f>
        <v>주간</v>
      </c>
      <c r="B48" s="4" t="str">
        <f ca="1">IFERROR(__xludf.DUMMYFUNCTION("""COMPUTED_VALUE"""),"12월")</f>
        <v>12월</v>
      </c>
      <c r="C48" s="4" t="str">
        <f ca="1">IFERROR(__xludf.DUMMYFUNCTION("""COMPUTED_VALUE"""),"4주(24~28)")</f>
        <v>4주(24~28)</v>
      </c>
      <c r="I48" s="2" t="s">
        <v>94</v>
      </c>
    </row>
    <row r="49" spans="1:9" x14ac:dyDescent="0.25">
      <c r="A49" s="4" t="str">
        <f ca="1">IFERROR(__xludf.DUMMYFUNCTION("split(I50, "" "")"),"주간")</f>
        <v>주간</v>
      </c>
      <c r="B49" s="4" t="str">
        <f ca="1">IFERROR(__xludf.DUMMYFUNCTION("""COMPUTED_VALUE"""),"01월")</f>
        <v>01월</v>
      </c>
      <c r="C49" s="4" t="str">
        <f ca="1">IFERROR(__xludf.DUMMYFUNCTION("""COMPUTED_VALUE"""),"1주(31~04)")</f>
        <v>1주(31~04)</v>
      </c>
      <c r="I49" s="2" t="s">
        <v>95</v>
      </c>
    </row>
    <row r="50" spans="1:9" x14ac:dyDescent="0.25">
      <c r="A50" s="4" t="str">
        <f ca="1">IFERROR(__xludf.DUMMYFUNCTION("split(I51, "" "")"),"주간")</f>
        <v>주간</v>
      </c>
      <c r="B50" s="4" t="str">
        <f ca="1">IFERROR(__xludf.DUMMYFUNCTION("""COMPUTED_VALUE"""),"01월")</f>
        <v>01월</v>
      </c>
      <c r="C50" s="4" t="str">
        <f ca="1">IFERROR(__xludf.DUMMYFUNCTION("""COMPUTED_VALUE"""),"2주(08~10)")</f>
        <v>2주(08~10)</v>
      </c>
      <c r="D50" s="5">
        <f ca="1">IFERROR(__xludf.DUMMYFUNCTION("""COMPUTED_VALUE"""),1002)</f>
        <v>1002</v>
      </c>
      <c r="E50" s="6">
        <f ca="1">IFERROR(__xludf.DUMMYFUNCTION("""COMPUTED_VALUE"""),0.48)</f>
        <v>0.48</v>
      </c>
      <c r="F50" s="6">
        <f ca="1">IFERROR(__xludf.DUMMYFUNCTION("""COMPUTED_VALUE"""),0.44)</f>
        <v>0.44</v>
      </c>
      <c r="G50" s="6">
        <f ca="1">IFERROR(__xludf.DUMMYFUNCTION("""COMPUTED_VALUE"""),0.05)</f>
        <v>0.05</v>
      </c>
      <c r="H50" s="6">
        <f ca="1">IFERROR(__xludf.DUMMYFUNCTION("""COMPUTED_VALUE"""),0.04)</f>
        <v>0.04</v>
      </c>
      <c r="I50" s="2" t="s">
        <v>97</v>
      </c>
    </row>
    <row r="51" spans="1:9" x14ac:dyDescent="0.25">
      <c r="A51" s="4" t="str">
        <f ca="1">IFERROR(__xludf.DUMMYFUNCTION("split(I52, "" "")"),"주간")</f>
        <v>주간</v>
      </c>
      <c r="B51" s="4" t="str">
        <f ca="1">IFERROR(__xludf.DUMMYFUNCTION("""COMPUTED_VALUE"""),"01월")</f>
        <v>01월</v>
      </c>
      <c r="C51" s="4" t="str">
        <f ca="1">IFERROR(__xludf.DUMMYFUNCTION("""COMPUTED_VALUE"""),"3주(15~17)")</f>
        <v>3주(15~17)</v>
      </c>
      <c r="D51" s="5">
        <f ca="1">IFERROR(__xludf.DUMMYFUNCTION("""COMPUTED_VALUE"""),1002)</f>
        <v>1002</v>
      </c>
      <c r="E51" s="6">
        <f ca="1">IFERROR(__xludf.DUMMYFUNCTION("""COMPUTED_VALUE"""),0.47)</f>
        <v>0.47</v>
      </c>
      <c r="F51" s="6">
        <f ca="1">IFERROR(__xludf.DUMMYFUNCTION("""COMPUTED_VALUE"""),0.44)</f>
        <v>0.44</v>
      </c>
      <c r="G51" s="6">
        <f ca="1">IFERROR(__xludf.DUMMYFUNCTION("""COMPUTED_VALUE"""),0.06)</f>
        <v>0.06</v>
      </c>
      <c r="H51" s="6">
        <f ca="1">IFERROR(__xludf.DUMMYFUNCTION("""COMPUTED_VALUE"""),0.04)</f>
        <v>0.04</v>
      </c>
      <c r="I51" s="2" t="s">
        <v>99</v>
      </c>
    </row>
    <row r="52" spans="1:9" x14ac:dyDescent="0.25">
      <c r="A52" s="4" t="str">
        <f ca="1">IFERROR(__xludf.DUMMYFUNCTION("split(I53, "" "")"),"주간")</f>
        <v>주간</v>
      </c>
      <c r="B52" s="4" t="str">
        <f ca="1">IFERROR(__xludf.DUMMYFUNCTION("""COMPUTED_VALUE"""),"01월")</f>
        <v>01월</v>
      </c>
      <c r="C52" s="4" t="str">
        <f ca="1">IFERROR(__xludf.DUMMYFUNCTION("""COMPUTED_VALUE"""),"4주(22~24)")</f>
        <v>4주(22~24)</v>
      </c>
      <c r="D52" s="5">
        <f ca="1">IFERROR(__xludf.DUMMYFUNCTION("""COMPUTED_VALUE"""),1002)</f>
        <v>1002</v>
      </c>
      <c r="E52" s="6">
        <f ca="1">IFERROR(__xludf.DUMMYFUNCTION("""COMPUTED_VALUE"""),0.46)</f>
        <v>0.46</v>
      </c>
      <c r="F52" s="6">
        <f ca="1">IFERROR(__xludf.DUMMYFUNCTION("""COMPUTED_VALUE"""),0.45)</f>
        <v>0.45</v>
      </c>
      <c r="G52" s="6">
        <f ca="1">IFERROR(__xludf.DUMMYFUNCTION("""COMPUTED_VALUE"""),0.04)</f>
        <v>0.04</v>
      </c>
      <c r="H52" s="6">
        <f ca="1">IFERROR(__xludf.DUMMYFUNCTION("""COMPUTED_VALUE"""),0.05)</f>
        <v>0.05</v>
      </c>
      <c r="I52" s="2" t="s">
        <v>100</v>
      </c>
    </row>
    <row r="53" spans="1:9" x14ac:dyDescent="0.25">
      <c r="A53" s="4" t="str">
        <f ca="1">IFERROR(__xludf.DUMMYFUNCTION("split(I54, "" "")"),"주간")</f>
        <v>주간</v>
      </c>
      <c r="B53" s="4" t="str">
        <f ca="1">IFERROR(__xludf.DUMMYFUNCTION("""COMPUTED_VALUE"""),"01월")</f>
        <v>01월</v>
      </c>
      <c r="C53" s="4" t="str">
        <f ca="1">IFERROR(__xludf.DUMMYFUNCTION("""COMPUTED_VALUE"""),"5주(29~31)")</f>
        <v>5주(29~31)</v>
      </c>
      <c r="D53" s="5">
        <f ca="1">IFERROR(__xludf.DUMMYFUNCTION("""COMPUTED_VALUE"""),1004)</f>
        <v>1004</v>
      </c>
      <c r="E53" s="6">
        <f ca="1">IFERROR(__xludf.DUMMYFUNCTION("""COMPUTED_VALUE"""),0.47)</f>
        <v>0.47</v>
      </c>
      <c r="F53" s="6">
        <f ca="1">IFERROR(__xludf.DUMMYFUNCTION("""COMPUTED_VALUE"""),0.44)</f>
        <v>0.44</v>
      </c>
      <c r="G53" s="6">
        <f ca="1">IFERROR(__xludf.DUMMYFUNCTION("""COMPUTED_VALUE"""),0.04)</f>
        <v>0.04</v>
      </c>
      <c r="H53" s="6">
        <f ca="1">IFERROR(__xludf.DUMMYFUNCTION("""COMPUTED_VALUE"""),0.04)</f>
        <v>0.04</v>
      </c>
      <c r="I53" s="2" t="s">
        <v>102</v>
      </c>
    </row>
    <row r="54" spans="1:9" x14ac:dyDescent="0.25">
      <c r="A54" s="4" t="str">
        <f ca="1">IFERROR(__xludf.DUMMYFUNCTION("split(I55, "" "")"),"주간")</f>
        <v>주간</v>
      </c>
      <c r="B54" s="4" t="str">
        <f ca="1">IFERROR(__xludf.DUMMYFUNCTION("""COMPUTED_VALUE"""),"02월")</f>
        <v>02월</v>
      </c>
      <c r="C54" s="4" t="str">
        <f ca="1">IFERROR(__xludf.DUMMYFUNCTION("""COMPUTED_VALUE"""),"1주(04~08)")</f>
        <v>1주(04~08)</v>
      </c>
      <c r="I54" s="2" t="s">
        <v>104</v>
      </c>
    </row>
    <row r="55" spans="1:9" x14ac:dyDescent="0.25">
      <c r="A55" s="4" t="str">
        <f ca="1">IFERROR(__xludf.DUMMYFUNCTION("split(I56, "" "")"),"주간")</f>
        <v>주간</v>
      </c>
      <c r="B55" s="4" t="str">
        <f ca="1">IFERROR(__xludf.DUMMYFUNCTION("""COMPUTED_VALUE"""),"02월")</f>
        <v>02월</v>
      </c>
      <c r="C55" s="4" t="str">
        <f ca="1">IFERROR(__xludf.DUMMYFUNCTION("""COMPUTED_VALUE"""),"2주(12~14)")</f>
        <v>2주(12~14)</v>
      </c>
      <c r="D55" s="5">
        <f ca="1">IFERROR(__xludf.DUMMYFUNCTION("""COMPUTED_VALUE"""),1002)</f>
        <v>1002</v>
      </c>
      <c r="E55" s="6">
        <f ca="1">IFERROR(__xludf.DUMMYFUNCTION("""COMPUTED_VALUE"""),0.47)</f>
        <v>0.47</v>
      </c>
      <c r="F55" s="6">
        <f ca="1">IFERROR(__xludf.DUMMYFUNCTION("""COMPUTED_VALUE"""),0.44)</f>
        <v>0.44</v>
      </c>
      <c r="G55" s="6">
        <f ca="1">IFERROR(__xludf.DUMMYFUNCTION("""COMPUTED_VALUE"""),0.04)</f>
        <v>0.04</v>
      </c>
      <c r="H55" s="6">
        <f ca="1">IFERROR(__xludf.DUMMYFUNCTION("""COMPUTED_VALUE"""),0.06)</f>
        <v>0.06</v>
      </c>
      <c r="I55" s="2" t="s">
        <v>106</v>
      </c>
    </row>
    <row r="56" spans="1:9" x14ac:dyDescent="0.25">
      <c r="A56" s="4" t="str">
        <f ca="1">IFERROR(__xludf.DUMMYFUNCTION("split(I57, "" "")"),"주간")</f>
        <v>주간</v>
      </c>
      <c r="B56" s="4" t="str">
        <f ca="1">IFERROR(__xludf.DUMMYFUNCTION("""COMPUTED_VALUE"""),"02월")</f>
        <v>02월</v>
      </c>
      <c r="C56" s="4" t="str">
        <f ca="1">IFERROR(__xludf.DUMMYFUNCTION("""COMPUTED_VALUE"""),"3주(19~21)")</f>
        <v>3주(19~21)</v>
      </c>
      <c r="D56" s="5">
        <f ca="1">IFERROR(__xludf.DUMMYFUNCTION("""COMPUTED_VALUE"""),1001)</f>
        <v>1001</v>
      </c>
      <c r="E56" s="6">
        <f ca="1">IFERROR(__xludf.DUMMYFUNCTION("""COMPUTED_VALUE"""),0.45)</f>
        <v>0.45</v>
      </c>
      <c r="F56" s="6">
        <f ca="1">IFERROR(__xludf.DUMMYFUNCTION("""COMPUTED_VALUE"""),0.45)</f>
        <v>0.45</v>
      </c>
      <c r="G56" s="6">
        <f ca="1">IFERROR(__xludf.DUMMYFUNCTION("""COMPUTED_VALUE"""),0.04)</f>
        <v>0.04</v>
      </c>
      <c r="H56" s="6">
        <f ca="1">IFERROR(__xludf.DUMMYFUNCTION("""COMPUTED_VALUE"""),0.06)</f>
        <v>0.06</v>
      </c>
      <c r="I56" s="2" t="s">
        <v>107</v>
      </c>
    </row>
    <row r="57" spans="1:9" x14ac:dyDescent="0.25">
      <c r="A57" s="4" t="str">
        <f ca="1">IFERROR(__xludf.DUMMYFUNCTION("split(I58, "" "")"),"주간")</f>
        <v>주간</v>
      </c>
      <c r="B57" s="4" t="str">
        <f ca="1">IFERROR(__xludf.DUMMYFUNCTION("""COMPUTED_VALUE"""),"02월")</f>
        <v>02월</v>
      </c>
      <c r="C57" s="4" t="str">
        <f ca="1">IFERROR(__xludf.DUMMYFUNCTION("""COMPUTED_VALUE"""),"4주(26~28)")</f>
        <v>4주(26~28)</v>
      </c>
      <c r="D57" s="5">
        <f ca="1">IFERROR(__xludf.DUMMYFUNCTION("""COMPUTED_VALUE"""),1002)</f>
        <v>1002</v>
      </c>
      <c r="E57" s="6">
        <f ca="1">IFERROR(__xludf.DUMMYFUNCTION("""COMPUTED_VALUE"""),0.49)</f>
        <v>0.49</v>
      </c>
      <c r="F57" s="6">
        <f ca="1">IFERROR(__xludf.DUMMYFUNCTION("""COMPUTED_VALUE"""),0.42)</f>
        <v>0.42</v>
      </c>
      <c r="G57" s="6">
        <f ca="1">IFERROR(__xludf.DUMMYFUNCTION("""COMPUTED_VALUE"""),0.04)</f>
        <v>0.04</v>
      </c>
      <c r="H57" s="6">
        <f ca="1">IFERROR(__xludf.DUMMYFUNCTION("""COMPUTED_VALUE"""),0.05)</f>
        <v>0.05</v>
      </c>
      <c r="I57" s="2" t="s">
        <v>109</v>
      </c>
    </row>
    <row r="58" spans="1:9" x14ac:dyDescent="0.25">
      <c r="A58" s="4" t="str">
        <f ca="1">IFERROR(__xludf.DUMMYFUNCTION("split(I59, "" "")"),"주간")</f>
        <v>주간</v>
      </c>
      <c r="B58" s="4" t="str">
        <f ca="1">IFERROR(__xludf.DUMMYFUNCTION("""COMPUTED_VALUE"""),"03월")</f>
        <v>03월</v>
      </c>
      <c r="C58" s="4" t="str">
        <f ca="1">IFERROR(__xludf.DUMMYFUNCTION("""COMPUTED_VALUE"""),"1주(05~07)")</f>
        <v>1주(05~07)</v>
      </c>
      <c r="D58" s="5">
        <f ca="1">IFERROR(__xludf.DUMMYFUNCTION("""COMPUTED_VALUE"""),1003)</f>
        <v>1003</v>
      </c>
      <c r="E58" s="6">
        <f ca="1">IFERROR(__xludf.DUMMYFUNCTION("""COMPUTED_VALUE"""),0.46)</f>
        <v>0.46</v>
      </c>
      <c r="F58" s="6">
        <f ca="1">IFERROR(__xludf.DUMMYFUNCTION("""COMPUTED_VALUE"""),0.45)</f>
        <v>0.45</v>
      </c>
      <c r="G58" s="6">
        <f ca="1">IFERROR(__xludf.DUMMYFUNCTION("""COMPUTED_VALUE"""),0.05)</f>
        <v>0.05</v>
      </c>
      <c r="H58" s="6">
        <f ca="1">IFERROR(__xludf.DUMMYFUNCTION("""COMPUTED_VALUE"""),0.05)</f>
        <v>0.05</v>
      </c>
      <c r="I58" s="2" t="s">
        <v>111</v>
      </c>
    </row>
    <row r="59" spans="1:9" x14ac:dyDescent="0.25">
      <c r="A59" s="4" t="str">
        <f ca="1">IFERROR(__xludf.DUMMYFUNCTION("split(I60, "" "")"),"주간")</f>
        <v>주간</v>
      </c>
      <c r="B59" s="4" t="str">
        <f ca="1">IFERROR(__xludf.DUMMYFUNCTION("""COMPUTED_VALUE"""),"03월")</f>
        <v>03월</v>
      </c>
      <c r="C59" s="4" t="str">
        <f ca="1">IFERROR(__xludf.DUMMYFUNCTION("""COMPUTED_VALUE"""),"2주(12~14)")</f>
        <v>2주(12~14)</v>
      </c>
      <c r="D59" s="5">
        <f ca="1">IFERROR(__xludf.DUMMYFUNCTION("""COMPUTED_VALUE"""),1004)</f>
        <v>1004</v>
      </c>
      <c r="E59" s="6">
        <f ca="1">IFERROR(__xludf.DUMMYFUNCTION("""COMPUTED_VALUE"""),0.44)</f>
        <v>0.44</v>
      </c>
      <c r="F59" s="6">
        <f ca="1">IFERROR(__xludf.DUMMYFUNCTION("""COMPUTED_VALUE"""),0.46)</f>
        <v>0.46</v>
      </c>
      <c r="G59" s="6">
        <f ca="1">IFERROR(__xludf.DUMMYFUNCTION("""COMPUTED_VALUE"""),0.05)</f>
        <v>0.05</v>
      </c>
      <c r="H59" s="6">
        <f ca="1">IFERROR(__xludf.DUMMYFUNCTION("""COMPUTED_VALUE"""),0.05)</f>
        <v>0.05</v>
      </c>
      <c r="I59" s="2" t="s">
        <v>113</v>
      </c>
    </row>
    <row r="60" spans="1:9" x14ac:dyDescent="0.25">
      <c r="A60" s="4" t="str">
        <f ca="1">IFERROR(__xludf.DUMMYFUNCTION("split(I61, "" "")"),"주간")</f>
        <v>주간</v>
      </c>
      <c r="B60" s="4" t="str">
        <f ca="1">IFERROR(__xludf.DUMMYFUNCTION("""COMPUTED_VALUE"""),"03월")</f>
        <v>03월</v>
      </c>
      <c r="C60" s="4" t="str">
        <f ca="1">IFERROR(__xludf.DUMMYFUNCTION("""COMPUTED_VALUE"""),"3주(19~21)")</f>
        <v>3주(19~21)</v>
      </c>
      <c r="D60" s="5">
        <f ca="1">IFERROR(__xludf.DUMMYFUNCTION("""COMPUTED_VALUE"""),1002)</f>
        <v>1002</v>
      </c>
      <c r="E60" s="6">
        <f ca="1">IFERROR(__xludf.DUMMYFUNCTION("""COMPUTED_VALUE"""),0.45)</f>
        <v>0.45</v>
      </c>
      <c r="F60" s="6">
        <f ca="1">IFERROR(__xludf.DUMMYFUNCTION("""COMPUTED_VALUE"""),0.44)</f>
        <v>0.44</v>
      </c>
      <c r="G60" s="6">
        <f ca="1">IFERROR(__xludf.DUMMYFUNCTION("""COMPUTED_VALUE"""),0.05)</f>
        <v>0.05</v>
      </c>
      <c r="H60" s="6">
        <f ca="1">IFERROR(__xludf.DUMMYFUNCTION("""COMPUTED_VALUE"""),0.06)</f>
        <v>0.06</v>
      </c>
      <c r="I60" s="2" t="s">
        <v>114</v>
      </c>
    </row>
    <row r="61" spans="1:9" x14ac:dyDescent="0.25">
      <c r="A61" s="4" t="str">
        <f ca="1">IFERROR(__xludf.DUMMYFUNCTION("split(I62, "" "")"),"주간")</f>
        <v>주간</v>
      </c>
      <c r="B61" s="4" t="str">
        <f ca="1">IFERROR(__xludf.DUMMYFUNCTION("""COMPUTED_VALUE"""),"03월")</f>
        <v>03월</v>
      </c>
      <c r="C61" s="4" t="str">
        <f ca="1">IFERROR(__xludf.DUMMYFUNCTION("""COMPUTED_VALUE"""),"4주(26~28)")</f>
        <v>4주(26~28)</v>
      </c>
      <c r="D61" s="5">
        <f ca="1">IFERROR(__xludf.DUMMYFUNCTION("""COMPUTED_VALUE"""),1003)</f>
        <v>1003</v>
      </c>
      <c r="E61" s="6">
        <f ca="1">IFERROR(__xludf.DUMMYFUNCTION("""COMPUTED_VALUE"""),0.43)</f>
        <v>0.43</v>
      </c>
      <c r="F61" s="6">
        <f ca="1">IFERROR(__xludf.DUMMYFUNCTION("""COMPUTED_VALUE"""),0.46)</f>
        <v>0.46</v>
      </c>
      <c r="G61" s="6">
        <f ca="1">IFERROR(__xludf.DUMMYFUNCTION("""COMPUTED_VALUE"""),0.05)</f>
        <v>0.05</v>
      </c>
      <c r="H61" s="6">
        <f ca="1">IFERROR(__xludf.DUMMYFUNCTION("""COMPUTED_VALUE"""),0.06)</f>
        <v>0.06</v>
      </c>
      <c r="I61" s="2" t="s">
        <v>116</v>
      </c>
    </row>
    <row r="62" spans="1:9" x14ac:dyDescent="0.25">
      <c r="A62" s="4" t="str">
        <f ca="1">IFERROR(__xludf.DUMMYFUNCTION("split(I63, "" "")"),"주간")</f>
        <v>주간</v>
      </c>
      <c r="B62" s="4" t="str">
        <f ca="1">IFERROR(__xludf.DUMMYFUNCTION("""COMPUTED_VALUE"""),"04월")</f>
        <v>04월</v>
      </c>
      <c r="C62" s="4" t="str">
        <f ca="1">IFERROR(__xludf.DUMMYFUNCTION("""COMPUTED_VALUE"""),"1주(02~04)")</f>
        <v>1주(02~04)</v>
      </c>
      <c r="D62" s="5">
        <f ca="1">IFERROR(__xludf.DUMMYFUNCTION("""COMPUTED_VALUE"""),1003)</f>
        <v>1003</v>
      </c>
      <c r="E62" s="6">
        <f ca="1">IFERROR(__xludf.DUMMYFUNCTION("""COMPUTED_VALUE"""),0.41)</f>
        <v>0.41</v>
      </c>
      <c r="F62" s="6">
        <f ca="1">IFERROR(__xludf.DUMMYFUNCTION("""COMPUTED_VALUE"""),0.49)</f>
        <v>0.49</v>
      </c>
      <c r="G62" s="6">
        <f ca="1">IFERROR(__xludf.DUMMYFUNCTION("""COMPUTED_VALUE"""),0.04)</f>
        <v>0.04</v>
      </c>
      <c r="H62" s="6">
        <f ca="1">IFERROR(__xludf.DUMMYFUNCTION("""COMPUTED_VALUE"""),0.05)</f>
        <v>0.05</v>
      </c>
      <c r="I62" s="2" t="s">
        <v>118</v>
      </c>
    </row>
    <row r="63" spans="1:9" x14ac:dyDescent="0.25">
      <c r="A63" s="4" t="str">
        <f ca="1">IFERROR(__xludf.DUMMYFUNCTION("split(I64, "" "")"),"주간")</f>
        <v>주간</v>
      </c>
      <c r="B63" s="4" t="str">
        <f ca="1">IFERROR(__xludf.DUMMYFUNCTION("""COMPUTED_VALUE"""),"04월")</f>
        <v>04월</v>
      </c>
      <c r="C63" s="4" t="str">
        <f ca="1">IFERROR(__xludf.DUMMYFUNCTION("""COMPUTED_VALUE"""),"2주(09~11)")</f>
        <v>2주(09~11)</v>
      </c>
      <c r="D63" s="5">
        <f ca="1">IFERROR(__xludf.DUMMYFUNCTION("""COMPUTED_VALUE"""),1002)</f>
        <v>1002</v>
      </c>
      <c r="E63" s="6">
        <f ca="1">IFERROR(__xludf.DUMMYFUNCTION("""COMPUTED_VALUE"""),0.47)</f>
        <v>0.47</v>
      </c>
      <c r="F63" s="6">
        <f ca="1">IFERROR(__xludf.DUMMYFUNCTION("""COMPUTED_VALUE"""),0.45)</f>
        <v>0.45</v>
      </c>
      <c r="G63" s="6">
        <f ca="1">IFERROR(__xludf.DUMMYFUNCTION("""COMPUTED_VALUE"""),0.03)</f>
        <v>0.03</v>
      </c>
      <c r="H63" s="6">
        <f ca="1">IFERROR(__xludf.DUMMYFUNCTION("""COMPUTED_VALUE"""),0.05)</f>
        <v>0.05</v>
      </c>
      <c r="I63" s="2" t="s">
        <v>120</v>
      </c>
    </row>
    <row r="64" spans="1:9" x14ac:dyDescent="0.25">
      <c r="A64" s="4" t="str">
        <f ca="1">IFERROR(__xludf.DUMMYFUNCTION("split(I65, "" "")"),"주간")</f>
        <v>주간</v>
      </c>
      <c r="B64" s="4" t="str">
        <f ca="1">IFERROR(__xludf.DUMMYFUNCTION("""COMPUTED_VALUE"""),"04월")</f>
        <v>04월</v>
      </c>
      <c r="C64" s="4" t="str">
        <f ca="1">IFERROR(__xludf.DUMMYFUNCTION("""COMPUTED_VALUE"""),"3주(16~18)")</f>
        <v>3주(16~18)</v>
      </c>
      <c r="D64" s="5">
        <f ca="1">IFERROR(__xludf.DUMMYFUNCTION("""COMPUTED_VALUE"""),1001)</f>
        <v>1001</v>
      </c>
      <c r="E64" s="6">
        <f ca="1">IFERROR(__xludf.DUMMYFUNCTION("""COMPUTED_VALUE"""),0.48)</f>
        <v>0.48</v>
      </c>
      <c r="F64" s="6">
        <f ca="1">IFERROR(__xludf.DUMMYFUNCTION("""COMPUTED_VALUE"""),0.42)</f>
        <v>0.42</v>
      </c>
      <c r="G64" s="6">
        <f ca="1">IFERROR(__xludf.DUMMYFUNCTION("""COMPUTED_VALUE"""),0.04)</f>
        <v>0.04</v>
      </c>
      <c r="H64" s="6">
        <f ca="1">IFERROR(__xludf.DUMMYFUNCTION("""COMPUTED_VALUE"""),0.06)</f>
        <v>0.06</v>
      </c>
      <c r="I64" s="2" t="s">
        <v>122</v>
      </c>
    </row>
    <row r="65" spans="1:9" x14ac:dyDescent="0.25">
      <c r="A65" s="4" t="str">
        <f ca="1">IFERROR(__xludf.DUMMYFUNCTION("split(I66, "" "")"),"주간")</f>
        <v>주간</v>
      </c>
      <c r="B65" s="4" t="str">
        <f ca="1">IFERROR(__xludf.DUMMYFUNCTION("""COMPUTED_VALUE"""),"04월")</f>
        <v>04월</v>
      </c>
      <c r="C65" s="4" t="str">
        <f ca="1">IFERROR(__xludf.DUMMYFUNCTION("""COMPUTED_VALUE"""),"4주(23~25)")</f>
        <v>4주(23~25)</v>
      </c>
      <c r="D65" s="5">
        <f ca="1">IFERROR(__xludf.DUMMYFUNCTION("""COMPUTED_VALUE"""),1003)</f>
        <v>1003</v>
      </c>
      <c r="E65" s="6">
        <f ca="1">IFERROR(__xludf.DUMMYFUNCTION("""COMPUTED_VALUE"""),0.44)</f>
        <v>0.44</v>
      </c>
      <c r="F65" s="6">
        <f ca="1">IFERROR(__xludf.DUMMYFUNCTION("""COMPUTED_VALUE"""),0.47)</f>
        <v>0.47</v>
      </c>
      <c r="G65" s="6">
        <f ca="1">IFERROR(__xludf.DUMMYFUNCTION("""COMPUTED_VALUE"""),0.03)</f>
        <v>0.03</v>
      </c>
      <c r="H65" s="6">
        <f ca="1">IFERROR(__xludf.DUMMYFUNCTION("""COMPUTED_VALUE"""),0.06)</f>
        <v>0.06</v>
      </c>
      <c r="I65" s="2" t="s">
        <v>124</v>
      </c>
    </row>
    <row r="66" spans="1:9" x14ac:dyDescent="0.25">
      <c r="A66" s="4" t="str">
        <f ca="1">IFERROR(__xludf.DUMMYFUNCTION("split(I67, "" "")"),"주간")</f>
        <v>주간</v>
      </c>
      <c r="B66" s="4" t="str">
        <f ca="1">IFERROR(__xludf.DUMMYFUNCTION("""COMPUTED_VALUE"""),"5월")</f>
        <v>5월</v>
      </c>
      <c r="C66" s="4" t="str">
        <f ca="1">IFERROR(__xludf.DUMMYFUNCTION("""COMPUTED_VALUE"""),"1주(4/30,5/2)")</f>
        <v>1주(4/30,5/2)</v>
      </c>
      <c r="D66" s="5">
        <f ca="1">IFERROR(__xludf.DUMMYFUNCTION("""COMPUTED_VALUE"""),1004)</f>
        <v>1004</v>
      </c>
      <c r="E66" s="6">
        <f ca="1">IFERROR(__xludf.DUMMYFUNCTION("""COMPUTED_VALUE"""),0.45)</f>
        <v>0.45</v>
      </c>
      <c r="F66" s="6">
        <f ca="1">IFERROR(__xludf.DUMMYFUNCTION("""COMPUTED_VALUE"""),0.46)</f>
        <v>0.46</v>
      </c>
      <c r="G66" s="6">
        <f ca="1">IFERROR(__xludf.DUMMYFUNCTION("""COMPUTED_VALUE"""),0.05)</f>
        <v>0.05</v>
      </c>
      <c r="H66" s="6">
        <f ca="1">IFERROR(__xludf.DUMMYFUNCTION("""COMPUTED_VALUE"""),0.04)</f>
        <v>0.04</v>
      </c>
      <c r="I66" s="2" t="s">
        <v>125</v>
      </c>
    </row>
    <row r="67" spans="1:9" x14ac:dyDescent="0.25">
      <c r="A67" s="4" t="str">
        <f ca="1">IFERROR(__xludf.DUMMYFUNCTION("split(I68, "" "")"),"주간")</f>
        <v>주간</v>
      </c>
      <c r="B67" s="4" t="str">
        <f ca="1">IFERROR(__xludf.DUMMYFUNCTION("""COMPUTED_VALUE"""),"05월")</f>
        <v>05월</v>
      </c>
      <c r="C67" s="4" t="str">
        <f ca="1">IFERROR(__xludf.DUMMYFUNCTION("""COMPUTED_VALUE"""),"2주(07~09)")</f>
        <v>2주(07~09)</v>
      </c>
      <c r="D67" s="5">
        <f ca="1">IFERROR(__xludf.DUMMYFUNCTION("""COMPUTED_VALUE"""),1002)</f>
        <v>1002</v>
      </c>
      <c r="E67" s="6">
        <f ca="1">IFERROR(__xludf.DUMMYFUNCTION("""COMPUTED_VALUE"""),0.47)</f>
        <v>0.47</v>
      </c>
      <c r="F67" s="6">
        <f ca="1">IFERROR(__xludf.DUMMYFUNCTION("""COMPUTED_VALUE"""),0.45)</f>
        <v>0.45</v>
      </c>
      <c r="G67" s="6">
        <f ca="1">IFERROR(__xludf.DUMMYFUNCTION("""COMPUTED_VALUE"""),0.03)</f>
        <v>0.03</v>
      </c>
      <c r="H67" s="6">
        <f ca="1">IFERROR(__xludf.DUMMYFUNCTION("""COMPUTED_VALUE"""),0.05)</f>
        <v>0.05</v>
      </c>
      <c r="I67" s="2" t="s">
        <v>127</v>
      </c>
    </row>
    <row r="68" spans="1:9" x14ac:dyDescent="0.25">
      <c r="A68" s="4" t="str">
        <f ca="1">IFERROR(__xludf.DUMMYFUNCTION("split(I69, "" "")"),"주간")</f>
        <v>주간</v>
      </c>
      <c r="B68" s="4" t="str">
        <f ca="1">IFERROR(__xludf.DUMMYFUNCTION("""COMPUTED_VALUE"""),"05월")</f>
        <v>05월</v>
      </c>
      <c r="C68" s="4" t="str">
        <f ca="1">IFERROR(__xludf.DUMMYFUNCTION("""COMPUTED_VALUE"""),"3주(14~16)")</f>
        <v>3주(14~16)</v>
      </c>
      <c r="D68" s="5">
        <f ca="1">IFERROR(__xludf.DUMMYFUNCTION("""COMPUTED_VALUE"""),1004)</f>
        <v>1004</v>
      </c>
      <c r="E68" s="6">
        <f ca="1">IFERROR(__xludf.DUMMYFUNCTION("""COMPUTED_VALUE"""),0.44)</f>
        <v>0.44</v>
      </c>
      <c r="F68" s="6">
        <f ca="1">IFERROR(__xludf.DUMMYFUNCTION("""COMPUTED_VALUE"""),0.47)</f>
        <v>0.47</v>
      </c>
      <c r="G68" s="6">
        <f ca="1">IFERROR(__xludf.DUMMYFUNCTION("""COMPUTED_VALUE"""),0.04)</f>
        <v>0.04</v>
      </c>
      <c r="H68" s="6">
        <f ca="1">IFERROR(__xludf.DUMMYFUNCTION("""COMPUTED_VALUE"""),0.05)</f>
        <v>0.05</v>
      </c>
      <c r="I68" s="2" t="s">
        <v>129</v>
      </c>
    </row>
    <row r="69" spans="1:9" x14ac:dyDescent="0.25">
      <c r="A69" s="4" t="str">
        <f ca="1">IFERROR(__xludf.DUMMYFUNCTION("split(I70, "" "")"),"주간")</f>
        <v>주간</v>
      </c>
      <c r="B69" s="4" t="str">
        <f ca="1">IFERROR(__xludf.DUMMYFUNCTION("""COMPUTED_VALUE"""),"05월")</f>
        <v>05월</v>
      </c>
      <c r="C69" s="4" t="str">
        <f ca="1">IFERROR(__xludf.DUMMYFUNCTION("""COMPUTED_VALUE"""),"4주(21~23)")</f>
        <v>4주(21~23)</v>
      </c>
      <c r="D69" s="5">
        <f ca="1">IFERROR(__xludf.DUMMYFUNCTION("""COMPUTED_VALUE"""),1001)</f>
        <v>1001</v>
      </c>
      <c r="E69" s="6">
        <f ca="1">IFERROR(__xludf.DUMMYFUNCTION("""COMPUTED_VALUE"""),0.46)</f>
        <v>0.46</v>
      </c>
      <c r="F69" s="6">
        <f ca="1">IFERROR(__xludf.DUMMYFUNCTION("""COMPUTED_VALUE"""),0.44)</f>
        <v>0.44</v>
      </c>
      <c r="G69" s="6">
        <f ca="1">IFERROR(__xludf.DUMMYFUNCTION("""COMPUTED_VALUE"""),0.06)</f>
        <v>0.06</v>
      </c>
      <c r="H69" s="6">
        <f ca="1">IFERROR(__xludf.DUMMYFUNCTION("""COMPUTED_VALUE"""),0.04)</f>
        <v>0.04</v>
      </c>
      <c r="I69" s="2" t="s">
        <v>131</v>
      </c>
    </row>
    <row r="70" spans="1:9" x14ac:dyDescent="0.25">
      <c r="A70" s="4" t="str">
        <f ca="1">IFERROR(__xludf.DUMMYFUNCTION("split(I71, "" "")"),"주간")</f>
        <v>주간</v>
      </c>
      <c r="B70" s="4" t="str">
        <f ca="1">IFERROR(__xludf.DUMMYFUNCTION("""COMPUTED_VALUE"""),"05월")</f>
        <v>05월</v>
      </c>
      <c r="C70" s="4" t="str">
        <f ca="1">IFERROR(__xludf.DUMMYFUNCTION("""COMPUTED_VALUE"""),"5주(28~30)")</f>
        <v>5주(28~30)</v>
      </c>
      <c r="D70" s="5">
        <f ca="1">IFERROR(__xludf.DUMMYFUNCTION("""COMPUTED_VALUE"""),1002)</f>
        <v>1002</v>
      </c>
      <c r="E70" s="6">
        <f ca="1">IFERROR(__xludf.DUMMYFUNCTION("""COMPUTED_VALUE"""),0.45)</f>
        <v>0.45</v>
      </c>
      <c r="F70" s="6">
        <f ca="1">IFERROR(__xludf.DUMMYFUNCTION("""COMPUTED_VALUE"""),0.45)</f>
        <v>0.45</v>
      </c>
      <c r="G70" s="6">
        <f ca="1">IFERROR(__xludf.DUMMYFUNCTION("""COMPUTED_VALUE"""),0.04)</f>
        <v>0.04</v>
      </c>
      <c r="H70" s="6">
        <f ca="1">IFERROR(__xludf.DUMMYFUNCTION("""COMPUTED_VALUE"""),0.06)</f>
        <v>0.06</v>
      </c>
      <c r="I70" s="2" t="s">
        <v>132</v>
      </c>
    </row>
    <row r="71" spans="1:9" x14ac:dyDescent="0.25">
      <c r="A71" s="4" t="str">
        <f ca="1">IFERROR(__xludf.DUMMYFUNCTION("split(I72, "" "")"),"주간")</f>
        <v>주간</v>
      </c>
      <c r="B71" s="4" t="str">
        <f ca="1">IFERROR(__xludf.DUMMYFUNCTION("""COMPUTED_VALUE"""),"06월")</f>
        <v>06월</v>
      </c>
      <c r="C71" s="4" t="str">
        <f ca="1">IFERROR(__xludf.DUMMYFUNCTION("""COMPUTED_VALUE"""),"1주(04~05)")</f>
        <v>1주(04~05)</v>
      </c>
      <c r="D71" s="5">
        <f ca="1">IFERROR(__xludf.DUMMYFUNCTION("""COMPUTED_VALUE"""),1006)</f>
        <v>1006</v>
      </c>
      <c r="E71" s="6">
        <f ca="1">IFERROR(__xludf.DUMMYFUNCTION("""COMPUTED_VALUE"""),0.46)</f>
        <v>0.46</v>
      </c>
      <c r="F71" s="6">
        <f ca="1">IFERROR(__xludf.DUMMYFUNCTION("""COMPUTED_VALUE"""),0.46)</f>
        <v>0.46</v>
      </c>
      <c r="G71" s="6">
        <f ca="1">IFERROR(__xludf.DUMMYFUNCTION("""COMPUTED_VALUE"""),0.04)</f>
        <v>0.04</v>
      </c>
      <c r="H71" s="6">
        <f ca="1">IFERROR(__xludf.DUMMYFUNCTION("""COMPUTED_VALUE"""),0.05)</f>
        <v>0.05</v>
      </c>
      <c r="I71" s="2" t="s">
        <v>134</v>
      </c>
    </row>
    <row r="72" spans="1:9" x14ac:dyDescent="0.25">
      <c r="A72" s="4" t="str">
        <f ca="1">IFERROR(__xludf.DUMMYFUNCTION("split(I73, "" "")"),"주간")</f>
        <v>주간</v>
      </c>
      <c r="B72" s="4" t="str">
        <f ca="1">IFERROR(__xludf.DUMMYFUNCTION("""COMPUTED_VALUE"""),"06월")</f>
        <v>06월</v>
      </c>
      <c r="C72" s="4" t="str">
        <f ca="1">IFERROR(__xludf.DUMMYFUNCTION("""COMPUTED_VALUE"""),"2주(11~13)")</f>
        <v>2주(11~13)</v>
      </c>
      <c r="D72" s="5">
        <f ca="1">IFERROR(__xludf.DUMMYFUNCTION("""COMPUTED_VALUE"""),1002)</f>
        <v>1002</v>
      </c>
      <c r="E72" s="6">
        <f ca="1">IFERROR(__xludf.DUMMYFUNCTION("""COMPUTED_VALUE"""),0.47)</f>
        <v>0.47</v>
      </c>
      <c r="F72" s="6">
        <f ca="1">IFERROR(__xludf.DUMMYFUNCTION("""COMPUTED_VALUE"""),0.44)</f>
        <v>0.44</v>
      </c>
      <c r="G72" s="6">
        <f ca="1">IFERROR(__xludf.DUMMYFUNCTION("""COMPUTED_VALUE"""),0.04)</f>
        <v>0.04</v>
      </c>
      <c r="H72" s="6">
        <f ca="1">IFERROR(__xludf.DUMMYFUNCTION("""COMPUTED_VALUE"""),0.06)</f>
        <v>0.06</v>
      </c>
      <c r="I72" s="2" t="s">
        <v>136</v>
      </c>
    </row>
    <row r="73" spans="1:9" x14ac:dyDescent="0.25">
      <c r="A73" s="4" t="str">
        <f ca="1">IFERROR(__xludf.DUMMYFUNCTION("split(I74, "" "")"),"주간")</f>
        <v>주간</v>
      </c>
      <c r="B73" s="4" t="str">
        <f ca="1">IFERROR(__xludf.DUMMYFUNCTION("""COMPUTED_VALUE"""),"06월")</f>
        <v>06월</v>
      </c>
      <c r="C73" s="4" t="str">
        <f ca="1">IFERROR(__xludf.DUMMYFUNCTION("""COMPUTED_VALUE"""),"3주(18~20)")</f>
        <v>3주(18~20)</v>
      </c>
      <c r="D73" s="5">
        <f ca="1">IFERROR(__xludf.DUMMYFUNCTION("""COMPUTED_VALUE"""),1005)</f>
        <v>1005</v>
      </c>
      <c r="E73" s="6">
        <f ca="1">IFERROR(__xludf.DUMMYFUNCTION("""COMPUTED_VALUE"""),0.45)</f>
        <v>0.45</v>
      </c>
      <c r="F73" s="6">
        <f ca="1">IFERROR(__xludf.DUMMYFUNCTION("""COMPUTED_VALUE"""),0.45)</f>
        <v>0.45</v>
      </c>
      <c r="G73" s="6">
        <f ca="1">IFERROR(__xludf.DUMMYFUNCTION("""COMPUTED_VALUE"""),0.04)</f>
        <v>0.04</v>
      </c>
      <c r="H73" s="6">
        <f ca="1">IFERROR(__xludf.DUMMYFUNCTION("""COMPUTED_VALUE"""),0.07)</f>
        <v>7.0000000000000007E-2</v>
      </c>
      <c r="I73" s="2" t="s">
        <v>138</v>
      </c>
    </row>
    <row r="74" spans="1:9" x14ac:dyDescent="0.25">
      <c r="A74" s="4" t="str">
        <f ca="1">IFERROR(__xludf.DUMMYFUNCTION("split(I75, "" "")"),"주간")</f>
        <v>주간</v>
      </c>
      <c r="B74" s="4" t="str">
        <f ca="1">IFERROR(__xludf.DUMMYFUNCTION("""COMPUTED_VALUE"""),"06월")</f>
        <v>06월</v>
      </c>
      <c r="C74" s="4" t="str">
        <f ca="1">IFERROR(__xludf.DUMMYFUNCTION("""COMPUTED_VALUE"""),"4주(25~27)")</f>
        <v>4주(25~27)</v>
      </c>
      <c r="D74" s="5">
        <f ca="1">IFERROR(__xludf.DUMMYFUNCTION("""COMPUTED_VALUE"""),1003)</f>
        <v>1003</v>
      </c>
      <c r="E74" s="6">
        <f ca="1">IFERROR(__xludf.DUMMYFUNCTION("""COMPUTED_VALUE"""),0.46)</f>
        <v>0.46</v>
      </c>
      <c r="F74" s="6">
        <f ca="1">IFERROR(__xludf.DUMMYFUNCTION("""COMPUTED_VALUE"""),0.45)</f>
        <v>0.45</v>
      </c>
      <c r="G74" s="6">
        <f ca="1">IFERROR(__xludf.DUMMYFUNCTION("""COMPUTED_VALUE"""),0.05)</f>
        <v>0.05</v>
      </c>
      <c r="H74" s="6">
        <f ca="1">IFERROR(__xludf.DUMMYFUNCTION("""COMPUTED_VALUE"""),0.05)</f>
        <v>0.05</v>
      </c>
      <c r="I74" s="2" t="s">
        <v>139</v>
      </c>
    </row>
    <row r="75" spans="1:9" x14ac:dyDescent="0.25">
      <c r="A75" s="4" t="str">
        <f ca="1">IFERROR(__xludf.DUMMYFUNCTION("split(I76, "" "")"),"주간")</f>
        <v>주간</v>
      </c>
      <c r="B75" s="4" t="str">
        <f ca="1">IFERROR(__xludf.DUMMYFUNCTION("""COMPUTED_VALUE"""),"07월")</f>
        <v>07월</v>
      </c>
      <c r="C75" s="4" t="str">
        <f ca="1">IFERROR(__xludf.DUMMYFUNCTION("""COMPUTED_VALUE"""),"1주(02~04)")</f>
        <v>1주(02~04)</v>
      </c>
      <c r="D75" s="5">
        <f ca="1">IFERROR(__xludf.DUMMYFUNCTION("""COMPUTED_VALUE"""),1008)</f>
        <v>1008</v>
      </c>
      <c r="E75" s="6">
        <f ca="1">IFERROR(__xludf.DUMMYFUNCTION("""COMPUTED_VALUE"""),0.49)</f>
        <v>0.49</v>
      </c>
      <c r="F75" s="6">
        <f ca="1">IFERROR(__xludf.DUMMYFUNCTION("""COMPUTED_VALUE"""),0.4)</f>
        <v>0.4</v>
      </c>
      <c r="G75" s="6">
        <f ca="1">IFERROR(__xludf.DUMMYFUNCTION("""COMPUTED_VALUE"""),0.05)</f>
        <v>0.05</v>
      </c>
      <c r="H75" s="6">
        <f ca="1">IFERROR(__xludf.DUMMYFUNCTION("""COMPUTED_VALUE"""),0.05)</f>
        <v>0.05</v>
      </c>
      <c r="I75" s="2" t="s">
        <v>141</v>
      </c>
    </row>
    <row r="76" spans="1:9" x14ac:dyDescent="0.25">
      <c r="A76" s="4" t="str">
        <f ca="1">IFERROR(__xludf.DUMMYFUNCTION("split(I77, "" "")"),"주간")</f>
        <v>주간</v>
      </c>
      <c r="B76" s="4" t="str">
        <f ca="1">IFERROR(__xludf.DUMMYFUNCTION("""COMPUTED_VALUE"""),"07월")</f>
        <v>07월</v>
      </c>
      <c r="C76" s="4" t="str">
        <f ca="1">IFERROR(__xludf.DUMMYFUNCTION("""COMPUTED_VALUE"""),"2주(09~11)")</f>
        <v>2주(09~11)</v>
      </c>
      <c r="D76" s="5">
        <f ca="1">IFERROR(__xludf.DUMMYFUNCTION("""COMPUTED_VALUE"""),1005)</f>
        <v>1005</v>
      </c>
      <c r="E76" s="6">
        <f ca="1">IFERROR(__xludf.DUMMYFUNCTION("""COMPUTED_VALUE"""),0.45)</f>
        <v>0.45</v>
      </c>
      <c r="F76" s="6">
        <f ca="1">IFERROR(__xludf.DUMMYFUNCTION("""COMPUTED_VALUE"""),0.45)</f>
        <v>0.45</v>
      </c>
      <c r="G76" s="6">
        <f ca="1">IFERROR(__xludf.DUMMYFUNCTION("""COMPUTED_VALUE"""),0.04)</f>
        <v>0.04</v>
      </c>
      <c r="H76" s="6">
        <f ca="1">IFERROR(__xludf.DUMMYFUNCTION("""COMPUTED_VALUE"""),0.05)</f>
        <v>0.05</v>
      </c>
      <c r="I76" s="2" t="s">
        <v>142</v>
      </c>
    </row>
    <row r="77" spans="1:9" x14ac:dyDescent="0.25">
      <c r="A77" s="4" t="str">
        <f ca="1">IFERROR(__xludf.DUMMYFUNCTION("split(I78, "" "")"),"주간")</f>
        <v>주간</v>
      </c>
      <c r="B77" s="4" t="str">
        <f ca="1">IFERROR(__xludf.DUMMYFUNCTION("""COMPUTED_VALUE"""),"07월")</f>
        <v>07월</v>
      </c>
      <c r="C77" s="4" t="str">
        <f ca="1">IFERROR(__xludf.DUMMYFUNCTION("""COMPUTED_VALUE"""),"3주(16~18)")</f>
        <v>3주(16~18)</v>
      </c>
      <c r="D77" s="5">
        <f ca="1">IFERROR(__xludf.DUMMYFUNCTION("""COMPUTED_VALUE"""),1002)</f>
        <v>1002</v>
      </c>
      <c r="E77" s="6">
        <f ca="1">IFERROR(__xludf.DUMMYFUNCTION("""COMPUTED_VALUE"""),0.48)</f>
        <v>0.48</v>
      </c>
      <c r="F77" s="6">
        <f ca="1">IFERROR(__xludf.DUMMYFUNCTION("""COMPUTED_VALUE"""),0.44)</f>
        <v>0.44</v>
      </c>
      <c r="G77" s="6">
        <f ca="1">IFERROR(__xludf.DUMMYFUNCTION("""COMPUTED_VALUE"""),0.04)</f>
        <v>0.04</v>
      </c>
      <c r="H77" s="6">
        <f ca="1">IFERROR(__xludf.DUMMYFUNCTION("""COMPUTED_VALUE"""),0.05)</f>
        <v>0.05</v>
      </c>
      <c r="I77" s="2" t="s">
        <v>144</v>
      </c>
    </row>
    <row r="78" spans="1:9" x14ac:dyDescent="0.25">
      <c r="A78" s="4" t="str">
        <f ca="1">IFERROR(__xludf.DUMMYFUNCTION("split(I79, "" "")"),"주간")</f>
        <v>주간</v>
      </c>
      <c r="B78" s="4" t="str">
        <f ca="1">IFERROR(__xludf.DUMMYFUNCTION("""COMPUTED_VALUE"""),"07월")</f>
        <v>07월</v>
      </c>
      <c r="C78" s="4" t="str">
        <f ca="1">IFERROR(__xludf.DUMMYFUNCTION("""COMPUTED_VALUE"""),"4주(23~25)")</f>
        <v>4주(23~25)</v>
      </c>
      <c r="D78" s="5">
        <f ca="1">IFERROR(__xludf.DUMMYFUNCTION("""COMPUTED_VALUE"""),1006)</f>
        <v>1006</v>
      </c>
      <c r="E78" s="6">
        <f ca="1">IFERROR(__xludf.DUMMYFUNCTION("""COMPUTED_VALUE"""),0.48)</f>
        <v>0.48</v>
      </c>
      <c r="F78" s="6">
        <f ca="1">IFERROR(__xludf.DUMMYFUNCTION("""COMPUTED_VALUE"""),0.42)</f>
        <v>0.42</v>
      </c>
      <c r="G78" s="6">
        <f ca="1">IFERROR(__xludf.DUMMYFUNCTION("""COMPUTED_VALUE"""),0.05)</f>
        <v>0.05</v>
      </c>
      <c r="H78" s="6">
        <f ca="1">IFERROR(__xludf.DUMMYFUNCTION("""COMPUTED_VALUE"""),0.05)</f>
        <v>0.05</v>
      </c>
      <c r="I78" s="2" t="s">
        <v>146</v>
      </c>
    </row>
    <row r="79" spans="1:9" x14ac:dyDescent="0.25">
      <c r="A79" s="4" t="str">
        <f ca="1">IFERROR(__xludf.DUMMYFUNCTION("split(I80, "" "")"),"주간")</f>
        <v>주간</v>
      </c>
      <c r="B79" s="4" t="str">
        <f ca="1">IFERROR(__xludf.DUMMYFUNCTION("""COMPUTED_VALUE"""),"8월")</f>
        <v>8월</v>
      </c>
      <c r="C79" s="4" t="str">
        <f ca="1">IFERROR(__xludf.DUMMYFUNCTION("""COMPUTED_VALUE"""),"1주(7/30~8/1)")</f>
        <v>1주(7/30~8/1)</v>
      </c>
      <c r="D79" s="5">
        <f ca="1">IFERROR(__xludf.DUMMYFUNCTION("""COMPUTED_VALUE"""),1002)</f>
        <v>1002</v>
      </c>
      <c r="E79" s="6">
        <f ca="1">IFERROR(__xludf.DUMMYFUNCTION("""COMPUTED_VALUE"""),0.48)</f>
        <v>0.48</v>
      </c>
      <c r="F79" s="6">
        <f ca="1">IFERROR(__xludf.DUMMYFUNCTION("""COMPUTED_VALUE"""),0.41)</f>
        <v>0.41</v>
      </c>
      <c r="G79" s="6">
        <f ca="1">IFERROR(__xludf.DUMMYFUNCTION("""COMPUTED_VALUE"""),0.03)</f>
        <v>0.03</v>
      </c>
      <c r="H79" s="6">
        <f ca="1">IFERROR(__xludf.DUMMYFUNCTION("""COMPUTED_VALUE"""),0.07)</f>
        <v>7.0000000000000007E-2</v>
      </c>
      <c r="I79" s="2" t="s">
        <v>148</v>
      </c>
    </row>
    <row r="80" spans="1:9" x14ac:dyDescent="0.25">
      <c r="A80" s="4" t="str">
        <f ca="1">IFERROR(__xludf.DUMMYFUNCTION("split(I81, "" "")"),"주간")</f>
        <v>주간</v>
      </c>
      <c r="B80" s="4" t="str">
        <f ca="1">IFERROR(__xludf.DUMMYFUNCTION("""COMPUTED_VALUE"""),"08월")</f>
        <v>08월</v>
      </c>
      <c r="C80" s="4" t="str">
        <f ca="1">IFERROR(__xludf.DUMMYFUNCTION("""COMPUTED_VALUE"""),"2주(06~08)")</f>
        <v>2주(06~08)</v>
      </c>
      <c r="D80" s="5">
        <f ca="1">IFERROR(__xludf.DUMMYFUNCTION("""COMPUTED_VALUE"""),1009)</f>
        <v>1009</v>
      </c>
      <c r="E80" s="6">
        <f ca="1">IFERROR(__xludf.DUMMYFUNCTION("""COMPUTED_VALUE"""),0.47)</f>
        <v>0.47</v>
      </c>
      <c r="F80" s="6">
        <f ca="1">IFERROR(__xludf.DUMMYFUNCTION("""COMPUTED_VALUE"""),0.43)</f>
        <v>0.43</v>
      </c>
      <c r="G80" s="6">
        <f ca="1">IFERROR(__xludf.DUMMYFUNCTION("""COMPUTED_VALUE"""),0.03)</f>
        <v>0.03</v>
      </c>
      <c r="H80" s="6">
        <f ca="1">IFERROR(__xludf.DUMMYFUNCTION("""COMPUTED_VALUE"""),0.07)</f>
        <v>7.0000000000000007E-2</v>
      </c>
      <c r="I80" s="2" t="s">
        <v>150</v>
      </c>
    </row>
    <row r="81" spans="1:9" x14ac:dyDescent="0.25">
      <c r="A81" s="4" t="str">
        <f ca="1">IFERROR(__xludf.DUMMYFUNCTION("split(I82, "" "")"),"주간")</f>
        <v>주간</v>
      </c>
      <c r="B81" s="4" t="str">
        <f ca="1">IFERROR(__xludf.DUMMYFUNCTION("""COMPUTED_VALUE"""),"08월")</f>
        <v>08월</v>
      </c>
      <c r="C81" s="4" t="str">
        <f ca="1">IFERROR(__xludf.DUMMYFUNCTION("""COMPUTED_VALUE"""),"3주(12~16)")</f>
        <v>3주(12~16)</v>
      </c>
      <c r="I81" s="2" t="s">
        <v>151</v>
      </c>
    </row>
    <row r="82" spans="1:9" x14ac:dyDescent="0.25">
      <c r="A82" s="4" t="str">
        <f ca="1">IFERROR(__xludf.DUMMYFUNCTION("split(I83, "" "")"),"주간")</f>
        <v>주간</v>
      </c>
      <c r="B82" s="4" t="str">
        <f ca="1">IFERROR(__xludf.DUMMYFUNCTION("""COMPUTED_VALUE"""),"08월")</f>
        <v>08월</v>
      </c>
      <c r="C82" s="4" t="str">
        <f ca="1">IFERROR(__xludf.DUMMYFUNCTION("""COMPUTED_VALUE"""),"4주(20~22)")</f>
        <v>4주(20~22)</v>
      </c>
      <c r="D82" s="5">
        <f ca="1">IFERROR(__xludf.DUMMYFUNCTION("""COMPUTED_VALUE"""),1002)</f>
        <v>1002</v>
      </c>
      <c r="E82" s="6">
        <f ca="1">IFERROR(__xludf.DUMMYFUNCTION("""COMPUTED_VALUE"""),0.45)</f>
        <v>0.45</v>
      </c>
      <c r="F82" s="6">
        <f ca="1">IFERROR(__xludf.DUMMYFUNCTION("""COMPUTED_VALUE"""),0.49)</f>
        <v>0.49</v>
      </c>
      <c r="G82" s="6">
        <f ca="1">IFERROR(__xludf.DUMMYFUNCTION("""COMPUTED_VALUE"""),0.03)</f>
        <v>0.03</v>
      </c>
      <c r="H82" s="6">
        <f ca="1">IFERROR(__xludf.DUMMYFUNCTION("""COMPUTED_VALUE"""),0.04)</f>
        <v>0.04</v>
      </c>
      <c r="I82" s="2" t="s">
        <v>153</v>
      </c>
    </row>
    <row r="83" spans="1:9" x14ac:dyDescent="0.25">
      <c r="A83" s="4" t="str">
        <f ca="1">IFERROR(__xludf.DUMMYFUNCTION("split(I84, "" "")"),"주간")</f>
        <v>주간</v>
      </c>
      <c r="B83" s="4" t="str">
        <f ca="1">IFERROR(__xludf.DUMMYFUNCTION("""COMPUTED_VALUE"""),"08월")</f>
        <v>08월</v>
      </c>
      <c r="C83" s="4" t="str">
        <f ca="1">IFERROR(__xludf.DUMMYFUNCTION("""COMPUTED_VALUE"""),"5주(27~29)")</f>
        <v>5주(27~29)</v>
      </c>
      <c r="D83" s="5">
        <f ca="1">IFERROR(__xludf.DUMMYFUNCTION("""COMPUTED_VALUE"""),1004)</f>
        <v>1004</v>
      </c>
      <c r="E83" s="6">
        <f ca="1">IFERROR(__xludf.DUMMYFUNCTION("""COMPUTED_VALUE"""),0.44)</f>
        <v>0.44</v>
      </c>
      <c r="F83" s="6">
        <f ca="1">IFERROR(__xludf.DUMMYFUNCTION("""COMPUTED_VALUE"""),0.49)</f>
        <v>0.49</v>
      </c>
      <c r="G83" s="6">
        <f ca="1">IFERROR(__xludf.DUMMYFUNCTION("""COMPUTED_VALUE"""),0.03)</f>
        <v>0.03</v>
      </c>
      <c r="H83" s="6">
        <f ca="1">IFERROR(__xludf.DUMMYFUNCTION("""COMPUTED_VALUE"""),0.04)</f>
        <v>0.04</v>
      </c>
      <c r="I83" s="2" t="s">
        <v>155</v>
      </c>
    </row>
    <row r="84" spans="1:9" x14ac:dyDescent="0.25">
      <c r="A84" s="4" t="str">
        <f ca="1">IFERROR(__xludf.DUMMYFUNCTION("split(I85, "" "")"),"주간")</f>
        <v>주간</v>
      </c>
      <c r="B84" s="4" t="str">
        <f ca="1">IFERROR(__xludf.DUMMYFUNCTION("""COMPUTED_VALUE"""),"09월")</f>
        <v>09월</v>
      </c>
      <c r="C84" s="4" t="str">
        <f ca="1">IFERROR(__xludf.DUMMYFUNCTION("""COMPUTED_VALUE"""),"1주(03~05)")</f>
        <v>1주(03~05)</v>
      </c>
      <c r="D84" s="5">
        <f ca="1">IFERROR(__xludf.DUMMYFUNCTION("""COMPUTED_VALUE"""),1002)</f>
        <v>1002</v>
      </c>
      <c r="E84" s="6">
        <f ca="1">IFERROR(__xludf.DUMMYFUNCTION("""COMPUTED_VALUE"""),0.43)</f>
        <v>0.43</v>
      </c>
      <c r="F84" s="6">
        <f ca="1">IFERROR(__xludf.DUMMYFUNCTION("""COMPUTED_VALUE"""),0.49)</f>
        <v>0.49</v>
      </c>
      <c r="G84" s="6">
        <f ca="1">IFERROR(__xludf.DUMMYFUNCTION("""COMPUTED_VALUE"""),0.03)</f>
        <v>0.03</v>
      </c>
      <c r="H84" s="6">
        <f ca="1">IFERROR(__xludf.DUMMYFUNCTION("""COMPUTED_VALUE"""),0.05)</f>
        <v>0.05</v>
      </c>
      <c r="I84" s="2" t="s">
        <v>157</v>
      </c>
    </row>
    <row r="85" spans="1:9" x14ac:dyDescent="0.25">
      <c r="A85" s="4" t="str">
        <f ca="1">IFERROR(__xludf.DUMMYFUNCTION("split(I86, "" "")"),"주간")</f>
        <v>주간</v>
      </c>
      <c r="B85" s="4" t="str">
        <f ca="1">IFERROR(__xludf.DUMMYFUNCTION("""COMPUTED_VALUE"""),"09월")</f>
        <v>09월</v>
      </c>
      <c r="C85" s="4" t="str">
        <f ca="1">IFERROR(__xludf.DUMMYFUNCTION("""COMPUTED_VALUE"""),"2주(09~13)")</f>
        <v>2주(09~13)</v>
      </c>
      <c r="I85" s="2" t="s">
        <v>158</v>
      </c>
    </row>
    <row r="86" spans="1:9" x14ac:dyDescent="0.25">
      <c r="A86" s="4" t="str">
        <f ca="1">IFERROR(__xludf.DUMMYFUNCTION("split(I87, "" "")"),"주간")</f>
        <v>주간</v>
      </c>
      <c r="B86" s="4" t="str">
        <f ca="1">IFERROR(__xludf.DUMMYFUNCTION("""COMPUTED_VALUE"""),"09월")</f>
        <v>09월</v>
      </c>
      <c r="C86" s="4" t="str">
        <f ca="1">IFERROR(__xludf.DUMMYFUNCTION("""COMPUTED_VALUE"""),"3주(17~19)")</f>
        <v>3주(17~19)</v>
      </c>
      <c r="D86" s="5">
        <f ca="1">IFERROR(__xludf.DUMMYFUNCTION("""COMPUTED_VALUE"""),1000)</f>
        <v>1000</v>
      </c>
      <c r="E86" s="6">
        <f ca="1">IFERROR(__xludf.DUMMYFUNCTION("""COMPUTED_VALUE"""),0.4)</f>
        <v>0.4</v>
      </c>
      <c r="F86" s="6">
        <f ca="1">IFERROR(__xludf.DUMMYFUNCTION("""COMPUTED_VALUE"""),0.53)</f>
        <v>0.53</v>
      </c>
      <c r="G86" s="6">
        <f ca="1">IFERROR(__xludf.DUMMYFUNCTION("""COMPUTED_VALUE"""),0.03)</f>
        <v>0.03</v>
      </c>
      <c r="H86" s="6">
        <f ca="1">IFERROR(__xludf.DUMMYFUNCTION("""COMPUTED_VALUE"""),0.04)</f>
        <v>0.04</v>
      </c>
      <c r="I86" s="2" t="s">
        <v>160</v>
      </c>
    </row>
    <row r="87" spans="1:9" x14ac:dyDescent="0.25">
      <c r="A87" s="4" t="str">
        <f ca="1">IFERROR(__xludf.DUMMYFUNCTION("split(I88, "" "")"),"주간")</f>
        <v>주간</v>
      </c>
      <c r="B87" s="4" t="str">
        <f ca="1">IFERROR(__xludf.DUMMYFUNCTION("""COMPUTED_VALUE"""),"09월")</f>
        <v>09월</v>
      </c>
      <c r="C87" s="4" t="str">
        <f ca="1">IFERROR(__xludf.DUMMYFUNCTION("""COMPUTED_VALUE"""),"4주(24~26)")</f>
        <v>4주(24~26)</v>
      </c>
      <c r="D87" s="5">
        <f ca="1">IFERROR(__xludf.DUMMYFUNCTION("""COMPUTED_VALUE"""),1002)</f>
        <v>1002</v>
      </c>
      <c r="E87" s="6">
        <f ca="1">IFERROR(__xludf.DUMMYFUNCTION("""COMPUTED_VALUE"""),0.41)</f>
        <v>0.41</v>
      </c>
      <c r="F87" s="6">
        <f ca="1">IFERROR(__xludf.DUMMYFUNCTION("""COMPUTED_VALUE"""),0.5)</f>
        <v>0.5</v>
      </c>
      <c r="G87" s="6">
        <f ca="1">IFERROR(__xludf.DUMMYFUNCTION("""COMPUTED_VALUE"""),0.03)</f>
        <v>0.03</v>
      </c>
      <c r="H87" s="6">
        <f ca="1">IFERROR(__xludf.DUMMYFUNCTION("""COMPUTED_VALUE"""),0.06)</f>
        <v>0.06</v>
      </c>
      <c r="I87" s="2" t="s">
        <v>162</v>
      </c>
    </row>
    <row r="88" spans="1:9" x14ac:dyDescent="0.25">
      <c r="A88" s="4" t="str">
        <f ca="1">IFERROR(__xludf.DUMMYFUNCTION("split(I89, "" "")"),"주간")</f>
        <v>주간</v>
      </c>
      <c r="B88" s="4" t="str">
        <f ca="1">IFERROR(__xludf.DUMMYFUNCTION("""COMPUTED_VALUE"""),"10월")</f>
        <v>10월</v>
      </c>
      <c r="C88" s="4" t="str">
        <f ca="1">IFERROR(__xludf.DUMMYFUNCTION("""COMPUTED_VALUE"""),"1주(01~02)")</f>
        <v>1주(01~02)</v>
      </c>
      <c r="D88" s="5">
        <f ca="1">IFERROR(__xludf.DUMMYFUNCTION("""COMPUTED_VALUE"""),1004)</f>
        <v>1004</v>
      </c>
      <c r="E88" s="6">
        <f ca="1">IFERROR(__xludf.DUMMYFUNCTION("""COMPUTED_VALUE"""),0.42)</f>
        <v>0.42</v>
      </c>
      <c r="F88" s="6">
        <f ca="1">IFERROR(__xludf.DUMMYFUNCTION("""COMPUTED_VALUE"""),0.51)</f>
        <v>0.51</v>
      </c>
      <c r="G88" s="6">
        <f ca="1">IFERROR(__xludf.DUMMYFUNCTION("""COMPUTED_VALUE"""),0.02)</f>
        <v>0.02</v>
      </c>
      <c r="H88" s="6">
        <f ca="1">IFERROR(__xludf.DUMMYFUNCTION("""COMPUTED_VALUE"""),0.04)</f>
        <v>0.04</v>
      </c>
      <c r="I88" s="2" t="s">
        <v>164</v>
      </c>
    </row>
    <row r="89" spans="1:9" x14ac:dyDescent="0.25">
      <c r="A89" s="4" t="str">
        <f ca="1">IFERROR(__xludf.DUMMYFUNCTION("split(I90, "" "")"),"주간")</f>
        <v>주간</v>
      </c>
      <c r="B89" s="4" t="str">
        <f ca="1">IFERROR(__xludf.DUMMYFUNCTION("""COMPUTED_VALUE"""),"10월")</f>
        <v>10월</v>
      </c>
      <c r="C89" s="4" t="str">
        <f ca="1">IFERROR(__xludf.DUMMYFUNCTION("""COMPUTED_VALUE"""),"2주(0810)")</f>
        <v>2주(0810)</v>
      </c>
      <c r="D89" s="5">
        <f ca="1">IFERROR(__xludf.DUMMYFUNCTION("""COMPUTED_VALUE"""),1002)</f>
        <v>1002</v>
      </c>
      <c r="E89" s="6">
        <f ca="1">IFERROR(__xludf.DUMMYFUNCTION("""COMPUTED_VALUE"""),0.43)</f>
        <v>0.43</v>
      </c>
      <c r="F89" s="6">
        <f ca="1">IFERROR(__xludf.DUMMYFUNCTION("""COMPUTED_VALUE"""),0.51)</f>
        <v>0.51</v>
      </c>
      <c r="G89" s="6">
        <f ca="1">IFERROR(__xludf.DUMMYFUNCTION("""COMPUTED_VALUE"""),0.03)</f>
        <v>0.03</v>
      </c>
      <c r="H89" s="6">
        <f ca="1">IFERROR(__xludf.DUMMYFUNCTION("""COMPUTED_VALUE"""),0.04)</f>
        <v>0.04</v>
      </c>
      <c r="I89" s="2" t="s">
        <v>165</v>
      </c>
    </row>
    <row r="90" spans="1:9" x14ac:dyDescent="0.25">
      <c r="A90" s="4" t="str">
        <f ca="1">IFERROR(__xludf.DUMMYFUNCTION("split(I91, "" "")"),"주간")</f>
        <v>주간</v>
      </c>
      <c r="B90" s="4" t="str">
        <f ca="1">IFERROR(__xludf.DUMMYFUNCTION("""COMPUTED_VALUE"""),"10월")</f>
        <v>10월</v>
      </c>
      <c r="C90" s="4" t="str">
        <f ca="1">IFERROR(__xludf.DUMMYFUNCTION("""COMPUTED_VALUE"""),"3주(15~17)")</f>
        <v>3주(15~17)</v>
      </c>
      <c r="D90" s="5">
        <f ca="1">IFERROR(__xludf.DUMMYFUNCTION("""COMPUTED_VALUE"""),1004)</f>
        <v>1004</v>
      </c>
      <c r="E90" s="6">
        <f ca="1">IFERROR(__xludf.DUMMYFUNCTION("""COMPUTED_VALUE"""),0.39)</f>
        <v>0.39</v>
      </c>
      <c r="F90" s="6">
        <f ca="1">IFERROR(__xludf.DUMMYFUNCTION("""COMPUTED_VALUE"""),0.53)</f>
        <v>0.53</v>
      </c>
      <c r="G90" s="6">
        <f ca="1">IFERROR(__xludf.DUMMYFUNCTION("""COMPUTED_VALUE"""),0.03)</f>
        <v>0.03</v>
      </c>
      <c r="H90" s="6">
        <f ca="1">IFERROR(__xludf.DUMMYFUNCTION("""COMPUTED_VALUE"""),0.05)</f>
        <v>0.05</v>
      </c>
      <c r="I90" s="2" t="s">
        <v>167</v>
      </c>
    </row>
    <row r="91" spans="1:9" x14ac:dyDescent="0.25">
      <c r="A91" s="4" t="str">
        <f ca="1">IFERROR(__xludf.DUMMYFUNCTION("split(I92, "" "")"),"주간")</f>
        <v>주간</v>
      </c>
      <c r="B91" s="4" t="str">
        <f ca="1">IFERROR(__xludf.DUMMYFUNCTION("""COMPUTED_VALUE"""),"10월")</f>
        <v>10월</v>
      </c>
      <c r="C91" s="4" t="str">
        <f ca="1">IFERROR(__xludf.DUMMYFUNCTION("""COMPUTED_VALUE"""),"4주(22~24)")</f>
        <v>4주(22~24)</v>
      </c>
      <c r="D91" s="5">
        <f ca="1">IFERROR(__xludf.DUMMYFUNCTION("""COMPUTED_VALUE"""),1001)</f>
        <v>1001</v>
      </c>
      <c r="E91" s="6">
        <f ca="1">IFERROR(__xludf.DUMMYFUNCTION("""COMPUTED_VALUE"""),0.41)</f>
        <v>0.41</v>
      </c>
      <c r="F91" s="6">
        <f ca="1">IFERROR(__xludf.DUMMYFUNCTION("""COMPUTED_VALUE"""),0.5)</f>
        <v>0.5</v>
      </c>
      <c r="G91" s="6">
        <f ca="1">IFERROR(__xludf.DUMMYFUNCTION("""COMPUTED_VALUE"""),0.03)</f>
        <v>0.03</v>
      </c>
      <c r="H91" s="6">
        <f ca="1">IFERROR(__xludf.DUMMYFUNCTION("""COMPUTED_VALUE"""),0.05)</f>
        <v>0.05</v>
      </c>
      <c r="I91" s="2" t="s">
        <v>169</v>
      </c>
    </row>
    <row r="92" spans="1:9" x14ac:dyDescent="0.25">
      <c r="A92" s="4" t="str">
        <f ca="1">IFERROR(__xludf.DUMMYFUNCTION("split(I93, "" "")"),"주간")</f>
        <v>주간</v>
      </c>
      <c r="B92" s="4" t="str">
        <f ca="1">IFERROR(__xludf.DUMMYFUNCTION("""COMPUTED_VALUE"""),"10월")</f>
        <v>10월</v>
      </c>
      <c r="C92" s="4" t="str">
        <f ca="1">IFERROR(__xludf.DUMMYFUNCTION("""COMPUTED_VALUE"""),"5주(29~31)")</f>
        <v>5주(29~31)</v>
      </c>
      <c r="D92" s="5">
        <f ca="1">IFERROR(__xludf.DUMMYFUNCTION("""COMPUTED_VALUE"""),1000)</f>
        <v>1000</v>
      </c>
      <c r="E92" s="6">
        <f ca="1">IFERROR(__xludf.DUMMYFUNCTION("""COMPUTED_VALUE"""),0.44)</f>
        <v>0.44</v>
      </c>
      <c r="F92" s="6">
        <f ca="1">IFERROR(__xludf.DUMMYFUNCTION("""COMPUTED_VALUE"""),0.47)</f>
        <v>0.47</v>
      </c>
      <c r="G92" s="6">
        <f ca="1">IFERROR(__xludf.DUMMYFUNCTION("""COMPUTED_VALUE"""),0.03)</f>
        <v>0.03</v>
      </c>
      <c r="H92" s="6">
        <f ca="1">IFERROR(__xludf.DUMMYFUNCTION("""COMPUTED_VALUE"""),0.05)</f>
        <v>0.05</v>
      </c>
      <c r="I92" s="2" t="s">
        <v>170</v>
      </c>
    </row>
    <row r="93" spans="1:9" x14ac:dyDescent="0.25">
      <c r="A93" s="4" t="str">
        <f ca="1">IFERROR(__xludf.DUMMYFUNCTION("split(I94, "" "")"),"주간")</f>
        <v>주간</v>
      </c>
      <c r="B93" s="4" t="str">
        <f ca="1">IFERROR(__xludf.DUMMYFUNCTION("""COMPUTED_VALUE"""),"11월")</f>
        <v>11월</v>
      </c>
      <c r="C93" s="4" t="str">
        <f ca="1">IFERROR(__xludf.DUMMYFUNCTION("""COMPUTED_VALUE"""),"1주(05~07)")</f>
        <v>1주(05~07)</v>
      </c>
      <c r="D93" s="5">
        <f ca="1">IFERROR(__xludf.DUMMYFUNCTION("""COMPUTED_VALUE"""),1003)</f>
        <v>1003</v>
      </c>
      <c r="E93" s="6">
        <f ca="1">IFERROR(__xludf.DUMMYFUNCTION("""COMPUTED_VALUE"""),0.45)</f>
        <v>0.45</v>
      </c>
      <c r="F93" s="6">
        <f ca="1">IFERROR(__xludf.DUMMYFUNCTION("""COMPUTED_VALUE"""),0.47)</f>
        <v>0.47</v>
      </c>
      <c r="G93" s="6">
        <f ca="1">IFERROR(__xludf.DUMMYFUNCTION("""COMPUTED_VALUE"""),0.03)</f>
        <v>0.03</v>
      </c>
      <c r="H93" s="6">
        <f ca="1">IFERROR(__xludf.DUMMYFUNCTION("""COMPUTED_VALUE"""),0.05)</f>
        <v>0.05</v>
      </c>
      <c r="I93" s="2" t="s">
        <v>172</v>
      </c>
    </row>
    <row r="94" spans="1:9" x14ac:dyDescent="0.25">
      <c r="A94" s="4" t="str">
        <f ca="1">IFERROR(__xludf.DUMMYFUNCTION("split(I95, "" "")"),"주간")</f>
        <v>주간</v>
      </c>
      <c r="B94" s="4" t="str">
        <f ca="1">IFERROR(__xludf.DUMMYFUNCTION("""COMPUTED_VALUE"""),"11월")</f>
        <v>11월</v>
      </c>
      <c r="C94" s="4" t="str">
        <f ca="1">IFERROR(__xludf.DUMMYFUNCTION("""COMPUTED_VALUE"""),"2주(12~14)")</f>
        <v>2주(12~14)</v>
      </c>
      <c r="D94" s="5">
        <f ca="1">IFERROR(__xludf.DUMMYFUNCTION("""COMPUTED_VALUE"""),1002)</f>
        <v>1002</v>
      </c>
      <c r="E94" s="6">
        <f ca="1">IFERROR(__xludf.DUMMYFUNCTION("""COMPUTED_VALUE"""),0.46)</f>
        <v>0.46</v>
      </c>
      <c r="F94" s="6">
        <f ca="1">IFERROR(__xludf.DUMMYFUNCTION("""COMPUTED_VALUE"""),0.46)</f>
        <v>0.46</v>
      </c>
      <c r="G94" s="6">
        <f ca="1">IFERROR(__xludf.DUMMYFUNCTION("""COMPUTED_VALUE"""),0.05)</f>
        <v>0.05</v>
      </c>
      <c r="H94" s="6">
        <f ca="1">IFERROR(__xludf.DUMMYFUNCTION("""COMPUTED_VALUE"""),0.04)</f>
        <v>0.04</v>
      </c>
      <c r="I94" s="2" t="s">
        <v>174</v>
      </c>
    </row>
    <row r="95" spans="1:9" x14ac:dyDescent="0.25">
      <c r="A95" s="4" t="str">
        <f ca="1">IFERROR(__xludf.DUMMYFUNCTION("split(I96, "" "")"),"주간")</f>
        <v>주간</v>
      </c>
      <c r="B95" s="4" t="str">
        <f ca="1">IFERROR(__xludf.DUMMYFUNCTION("""COMPUTED_VALUE"""),"11월")</f>
        <v>11월</v>
      </c>
      <c r="C95" s="4" t="str">
        <f ca="1">IFERROR(__xludf.DUMMYFUNCTION("""COMPUTED_VALUE"""),"3주(19~21)")</f>
        <v>3주(19~21)</v>
      </c>
      <c r="D95" s="5">
        <f ca="1">IFERROR(__xludf.DUMMYFUNCTION("""COMPUTED_VALUE"""),1001)</f>
        <v>1001</v>
      </c>
      <c r="E95" s="6">
        <f ca="1">IFERROR(__xludf.DUMMYFUNCTION("""COMPUTED_VALUE"""),0.45)</f>
        <v>0.45</v>
      </c>
      <c r="F95" s="6">
        <f ca="1">IFERROR(__xludf.DUMMYFUNCTION("""COMPUTED_VALUE"""),0.48)</f>
        <v>0.48</v>
      </c>
      <c r="G95" s="6">
        <f ca="1">IFERROR(__xludf.DUMMYFUNCTION("""COMPUTED_VALUE"""),0.03)</f>
        <v>0.03</v>
      </c>
      <c r="H95" s="6">
        <f ca="1">IFERROR(__xludf.DUMMYFUNCTION("""COMPUTED_VALUE"""),0.05)</f>
        <v>0.05</v>
      </c>
      <c r="I95" s="2" t="s">
        <v>175</v>
      </c>
    </row>
    <row r="96" spans="1:9" x14ac:dyDescent="0.25">
      <c r="B96" s="4" t="str">
        <f ca="1">IFERROR(__xludf.DUMMYFUNCTION("split(I97, "" "")"),"11월")</f>
        <v>11월</v>
      </c>
      <c r="C96" s="4" t="str">
        <f ca="1">IFERROR(__xludf.DUMMYFUNCTION("""COMPUTED_VALUE"""),"4주(26~28)")</f>
        <v>4주(26~28)</v>
      </c>
      <c r="D96" s="5">
        <f ca="1">IFERROR(__xludf.DUMMYFUNCTION("""COMPUTED_VALUE"""),1001)</f>
        <v>1001</v>
      </c>
      <c r="E96" s="6">
        <f ca="1">IFERROR(__xludf.DUMMYFUNCTION("""COMPUTED_VALUE"""),0.46)</f>
        <v>0.46</v>
      </c>
      <c r="F96" s="6">
        <f ca="1">IFERROR(__xludf.DUMMYFUNCTION("""COMPUTED_VALUE"""),0.46)</f>
        <v>0.46</v>
      </c>
      <c r="G96" s="6">
        <f ca="1">IFERROR(__xludf.DUMMYFUNCTION("""COMPUTED_VALUE"""),0.04)</f>
        <v>0.04</v>
      </c>
      <c r="H96" s="6">
        <f ca="1">IFERROR(__xludf.DUMMYFUNCTION("""COMPUTED_VALUE"""),0.04)</f>
        <v>0.04</v>
      </c>
      <c r="I96" s="2" t="s">
        <v>177</v>
      </c>
    </row>
    <row r="97" spans="2:9" x14ac:dyDescent="0.25">
      <c r="B97" s="4" t="str">
        <f ca="1">IFERROR(__xludf.DUMMYFUNCTION("split(I98, "" "")"),"12월")</f>
        <v>12월</v>
      </c>
      <c r="C97" s="4" t="str">
        <f ca="1">IFERROR(__xludf.DUMMYFUNCTION("""COMPUTED_VALUE"""),"1주(03~05)")</f>
        <v>1주(03~05)</v>
      </c>
      <c r="D97" s="5">
        <f ca="1">IFERROR(__xludf.DUMMYFUNCTION("""COMPUTED_VALUE"""),1006)</f>
        <v>1006</v>
      </c>
      <c r="E97" s="6">
        <f ca="1">IFERROR(__xludf.DUMMYFUNCTION("""COMPUTED_VALUE"""),0.48)</f>
        <v>0.48</v>
      </c>
      <c r="F97" s="6">
        <f ca="1">IFERROR(__xludf.DUMMYFUNCTION("""COMPUTED_VALUE"""),0.45)</f>
        <v>0.45</v>
      </c>
      <c r="G97" s="6">
        <f ca="1">IFERROR(__xludf.DUMMYFUNCTION("""COMPUTED_VALUE"""),0.03)</f>
        <v>0.03</v>
      </c>
      <c r="H97" s="6">
        <f ca="1">IFERROR(__xludf.DUMMYFUNCTION("""COMPUTED_VALUE"""),0.04)</f>
        <v>0.04</v>
      </c>
      <c r="I97" s="2" t="s">
        <v>179</v>
      </c>
    </row>
    <row r="98" spans="2:9" x14ac:dyDescent="0.25">
      <c r="B98" s="4" t="str">
        <f ca="1">IFERROR(__xludf.DUMMYFUNCTION("split(I99, "" "")"),"12월")</f>
        <v>12월</v>
      </c>
      <c r="C98" s="4" t="str">
        <f ca="1">IFERROR(__xludf.DUMMYFUNCTION("""COMPUTED_VALUE"""),"2주(10~12)")</f>
        <v>2주(10~12)</v>
      </c>
      <c r="D98" s="5">
        <f ca="1">IFERROR(__xludf.DUMMYFUNCTION("""COMPUTED_VALUE"""),1001)</f>
        <v>1001</v>
      </c>
      <c r="E98" s="6">
        <f ca="1">IFERROR(__xludf.DUMMYFUNCTION("""COMPUTED_VALUE"""),0.49)</f>
        <v>0.49</v>
      </c>
      <c r="F98" s="6">
        <f ca="1">IFERROR(__xludf.DUMMYFUNCTION("""COMPUTED_VALUE"""),0.43)</f>
        <v>0.43</v>
      </c>
      <c r="G98" s="6">
        <f ca="1">IFERROR(__xludf.DUMMYFUNCTION("""COMPUTED_VALUE"""),0.04)</f>
        <v>0.04</v>
      </c>
      <c r="H98" s="6">
        <f ca="1">IFERROR(__xludf.DUMMYFUNCTION("""COMPUTED_VALUE"""),0.04)</f>
        <v>0.04</v>
      </c>
      <c r="I98" s="2" t="s">
        <v>181</v>
      </c>
    </row>
    <row r="99" spans="2:9" x14ac:dyDescent="0.25">
      <c r="B99" s="4" t="str">
        <f ca="1">IFERROR(__xludf.DUMMYFUNCTION("split(I100, "" "")"),"12월")</f>
        <v>12월</v>
      </c>
      <c r="C99" s="4" t="str">
        <f ca="1">IFERROR(__xludf.DUMMYFUNCTION("""COMPUTED_VALUE"""),"3주(17~19)")</f>
        <v>3주(17~19)</v>
      </c>
      <c r="D99" s="5">
        <f ca="1">IFERROR(__xludf.DUMMYFUNCTION("""COMPUTED_VALUE"""),1002)</f>
        <v>1002</v>
      </c>
      <c r="E99" s="6">
        <f ca="1">IFERROR(__xludf.DUMMYFUNCTION("""COMPUTED_VALUE"""),0.44)</f>
        <v>0.44</v>
      </c>
      <c r="F99" s="6">
        <f ca="1">IFERROR(__xludf.DUMMYFUNCTION("""COMPUTED_VALUE"""),0.46)</f>
        <v>0.46</v>
      </c>
      <c r="G99" s="6">
        <f ca="1">IFERROR(__xludf.DUMMYFUNCTION("""COMPUTED_VALUE"""),0.03)</f>
        <v>0.03</v>
      </c>
      <c r="H99" s="6">
        <f ca="1">IFERROR(__xludf.DUMMYFUNCTION("""COMPUTED_VALUE"""),0.06)</f>
        <v>0.06</v>
      </c>
      <c r="I99" s="2" t="s">
        <v>183</v>
      </c>
    </row>
    <row r="100" spans="2:9" x14ac:dyDescent="0.25">
      <c r="B100" s="4" t="str">
        <f ca="1">IFERROR(__xludf.DUMMYFUNCTION("split(I101, "" "")"),"12월")</f>
        <v>12월</v>
      </c>
      <c r="C100" s="4" t="str">
        <f ca="1">IFERROR(__xludf.DUMMYFUNCTION("""COMPUTED_VALUE"""),"4주(23~27)")</f>
        <v>4주(23~27)</v>
      </c>
      <c r="I100" s="2" t="s">
        <v>184</v>
      </c>
    </row>
    <row r="101" spans="2:9" x14ac:dyDescent="0.25">
      <c r="B101" s="4" t="str">
        <f ca="1">IFERROR(__xludf.DUMMYFUNCTION("split(I102, "" "")"),"01월")</f>
        <v>01월</v>
      </c>
      <c r="C101" s="4" t="str">
        <f ca="1">IFERROR(__xludf.DUMMYFUNCTION("""COMPUTED_VALUE"""),"1주(30~03)")</f>
        <v>1주(30~03)</v>
      </c>
      <c r="I101" s="2" t="s">
        <v>185</v>
      </c>
    </row>
    <row r="102" spans="2:9" x14ac:dyDescent="0.25">
      <c r="B102" s="4" t="str">
        <f ca="1">IFERROR(__xludf.DUMMYFUNCTION("split(I103, "" "")"),"01월")</f>
        <v>01월</v>
      </c>
      <c r="C102" s="4" t="str">
        <f ca="1">IFERROR(__xludf.DUMMYFUNCTION("""COMPUTED_VALUE"""),"2주(07~09)")</f>
        <v>2주(07~09)</v>
      </c>
      <c r="D102" s="5">
        <f ca="1">IFERROR(__xludf.DUMMYFUNCTION("""COMPUTED_VALUE"""),1000)</f>
        <v>1000</v>
      </c>
      <c r="E102" s="6">
        <f ca="1">IFERROR(__xludf.DUMMYFUNCTION("""COMPUTED_VALUE"""),0.47)</f>
        <v>0.47</v>
      </c>
      <c r="F102" s="6">
        <f ca="1">IFERROR(__xludf.DUMMYFUNCTION("""COMPUTED_VALUE"""),0.43)</f>
        <v>0.43</v>
      </c>
      <c r="G102" s="6">
        <f ca="1">IFERROR(__xludf.DUMMYFUNCTION("""COMPUTED_VALUE"""),0.05)</f>
        <v>0.05</v>
      </c>
      <c r="H102" s="6">
        <f ca="1">IFERROR(__xludf.DUMMYFUNCTION("""COMPUTED_VALUE"""),0.05)</f>
        <v>0.05</v>
      </c>
      <c r="I102" s="2" t="s">
        <v>187</v>
      </c>
    </row>
    <row r="103" spans="2:9" x14ac:dyDescent="0.25">
      <c r="B103" s="4" t="str">
        <f ca="1">IFERROR(__xludf.DUMMYFUNCTION("split(I104, "" "")"),"01월")</f>
        <v>01월</v>
      </c>
      <c r="C103" s="4" t="str">
        <f ca="1">IFERROR(__xludf.DUMMYFUNCTION("""COMPUTED_VALUE"""),"3주(14~16)")</f>
        <v>3주(14~16)</v>
      </c>
      <c r="D103" s="5">
        <f ca="1">IFERROR(__xludf.DUMMYFUNCTION("""COMPUTED_VALUE"""),1000)</f>
        <v>1000</v>
      </c>
      <c r="E103" s="6">
        <f ca="1">IFERROR(__xludf.DUMMYFUNCTION("""COMPUTED_VALUE"""),0.45)</f>
        <v>0.45</v>
      </c>
      <c r="F103" s="6">
        <f ca="1">IFERROR(__xludf.DUMMYFUNCTION("""COMPUTED_VALUE"""),0.46)</f>
        <v>0.46</v>
      </c>
      <c r="G103" s="6">
        <f ca="1">IFERROR(__xludf.DUMMYFUNCTION("""COMPUTED_VALUE"""),0.04)</f>
        <v>0.04</v>
      </c>
      <c r="H103" s="6">
        <f ca="1">IFERROR(__xludf.DUMMYFUNCTION("""COMPUTED_VALUE"""),0.06)</f>
        <v>0.06</v>
      </c>
      <c r="I103" s="2" t="s">
        <v>189</v>
      </c>
    </row>
    <row r="104" spans="2:9" x14ac:dyDescent="0.25">
      <c r="B104" s="4" t="str">
        <f ca="1">IFERROR(__xludf.DUMMYFUNCTION("split(I105, "" "")"),"01월")</f>
        <v>01월</v>
      </c>
      <c r="C104" s="4" t="str">
        <f ca="1">IFERROR(__xludf.DUMMYFUNCTION("""COMPUTED_VALUE"""),"4주(20~24)")</f>
        <v>4주(20~24)</v>
      </c>
      <c r="I104" s="2" t="s">
        <v>190</v>
      </c>
    </row>
    <row r="105" spans="2:9" x14ac:dyDescent="0.25">
      <c r="B105" s="4" t="str">
        <f ca="1">IFERROR(__xludf.DUMMYFUNCTION("split(I106, "" "")"),"01월")</f>
        <v>01월</v>
      </c>
      <c r="C105" s="4" t="str">
        <f ca="1">IFERROR(__xludf.DUMMYFUNCTION("""COMPUTED_VALUE"""),"5주(28~30)")</f>
        <v>5주(28~30)</v>
      </c>
      <c r="D105" s="5">
        <f ca="1">IFERROR(__xludf.DUMMYFUNCTION("""COMPUTED_VALUE"""),1000)</f>
        <v>1000</v>
      </c>
      <c r="E105" s="6">
        <f ca="1">IFERROR(__xludf.DUMMYFUNCTION("""COMPUTED_VALUE"""),0.41)</f>
        <v>0.41</v>
      </c>
      <c r="F105" s="6">
        <f ca="1">IFERROR(__xludf.DUMMYFUNCTION("""COMPUTED_VALUE"""),0.5)</f>
        <v>0.5</v>
      </c>
      <c r="G105" s="6">
        <f ca="1">IFERROR(__xludf.DUMMYFUNCTION("""COMPUTED_VALUE"""),0.03)</f>
        <v>0.03</v>
      </c>
      <c r="H105" s="6">
        <f ca="1">IFERROR(__xludf.DUMMYFUNCTION("""COMPUTED_VALUE"""),0.06)</f>
        <v>0.06</v>
      </c>
      <c r="I105" s="2" t="s">
        <v>192</v>
      </c>
    </row>
    <row r="106" spans="2:9" x14ac:dyDescent="0.25">
      <c r="B106" s="4" t="str">
        <f ca="1">IFERROR(__xludf.DUMMYFUNCTION("split(I107, "" "")"),"02월")</f>
        <v>02월</v>
      </c>
      <c r="C106" s="4" t="str">
        <f ca="1">IFERROR(__xludf.DUMMYFUNCTION("""COMPUTED_VALUE"""),"1주(04~06)")</f>
        <v>1주(04~06)</v>
      </c>
      <c r="D106" s="5">
        <f ca="1">IFERROR(__xludf.DUMMYFUNCTION("""COMPUTED_VALUE"""),1000)</f>
        <v>1000</v>
      </c>
      <c r="E106" s="6">
        <f ca="1">IFERROR(__xludf.DUMMYFUNCTION("""COMPUTED_VALUE"""),0.44)</f>
        <v>0.44</v>
      </c>
      <c r="F106" s="6">
        <f ca="1">IFERROR(__xludf.DUMMYFUNCTION("""COMPUTED_VALUE"""),0.49)</f>
        <v>0.49</v>
      </c>
      <c r="G106" s="6">
        <f ca="1">IFERROR(__xludf.DUMMYFUNCTION("""COMPUTED_VALUE"""),0.03)</f>
        <v>0.03</v>
      </c>
      <c r="H106" s="6">
        <f ca="1">IFERROR(__xludf.DUMMYFUNCTION("""COMPUTED_VALUE"""),0.05)</f>
        <v>0.05</v>
      </c>
      <c r="I106" s="2" t="s">
        <v>193</v>
      </c>
    </row>
    <row r="107" spans="2:9" x14ac:dyDescent="0.25">
      <c r="B107" s="4" t="str">
        <f ca="1">IFERROR(__xludf.DUMMYFUNCTION("split(I108, "" "")"),"02월")</f>
        <v>02월</v>
      </c>
      <c r="C107" s="4" t="str">
        <f ca="1">IFERROR(__xludf.DUMMYFUNCTION("""COMPUTED_VALUE"""),"2주(11~13)")</f>
        <v>2주(11~13)</v>
      </c>
      <c r="D107" s="5">
        <f ca="1">IFERROR(__xludf.DUMMYFUNCTION("""COMPUTED_VALUE"""),1001)</f>
        <v>1001</v>
      </c>
      <c r="E107" s="6">
        <f ca="1">IFERROR(__xludf.DUMMYFUNCTION("""COMPUTED_VALUE"""),0.44)</f>
        <v>0.44</v>
      </c>
      <c r="F107" s="6">
        <f ca="1">IFERROR(__xludf.DUMMYFUNCTION("""COMPUTED_VALUE"""),0.49)</f>
        <v>0.49</v>
      </c>
      <c r="G107" s="6">
        <f ca="1">IFERROR(__xludf.DUMMYFUNCTION("""COMPUTED_VALUE"""),0.02)</f>
        <v>0.02</v>
      </c>
      <c r="H107" s="6">
        <f ca="1">IFERROR(__xludf.DUMMYFUNCTION("""COMPUTED_VALUE"""),0.05)</f>
        <v>0.05</v>
      </c>
      <c r="I107" s="2" t="s">
        <v>195</v>
      </c>
    </row>
    <row r="108" spans="2:9" x14ac:dyDescent="0.25">
      <c r="B108" s="4" t="str">
        <f ca="1">IFERROR(__xludf.DUMMYFUNCTION("split(I109, "" "")"),"02월")</f>
        <v>02월</v>
      </c>
      <c r="C108" s="4" t="str">
        <f ca="1">IFERROR(__xludf.DUMMYFUNCTION("""COMPUTED_VALUE"""),"3주(18~20)")</f>
        <v>3주(18~20)</v>
      </c>
      <c r="D108" s="5">
        <f ca="1">IFERROR(__xludf.DUMMYFUNCTION("""COMPUTED_VALUE"""),1002)</f>
        <v>1002</v>
      </c>
      <c r="E108" s="6">
        <f ca="1">IFERROR(__xludf.DUMMYFUNCTION("""COMPUTED_VALUE"""),0.45)</f>
        <v>0.45</v>
      </c>
      <c r="F108" s="6">
        <f ca="1">IFERROR(__xludf.DUMMYFUNCTION("""COMPUTED_VALUE"""),0.46)</f>
        <v>0.46</v>
      </c>
      <c r="G108" s="6">
        <f ca="1">IFERROR(__xludf.DUMMYFUNCTION("""COMPUTED_VALUE"""),0.03)</f>
        <v>0.03</v>
      </c>
      <c r="H108" s="6">
        <f ca="1">IFERROR(__xludf.DUMMYFUNCTION("""COMPUTED_VALUE"""),0.05)</f>
        <v>0.05</v>
      </c>
      <c r="I108" s="2" t="s">
        <v>197</v>
      </c>
    </row>
    <row r="109" spans="2:9" x14ac:dyDescent="0.25">
      <c r="B109" s="4" t="str">
        <f ca="1">IFERROR(__xludf.DUMMYFUNCTION("split(I110, "" "")"),"02월")</f>
        <v>02월</v>
      </c>
      <c r="C109" s="4" t="str">
        <f ca="1">IFERROR(__xludf.DUMMYFUNCTION("""COMPUTED_VALUE"""),"4주(25~27)")</f>
        <v>4주(25~27)</v>
      </c>
      <c r="D109" s="5">
        <f ca="1">IFERROR(__xludf.DUMMYFUNCTION("""COMPUTED_VALUE"""),1001)</f>
        <v>1001</v>
      </c>
      <c r="E109" s="6">
        <f ca="1">IFERROR(__xludf.DUMMYFUNCTION("""COMPUTED_VALUE"""),0.42)</f>
        <v>0.42</v>
      </c>
      <c r="F109" s="6">
        <f ca="1">IFERROR(__xludf.DUMMYFUNCTION("""COMPUTED_VALUE"""),0.51)</f>
        <v>0.51</v>
      </c>
      <c r="G109" s="6">
        <f ca="1">IFERROR(__xludf.DUMMYFUNCTION("""COMPUTED_VALUE"""),0.03)</f>
        <v>0.03</v>
      </c>
      <c r="H109" s="6">
        <f ca="1">IFERROR(__xludf.DUMMYFUNCTION("""COMPUTED_VALUE"""),0.03)</f>
        <v>0.03</v>
      </c>
      <c r="I109" s="2" t="s">
        <v>199</v>
      </c>
    </row>
    <row r="110" spans="2:9" x14ac:dyDescent="0.25">
      <c r="B110" s="4" t="str">
        <f ca="1">IFERROR(__xludf.DUMMYFUNCTION("split(I111, "" "")"),"03월")</f>
        <v>03월</v>
      </c>
      <c r="C110" s="4" t="str">
        <f ca="1">IFERROR(__xludf.DUMMYFUNCTION("""COMPUTED_VALUE"""),"1주(03~05)")</f>
        <v>1주(03~05)</v>
      </c>
      <c r="D110" s="5">
        <f ca="1">IFERROR(__xludf.DUMMYFUNCTION("""COMPUTED_VALUE"""),1000)</f>
        <v>1000</v>
      </c>
      <c r="E110" s="6">
        <f ca="1">IFERROR(__xludf.DUMMYFUNCTION("""COMPUTED_VALUE"""),0.44)</f>
        <v>0.44</v>
      </c>
      <c r="F110" s="6">
        <f ca="1">IFERROR(__xludf.DUMMYFUNCTION("""COMPUTED_VALUE"""),0.48)</f>
        <v>0.48</v>
      </c>
      <c r="G110" s="6">
        <f ca="1">IFERROR(__xludf.DUMMYFUNCTION("""COMPUTED_VALUE"""),0.03)</f>
        <v>0.03</v>
      </c>
      <c r="H110" s="6">
        <f ca="1">IFERROR(__xludf.DUMMYFUNCTION("""COMPUTED_VALUE"""),0.05)</f>
        <v>0.05</v>
      </c>
      <c r="I110" s="2" t="s">
        <v>200</v>
      </c>
    </row>
    <row r="111" spans="2:9" x14ac:dyDescent="0.25">
      <c r="B111" s="4" t="str">
        <f ca="1">IFERROR(__xludf.DUMMYFUNCTION("split(I112, "" "")"),"03월")</f>
        <v>03월</v>
      </c>
      <c r="C111" s="4" t="str">
        <f ca="1">IFERROR(__xludf.DUMMYFUNCTION("""COMPUTED_VALUE"""),"2주(10~12)")</f>
        <v>2주(10~12)</v>
      </c>
      <c r="D111" s="5">
        <f ca="1">IFERROR(__xludf.DUMMYFUNCTION("""COMPUTED_VALUE"""),1001)</f>
        <v>1001</v>
      </c>
      <c r="E111" s="6">
        <f ca="1">IFERROR(__xludf.DUMMYFUNCTION("""COMPUTED_VALUE"""),0.49)</f>
        <v>0.49</v>
      </c>
      <c r="F111" s="6">
        <f ca="1">IFERROR(__xludf.DUMMYFUNCTION("""COMPUTED_VALUE"""),0.45)</f>
        <v>0.45</v>
      </c>
      <c r="G111" s="6">
        <f ca="1">IFERROR(__xludf.DUMMYFUNCTION("""COMPUTED_VALUE"""),0.03)</f>
        <v>0.03</v>
      </c>
      <c r="H111" s="6">
        <f ca="1">IFERROR(__xludf.DUMMYFUNCTION("""COMPUTED_VALUE"""),0.03)</f>
        <v>0.03</v>
      </c>
      <c r="I111" s="2" t="s">
        <v>202</v>
      </c>
    </row>
    <row r="112" spans="2:9" x14ac:dyDescent="0.25">
      <c r="B112" s="4" t="str">
        <f ca="1">IFERROR(__xludf.DUMMYFUNCTION("split(I113, "" "")"),"03월")</f>
        <v>03월</v>
      </c>
      <c r="C112" s="4" t="str">
        <f ca="1">IFERROR(__xludf.DUMMYFUNCTION("""COMPUTED_VALUE"""),"3주(17~19)")</f>
        <v>3주(17~19)</v>
      </c>
      <c r="D112" s="5">
        <f ca="1">IFERROR(__xludf.DUMMYFUNCTION("""COMPUTED_VALUE"""),1000)</f>
        <v>1000</v>
      </c>
      <c r="E112" s="6">
        <f ca="1">IFERROR(__xludf.DUMMYFUNCTION("""COMPUTED_VALUE"""),0.49)</f>
        <v>0.49</v>
      </c>
      <c r="F112" s="6">
        <f ca="1">IFERROR(__xludf.DUMMYFUNCTION("""COMPUTED_VALUE"""),0.42)</f>
        <v>0.42</v>
      </c>
      <c r="G112" s="6">
        <f ca="1">IFERROR(__xludf.DUMMYFUNCTION("""COMPUTED_VALUE"""),0.04)</f>
        <v>0.04</v>
      </c>
      <c r="H112" s="6">
        <f ca="1">IFERROR(__xludf.DUMMYFUNCTION("""COMPUTED_VALUE"""),0.05)</f>
        <v>0.05</v>
      </c>
      <c r="I112" s="2" t="s">
        <v>204</v>
      </c>
    </row>
    <row r="113" spans="2:9" x14ac:dyDescent="0.25">
      <c r="B113" s="4" t="str">
        <f ca="1">IFERROR(__xludf.DUMMYFUNCTION("split(I114, "" "")"),"03월")</f>
        <v>03월</v>
      </c>
      <c r="C113" s="4" t="str">
        <f ca="1">IFERROR(__xludf.DUMMYFUNCTION("""COMPUTED_VALUE"""),"4주(24~26)")</f>
        <v>4주(24~26)</v>
      </c>
      <c r="D113" s="5">
        <f ca="1">IFERROR(__xludf.DUMMYFUNCTION("""COMPUTED_VALUE"""),1001)</f>
        <v>1001</v>
      </c>
      <c r="E113" s="6">
        <f ca="1">IFERROR(__xludf.DUMMYFUNCTION("""COMPUTED_VALUE"""),0.55)</f>
        <v>0.55000000000000004</v>
      </c>
      <c r="F113" s="6">
        <f ca="1">IFERROR(__xludf.DUMMYFUNCTION("""COMPUTED_VALUE"""),0.39)</f>
        <v>0.39</v>
      </c>
      <c r="G113" s="6">
        <f ca="1">IFERROR(__xludf.DUMMYFUNCTION("""COMPUTED_VALUE"""),0.03)</f>
        <v>0.03</v>
      </c>
      <c r="H113" s="6">
        <f ca="1">IFERROR(__xludf.DUMMYFUNCTION("""COMPUTED_VALUE"""),0.03)</f>
        <v>0.03</v>
      </c>
      <c r="I113" s="2" t="s">
        <v>205</v>
      </c>
    </row>
    <row r="114" spans="2:9" x14ac:dyDescent="0.25">
      <c r="B114" s="4" t="str">
        <f ca="1">IFERROR(__xludf.DUMMYFUNCTION("split(I115, "" "")"),"04월")</f>
        <v>04월</v>
      </c>
      <c r="C114" s="4" t="str">
        <f ca="1">IFERROR(__xludf.DUMMYFUNCTION("""COMPUTED_VALUE"""),"1주(31~02)")</f>
        <v>1주(31~02)</v>
      </c>
      <c r="D114" s="5">
        <f ca="1">IFERROR(__xludf.DUMMYFUNCTION("""COMPUTED_VALUE"""),1002)</f>
        <v>1002</v>
      </c>
      <c r="E114" s="6">
        <f ca="1">IFERROR(__xludf.DUMMYFUNCTION("""COMPUTED_VALUE"""),0.56)</f>
        <v>0.56000000000000005</v>
      </c>
      <c r="F114" s="6">
        <f ca="1">IFERROR(__xludf.DUMMYFUNCTION("""COMPUTED_VALUE"""),0.36)</f>
        <v>0.36</v>
      </c>
      <c r="G114" s="6">
        <f ca="1">IFERROR(__xludf.DUMMYFUNCTION("""COMPUTED_VALUE"""),0.04)</f>
        <v>0.04</v>
      </c>
      <c r="H114" s="6">
        <f ca="1">IFERROR(__xludf.DUMMYFUNCTION("""COMPUTED_VALUE"""),0.04)</f>
        <v>0.04</v>
      </c>
      <c r="I114" s="2" t="s">
        <v>206</v>
      </c>
    </row>
    <row r="115" spans="2:9" x14ac:dyDescent="0.25">
      <c r="B115" s="4" t="str">
        <f ca="1">IFERROR(__xludf.DUMMYFUNCTION("split(I116, "" "")"),"04월")</f>
        <v>04월</v>
      </c>
      <c r="C115" s="4" t="str">
        <f ca="1">IFERROR(__xludf.DUMMYFUNCTION("""COMPUTED_VALUE"""),"2주(07~08)")</f>
        <v>2주(07~08)</v>
      </c>
      <c r="D115" s="5">
        <f ca="1">IFERROR(__xludf.DUMMYFUNCTION("""COMPUTED_VALUE"""),1000)</f>
        <v>1000</v>
      </c>
      <c r="E115" s="6">
        <f ca="1">IFERROR(__xludf.DUMMYFUNCTION("""COMPUTED_VALUE"""),0.57)</f>
        <v>0.56999999999999995</v>
      </c>
      <c r="F115" s="6">
        <f ca="1">IFERROR(__xludf.DUMMYFUNCTION("""COMPUTED_VALUE"""),0.35)</f>
        <v>0.35</v>
      </c>
      <c r="G115" s="6">
        <f ca="1">IFERROR(__xludf.DUMMYFUNCTION("""COMPUTED_VALUE"""),0.05)</f>
        <v>0.05</v>
      </c>
      <c r="H115" s="6">
        <f ca="1">IFERROR(__xludf.DUMMYFUNCTION("""COMPUTED_VALUE"""),0.03)</f>
        <v>0.03</v>
      </c>
      <c r="I115" s="2" t="s">
        <v>208</v>
      </c>
    </row>
    <row r="116" spans="2:9" x14ac:dyDescent="0.25">
      <c r="B116" s="4" t="str">
        <f ca="1">IFERROR(__xludf.DUMMYFUNCTION("split(I117, "" "")"),"04월")</f>
        <v>04월</v>
      </c>
      <c r="C116" s="4" t="str">
        <f ca="1">IFERROR(__xludf.DUMMYFUNCTION("""COMPUTED_VALUE"""),"3주(13~14)")</f>
        <v>3주(13~14)</v>
      </c>
      <c r="D116" s="5">
        <f ca="1">IFERROR(__xludf.DUMMYFUNCTION("""COMPUTED_VALUE"""),1004)</f>
        <v>1004</v>
      </c>
      <c r="E116" s="6">
        <f ca="1">IFERROR(__xludf.DUMMYFUNCTION("""COMPUTED_VALUE"""),0.59)</f>
        <v>0.59</v>
      </c>
      <c r="F116" s="6">
        <f ca="1">IFERROR(__xludf.DUMMYFUNCTION("""COMPUTED_VALUE"""),0.33)</f>
        <v>0.33</v>
      </c>
      <c r="G116" s="6">
        <f ca="1">IFERROR(__xludf.DUMMYFUNCTION("""COMPUTED_VALUE"""),0.04)</f>
        <v>0.04</v>
      </c>
      <c r="H116" s="6">
        <f ca="1">IFERROR(__xludf.DUMMYFUNCTION("""COMPUTED_VALUE"""),0.04)</f>
        <v>0.04</v>
      </c>
      <c r="I116" s="2" t="s">
        <v>210</v>
      </c>
    </row>
    <row r="117" spans="2:9" x14ac:dyDescent="0.25">
      <c r="B117" s="4" t="str">
        <f ca="1">IFERROR(__xludf.DUMMYFUNCTION("split(I118, "" "")"),"04월")</f>
        <v>04월</v>
      </c>
      <c r="C117" s="4" t="str">
        <f ca="1">IFERROR(__xludf.DUMMYFUNCTION("""COMPUTED_VALUE"""),"4주(21~23)")</f>
        <v>4주(21~23)</v>
      </c>
      <c r="D117" s="5">
        <f ca="1">IFERROR(__xludf.DUMMYFUNCTION("""COMPUTED_VALUE"""),1001)</f>
        <v>1001</v>
      </c>
      <c r="E117" s="6">
        <f ca="1">IFERROR(__xludf.DUMMYFUNCTION("""COMPUTED_VALUE"""),0.62)</f>
        <v>0.62</v>
      </c>
      <c r="F117" s="6">
        <f ca="1">IFERROR(__xludf.DUMMYFUNCTION("""COMPUTED_VALUE"""),0.3)</f>
        <v>0.3</v>
      </c>
      <c r="G117" s="6">
        <f ca="1">IFERROR(__xludf.DUMMYFUNCTION("""COMPUTED_VALUE"""),0.03)</f>
        <v>0.03</v>
      </c>
      <c r="H117" s="6">
        <f ca="1">IFERROR(__xludf.DUMMYFUNCTION("""COMPUTED_VALUE"""),0.05)</f>
        <v>0.05</v>
      </c>
      <c r="I117" s="2" t="s">
        <v>212</v>
      </c>
    </row>
    <row r="118" spans="2:9" x14ac:dyDescent="0.25">
      <c r="B118" s="4" t="str">
        <f ca="1">IFERROR(__xludf.DUMMYFUNCTION("split(I119, "" "")"),"04월")</f>
        <v>04월</v>
      </c>
      <c r="C118" s="4" t="str">
        <f ca="1">IFERROR(__xludf.DUMMYFUNCTION("""COMPUTED_VALUE"""),"5주(28~29)")</f>
        <v>5주(28~29)</v>
      </c>
      <c r="D118" s="5">
        <f ca="1">IFERROR(__xludf.DUMMYFUNCTION("""COMPUTED_VALUE"""),1000)</f>
        <v>1000</v>
      </c>
      <c r="E118" s="6">
        <f ca="1">IFERROR(__xludf.DUMMYFUNCTION("""COMPUTED_VALUE"""),0.64)</f>
        <v>0.64</v>
      </c>
      <c r="F118" s="6">
        <f ca="1">IFERROR(__xludf.DUMMYFUNCTION("""COMPUTED_VALUE"""),0.26)</f>
        <v>0.26</v>
      </c>
      <c r="G118" s="6">
        <f ca="1">IFERROR(__xludf.DUMMYFUNCTION("""COMPUTED_VALUE"""),0.04)</f>
        <v>0.04</v>
      </c>
      <c r="H118" s="6">
        <f ca="1">IFERROR(__xludf.DUMMYFUNCTION("""COMPUTED_VALUE"""),0.06)</f>
        <v>0.06</v>
      </c>
      <c r="I118" s="2" t="s">
        <v>214</v>
      </c>
    </row>
    <row r="119" spans="2:9" x14ac:dyDescent="0.25">
      <c r="B119" s="4" t="str">
        <f ca="1">IFERROR(__xludf.DUMMYFUNCTION("split(I120, "" "")"),"05월")</f>
        <v>05월</v>
      </c>
      <c r="C119" s="4" t="str">
        <f ca="1">IFERROR(__xludf.DUMMYFUNCTION("""COMPUTED_VALUE"""),"1주(06~07)")</f>
        <v>1주(06~07)</v>
      </c>
      <c r="D119" s="5">
        <f ca="1">IFERROR(__xludf.DUMMYFUNCTION("""COMPUTED_VALUE"""),1004)</f>
        <v>1004</v>
      </c>
      <c r="E119" s="6">
        <f ca="1">IFERROR(__xludf.DUMMYFUNCTION("""COMPUTED_VALUE"""),0.71)</f>
        <v>0.71</v>
      </c>
      <c r="F119" s="6">
        <f ca="1">IFERROR(__xludf.DUMMYFUNCTION("""COMPUTED_VALUE"""),0.21)</f>
        <v>0.21</v>
      </c>
      <c r="G119" s="6">
        <f ca="1">IFERROR(__xludf.DUMMYFUNCTION("""COMPUTED_VALUE"""),0.03)</f>
        <v>0.03</v>
      </c>
      <c r="H119" s="6">
        <f ca="1">IFERROR(__xludf.DUMMYFUNCTION("""COMPUTED_VALUE"""),0.05)</f>
        <v>0.05</v>
      </c>
      <c r="I119" s="2" t="s">
        <v>217</v>
      </c>
    </row>
    <row r="120" spans="2:9" x14ac:dyDescent="0.25">
      <c r="B120" s="4" t="str">
        <f ca="1">IFERROR(__xludf.DUMMYFUNCTION("split(I121, "" "")"),"05월")</f>
        <v>05월</v>
      </c>
      <c r="C120" s="4" t="str">
        <f ca="1">IFERROR(__xludf.DUMMYFUNCTION("""COMPUTED_VALUE"""),"2주(12~14)")</f>
        <v>2주(12~14)</v>
      </c>
      <c r="D120" s="5">
        <f ca="1">IFERROR(__xludf.DUMMYFUNCTION("""COMPUTED_VALUE"""),1000)</f>
        <v>1000</v>
      </c>
      <c r="E120" s="6">
        <f ca="1">IFERROR(__xludf.DUMMYFUNCTION("""COMPUTED_VALUE"""),0.65)</f>
        <v>0.65</v>
      </c>
      <c r="F120" s="6">
        <f ca="1">IFERROR(__xludf.DUMMYFUNCTION("""COMPUTED_VALUE"""),0.27)</f>
        <v>0.27</v>
      </c>
      <c r="G120" s="6">
        <f ca="1">IFERROR(__xludf.DUMMYFUNCTION("""COMPUTED_VALUE"""),0.03)</f>
        <v>0.03</v>
      </c>
      <c r="H120" s="6">
        <f ca="1">IFERROR(__xludf.DUMMYFUNCTION("""COMPUTED_VALUE"""),0.05)</f>
        <v>0.05</v>
      </c>
      <c r="I120" s="2" t="s">
        <v>219</v>
      </c>
    </row>
    <row r="121" spans="2:9" x14ac:dyDescent="0.25">
      <c r="B121" s="4" t="str">
        <f ca="1">IFERROR(__xludf.DUMMYFUNCTION("split(I122, "" "")"),"05월")</f>
        <v>05월</v>
      </c>
      <c r="C121" s="4" t="str">
        <f ca="1">IFERROR(__xludf.DUMMYFUNCTION("""COMPUTED_VALUE"""),"3주(19~21)")</f>
        <v>3주(19~21)</v>
      </c>
      <c r="D121" s="5">
        <f ca="1">IFERROR(__xludf.DUMMYFUNCTION("""COMPUTED_VALUE"""),1000)</f>
        <v>1000</v>
      </c>
      <c r="E121" s="6">
        <f ca="1">IFERROR(__xludf.DUMMYFUNCTION("""COMPUTED_VALUE"""),0.65)</f>
        <v>0.65</v>
      </c>
      <c r="F121" s="6">
        <f ca="1">IFERROR(__xludf.DUMMYFUNCTION("""COMPUTED_VALUE"""),0.26)</f>
        <v>0.26</v>
      </c>
      <c r="G121" s="6">
        <f ca="1">IFERROR(__xludf.DUMMYFUNCTION("""COMPUTED_VALUE"""),0.05)</f>
        <v>0.05</v>
      </c>
      <c r="H121" s="6">
        <f ca="1">IFERROR(__xludf.DUMMYFUNCTION("""COMPUTED_VALUE"""),0.04)</f>
        <v>0.04</v>
      </c>
      <c r="I121" s="2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rlmeter</vt:lpstr>
      <vt:lpstr>gallup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Byeongjun Cho</cp:lastModifiedBy>
  <dcterms:modified xsi:type="dcterms:W3CDTF">2020-06-12T08:18:18Z</dcterms:modified>
</cp:coreProperties>
</file>