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yeongjun Cho\Downloads\"/>
    </mc:Choice>
  </mc:AlternateContent>
  <xr:revisionPtr revIDLastSave="0" documentId="13_ncr:1_{59B439FC-1D4F-4ECE-95F5-A6DF7BC68F9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lmeter" sheetId="1" r:id="rId1"/>
    <sheet name="gall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2" i="2" l="1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C102" i="2"/>
  <c r="B102" i="2"/>
  <c r="C101" i="2"/>
  <c r="B101" i="2"/>
  <c r="H100" i="2"/>
  <c r="G100" i="2"/>
  <c r="F100" i="2"/>
  <c r="E100" i="2"/>
  <c r="D100" i="2"/>
  <c r="C100" i="2"/>
  <c r="B100" i="2"/>
  <c r="H99" i="2"/>
  <c r="G99" i="2"/>
  <c r="F99" i="2"/>
  <c r="E99" i="2"/>
  <c r="D99" i="2"/>
  <c r="C99" i="2"/>
  <c r="B99" i="2"/>
  <c r="H98" i="2"/>
  <c r="G98" i="2"/>
  <c r="F98" i="2"/>
  <c r="E98" i="2"/>
  <c r="D98" i="2"/>
  <c r="C98" i="2"/>
  <c r="B98" i="2"/>
  <c r="H97" i="2"/>
  <c r="G97" i="2"/>
  <c r="F97" i="2"/>
  <c r="E97" i="2"/>
  <c r="D97" i="2"/>
  <c r="C97" i="2"/>
  <c r="B97" i="2"/>
  <c r="H96" i="2"/>
  <c r="G96" i="2"/>
  <c r="F96" i="2"/>
  <c r="E96" i="2"/>
  <c r="D96" i="2"/>
  <c r="C96" i="2"/>
  <c r="B96" i="2"/>
  <c r="A96" i="2"/>
  <c r="H95" i="2"/>
  <c r="G95" i="2"/>
  <c r="F95" i="2"/>
  <c r="E95" i="2"/>
  <c r="D95" i="2"/>
  <c r="C95" i="2"/>
  <c r="B95" i="2"/>
  <c r="A95" i="2"/>
  <c r="H94" i="2"/>
  <c r="G94" i="2"/>
  <c r="F94" i="2"/>
  <c r="E94" i="2"/>
  <c r="D94" i="2"/>
  <c r="C94" i="2"/>
  <c r="B94" i="2"/>
  <c r="A94" i="2"/>
  <c r="H93" i="2"/>
  <c r="G93" i="2"/>
  <c r="F93" i="2"/>
  <c r="E93" i="2"/>
  <c r="D93" i="2"/>
  <c r="C93" i="2"/>
  <c r="B93" i="2"/>
  <c r="A93" i="2"/>
  <c r="H92" i="2"/>
  <c r="G92" i="2"/>
  <c r="F92" i="2"/>
  <c r="E92" i="2"/>
  <c r="D92" i="2"/>
  <c r="C92" i="2"/>
  <c r="B92" i="2"/>
  <c r="A92" i="2"/>
  <c r="H91" i="2"/>
  <c r="G91" i="2"/>
  <c r="F91" i="2"/>
  <c r="E91" i="2"/>
  <c r="D91" i="2"/>
  <c r="C91" i="2"/>
  <c r="B91" i="2"/>
  <c r="A91" i="2"/>
  <c r="H90" i="2"/>
  <c r="G90" i="2"/>
  <c r="F90" i="2"/>
  <c r="E90" i="2"/>
  <c r="D90" i="2"/>
  <c r="C90" i="2"/>
  <c r="B90" i="2"/>
  <c r="A90" i="2"/>
  <c r="H89" i="2"/>
  <c r="G89" i="2"/>
  <c r="F89" i="2"/>
  <c r="E89" i="2"/>
  <c r="D89" i="2"/>
  <c r="C89" i="2"/>
  <c r="B89" i="2"/>
  <c r="A89" i="2"/>
  <c r="H88" i="2"/>
  <c r="G88" i="2"/>
  <c r="F88" i="2"/>
  <c r="E88" i="2"/>
  <c r="D88" i="2"/>
  <c r="C88" i="2"/>
  <c r="B88" i="2"/>
  <c r="A88" i="2"/>
  <c r="H87" i="2"/>
  <c r="G87" i="2"/>
  <c r="F87" i="2"/>
  <c r="E87" i="2"/>
  <c r="D87" i="2"/>
  <c r="C87" i="2"/>
  <c r="B87" i="2"/>
  <c r="A87" i="2"/>
  <c r="C86" i="2"/>
  <c r="B86" i="2"/>
  <c r="A86" i="2"/>
  <c r="H85" i="2"/>
  <c r="G85" i="2"/>
  <c r="F85" i="2"/>
  <c r="E85" i="2"/>
  <c r="D85" i="2"/>
  <c r="C85" i="2"/>
  <c r="B85" i="2"/>
  <c r="A85" i="2"/>
  <c r="H84" i="2"/>
  <c r="G84" i="2"/>
  <c r="F84" i="2"/>
  <c r="E84" i="2"/>
  <c r="D84" i="2"/>
  <c r="C84" i="2"/>
  <c r="B84" i="2"/>
  <c r="A84" i="2"/>
  <c r="H83" i="2"/>
  <c r="G83" i="2"/>
  <c r="F83" i="2"/>
  <c r="E83" i="2"/>
  <c r="D83" i="2"/>
  <c r="C83" i="2"/>
  <c r="B83" i="2"/>
  <c r="A83" i="2"/>
  <c r="C82" i="2"/>
  <c r="B82" i="2"/>
  <c r="A82" i="2"/>
  <c r="H81" i="2"/>
  <c r="G81" i="2"/>
  <c r="F81" i="2"/>
  <c r="E81" i="2"/>
  <c r="D81" i="2"/>
  <c r="C81" i="2"/>
  <c r="B81" i="2"/>
  <c r="A81" i="2"/>
  <c r="H80" i="2"/>
  <c r="G80" i="2"/>
  <c r="F80" i="2"/>
  <c r="E80" i="2"/>
  <c r="D80" i="2"/>
  <c r="C80" i="2"/>
  <c r="B80" i="2"/>
  <c r="A80" i="2"/>
  <c r="H79" i="2"/>
  <c r="G79" i="2"/>
  <c r="F79" i="2"/>
  <c r="E79" i="2"/>
  <c r="D79" i="2"/>
  <c r="C79" i="2"/>
  <c r="B79" i="2"/>
  <c r="A79" i="2"/>
  <c r="H78" i="2"/>
  <c r="G78" i="2"/>
  <c r="F78" i="2"/>
  <c r="E78" i="2"/>
  <c r="D78" i="2"/>
  <c r="C78" i="2"/>
  <c r="B78" i="2"/>
  <c r="A78" i="2"/>
  <c r="H77" i="2"/>
  <c r="G77" i="2"/>
  <c r="F77" i="2"/>
  <c r="E77" i="2"/>
  <c r="D77" i="2"/>
  <c r="C77" i="2"/>
  <c r="B77" i="2"/>
  <c r="A77" i="2"/>
  <c r="H76" i="2"/>
  <c r="G76" i="2"/>
  <c r="F76" i="2"/>
  <c r="E76" i="2"/>
  <c r="D76" i="2"/>
  <c r="C76" i="2"/>
  <c r="B76" i="2"/>
  <c r="A76" i="2"/>
  <c r="H75" i="2"/>
  <c r="G75" i="2"/>
  <c r="F75" i="2"/>
  <c r="E75" i="2"/>
  <c r="D75" i="2"/>
  <c r="C75" i="2"/>
  <c r="B75" i="2"/>
  <c r="A75" i="2"/>
  <c r="H74" i="2"/>
  <c r="G74" i="2"/>
  <c r="F74" i="2"/>
  <c r="E74" i="2"/>
  <c r="D74" i="2"/>
  <c r="C74" i="2"/>
  <c r="B74" i="2"/>
  <c r="A74" i="2"/>
  <c r="H73" i="2"/>
  <c r="G73" i="2"/>
  <c r="F73" i="2"/>
  <c r="E73" i="2"/>
  <c r="D73" i="2"/>
  <c r="C73" i="2"/>
  <c r="B73" i="2"/>
  <c r="A73" i="2"/>
  <c r="H72" i="2"/>
  <c r="G72" i="2"/>
  <c r="F72" i="2"/>
  <c r="E72" i="2"/>
  <c r="D72" i="2"/>
  <c r="C72" i="2"/>
  <c r="B72" i="2"/>
  <c r="A72" i="2"/>
  <c r="H71" i="2"/>
  <c r="G71" i="2"/>
  <c r="F71" i="2"/>
  <c r="E71" i="2"/>
  <c r="D71" i="2"/>
  <c r="C71" i="2"/>
  <c r="B71" i="2"/>
  <c r="A71" i="2"/>
  <c r="H70" i="2"/>
  <c r="G70" i="2"/>
  <c r="F70" i="2"/>
  <c r="E70" i="2"/>
  <c r="D70" i="2"/>
  <c r="C70" i="2"/>
  <c r="B70" i="2"/>
  <c r="A70" i="2"/>
  <c r="H69" i="2"/>
  <c r="G69" i="2"/>
  <c r="F69" i="2"/>
  <c r="E69" i="2"/>
  <c r="D69" i="2"/>
  <c r="C69" i="2"/>
  <c r="B69" i="2"/>
  <c r="A69" i="2"/>
  <c r="H68" i="2"/>
  <c r="G68" i="2"/>
  <c r="F68" i="2"/>
  <c r="E68" i="2"/>
  <c r="D68" i="2"/>
  <c r="C68" i="2"/>
  <c r="B68" i="2"/>
  <c r="A68" i="2"/>
  <c r="H67" i="2"/>
  <c r="G67" i="2"/>
  <c r="F67" i="2"/>
  <c r="E67" i="2"/>
  <c r="D67" i="2"/>
  <c r="C67" i="2"/>
  <c r="B67" i="2"/>
  <c r="A67" i="2"/>
  <c r="H66" i="2"/>
  <c r="G66" i="2"/>
  <c r="F66" i="2"/>
  <c r="E66" i="2"/>
  <c r="D66" i="2"/>
  <c r="C66" i="2"/>
  <c r="B66" i="2"/>
  <c r="A66" i="2"/>
  <c r="H65" i="2"/>
  <c r="G65" i="2"/>
  <c r="F65" i="2"/>
  <c r="E65" i="2"/>
  <c r="D65" i="2"/>
  <c r="C65" i="2"/>
  <c r="B65" i="2"/>
  <c r="A65" i="2"/>
  <c r="H64" i="2"/>
  <c r="G64" i="2"/>
  <c r="F64" i="2"/>
  <c r="E64" i="2"/>
  <c r="D64" i="2"/>
  <c r="C64" i="2"/>
  <c r="B64" i="2"/>
  <c r="A64" i="2"/>
  <c r="H63" i="2"/>
  <c r="G63" i="2"/>
  <c r="F63" i="2"/>
  <c r="E63" i="2"/>
  <c r="D63" i="2"/>
  <c r="C63" i="2"/>
  <c r="B63" i="2"/>
  <c r="A63" i="2"/>
  <c r="H62" i="2"/>
  <c r="G62" i="2"/>
  <c r="F62" i="2"/>
  <c r="E62" i="2"/>
  <c r="D62" i="2"/>
  <c r="C62" i="2"/>
  <c r="B62" i="2"/>
  <c r="A62" i="2"/>
  <c r="H61" i="2"/>
  <c r="G61" i="2"/>
  <c r="F61" i="2"/>
  <c r="E61" i="2"/>
  <c r="D61" i="2"/>
  <c r="C61" i="2"/>
  <c r="B61" i="2"/>
  <c r="A61" i="2"/>
  <c r="H60" i="2"/>
  <c r="G60" i="2"/>
  <c r="F60" i="2"/>
  <c r="E60" i="2"/>
  <c r="D60" i="2"/>
  <c r="C60" i="2"/>
  <c r="B60" i="2"/>
  <c r="A60" i="2"/>
  <c r="H59" i="2"/>
  <c r="G59" i="2"/>
  <c r="F59" i="2"/>
  <c r="E59" i="2"/>
  <c r="D59" i="2"/>
  <c r="C59" i="2"/>
  <c r="B59" i="2"/>
  <c r="A59" i="2"/>
  <c r="H58" i="2"/>
  <c r="G58" i="2"/>
  <c r="F58" i="2"/>
  <c r="E58" i="2"/>
  <c r="D58" i="2"/>
  <c r="C58" i="2"/>
  <c r="B58" i="2"/>
  <c r="A58" i="2"/>
  <c r="H57" i="2"/>
  <c r="G57" i="2"/>
  <c r="F57" i="2"/>
  <c r="E57" i="2"/>
  <c r="D57" i="2"/>
  <c r="C57" i="2"/>
  <c r="B57" i="2"/>
  <c r="A57" i="2"/>
  <c r="H56" i="2"/>
  <c r="G56" i="2"/>
  <c r="F56" i="2"/>
  <c r="E56" i="2"/>
  <c r="D56" i="2"/>
  <c r="C56" i="2"/>
  <c r="B56" i="2"/>
  <c r="A56" i="2"/>
  <c r="C55" i="2"/>
  <c r="B55" i="2"/>
  <c r="A55" i="2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C50" i="2"/>
  <c r="B50" i="2"/>
  <c r="A50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H38" i="2"/>
  <c r="G38" i="2"/>
  <c r="F38" i="2"/>
  <c r="E38" i="2"/>
  <c r="D38" i="2"/>
  <c r="C38" i="2"/>
  <c r="B38" i="2"/>
  <c r="A38" i="2"/>
  <c r="H37" i="2"/>
  <c r="G37" i="2"/>
  <c r="F37" i="2"/>
  <c r="E37" i="2"/>
  <c r="D37" i="2"/>
  <c r="C37" i="2"/>
  <c r="B37" i="2"/>
  <c r="A37" i="2"/>
  <c r="C36" i="2"/>
  <c r="B36" i="2"/>
  <c r="A36" i="2"/>
  <c r="H35" i="2"/>
  <c r="G35" i="2"/>
  <c r="F35" i="2"/>
  <c r="E35" i="2"/>
  <c r="D35" i="2"/>
  <c r="C35" i="2"/>
  <c r="B35" i="2"/>
  <c r="A35" i="2"/>
  <c r="H34" i="2"/>
  <c r="G34" i="2"/>
  <c r="F34" i="2"/>
  <c r="E34" i="2"/>
  <c r="D34" i="2"/>
  <c r="C34" i="2"/>
  <c r="B34" i="2"/>
  <c r="A34" i="2"/>
  <c r="H33" i="2"/>
  <c r="G33" i="2"/>
  <c r="F33" i="2"/>
  <c r="E33" i="2"/>
  <c r="D33" i="2"/>
  <c r="C33" i="2"/>
  <c r="B33" i="2"/>
  <c r="A33" i="2"/>
  <c r="H32" i="2"/>
  <c r="G32" i="2"/>
  <c r="F32" i="2"/>
  <c r="E32" i="2"/>
  <c r="D32" i="2"/>
  <c r="C32" i="2"/>
  <c r="B32" i="2"/>
  <c r="A32" i="2"/>
  <c r="H31" i="2"/>
  <c r="G31" i="2"/>
  <c r="F31" i="2"/>
  <c r="E31" i="2"/>
  <c r="D31" i="2"/>
  <c r="C31" i="2"/>
  <c r="B31" i="2"/>
  <c r="A31" i="2"/>
  <c r="H30" i="2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<sst xmlns="http://schemas.openxmlformats.org/spreadsheetml/2006/main" count="150" uniqueCount="150">
  <si>
    <t>보수매우잘한다</t>
  </si>
  <si>
    <t>보수잘하는편</t>
  </si>
  <si>
    <t>보수잘못하는편</t>
  </si>
  <si>
    <t>보수매우잘못함</t>
  </si>
  <si>
    <t>보수잘한다</t>
  </si>
  <si>
    <t>보수잘못한다</t>
  </si>
  <si>
    <t>보수모름</t>
  </si>
  <si>
    <t>중도매우잘한다</t>
  </si>
  <si>
    <t>중도잘하는편</t>
  </si>
  <si>
    <t>중도잘못하는편</t>
  </si>
  <si>
    <t>중도매우잘못함</t>
  </si>
  <si>
    <t>중도잘한다</t>
  </si>
  <si>
    <t>중도잘못한다</t>
  </si>
  <si>
    <t>중도모름</t>
  </si>
  <si>
    <t>진보매우잘한다</t>
  </si>
  <si>
    <t>진보잘하는편</t>
  </si>
  <si>
    <t>진보잘못하는편</t>
  </si>
  <si>
    <t>진보매우잘못함</t>
  </si>
  <si>
    <t>진보잘한다</t>
  </si>
  <si>
    <t>진보잘못한다</t>
  </si>
  <si>
    <t>진보모름</t>
  </si>
  <si>
    <t>월(M)</t>
  </si>
  <si>
    <t>주(W)</t>
  </si>
  <si>
    <t>표본 수</t>
  </si>
  <si>
    <t>잘하고 있다</t>
  </si>
  <si>
    <t>잘못하고 있다</t>
  </si>
  <si>
    <t>어느 쪽도 아니다</t>
  </si>
  <si>
    <t>모름/응답 거절</t>
  </si>
  <si>
    <t>주간 02월 1주(30~01) 1,005 63% 30% 3% 4%</t>
  </si>
  <si>
    <t>주간 02월 2주(06~08) 1,004 63% 28% 4% 5%</t>
  </si>
  <si>
    <t>주간 02월 3주(12~16)</t>
  </si>
  <si>
    <t>주간 02월 4주(20~22) 1,002 68% 22% 5% 4%</t>
  </si>
  <si>
    <t>주간 02월 5주(27~28) 1,008 64% 26% 4% 6%</t>
  </si>
  <si>
    <t>주간 03월 1주(06~08) 1,005 71% 22% 4% 4%</t>
  </si>
  <si>
    <t>주간 03월 2주(13~15) 1,003 74% 18% 5% 4%</t>
  </si>
  <si>
    <t>주간 03월 3주(20~22) 1,003 71% 19% 6% 5%</t>
  </si>
  <si>
    <t>주간 03월 4주(27~29) 1,004 70% 21% 5% 4%</t>
  </si>
  <si>
    <t>주간 04월 1주(03~05) 1,004 74% 17% 5% 4%</t>
  </si>
  <si>
    <t>주간 04월 2주(10~12) 1,005 72% 19% 5% 4%</t>
  </si>
  <si>
    <t>주간 04월 3주(17~19) 1,003 70% 21% 4% 4%</t>
  </si>
  <si>
    <t>주간 04월 4주(24~26) 1,005 73% 18% 4% 5%</t>
  </si>
  <si>
    <t>주간 05월 1주(02~03) 1,002 83% 10% 5% 3%</t>
  </si>
  <si>
    <t>주간 05월 2주(08~10) 1,002 78% 13% 5% 4%</t>
  </si>
  <si>
    <t>주간 05월 3주(16~17) 1,004 76% 14% 6% 4%</t>
  </si>
  <si>
    <t>주간 05월 4주(23~24) 1,003 76% 14% 4% 6%</t>
  </si>
  <si>
    <t>주간 05월 5주(29~31) 1,002 75% 15% 5% 5%</t>
  </si>
  <si>
    <t>주간 06월 1주(04~08)</t>
  </si>
  <si>
    <t>주간 06월 2주(14~14) 1,007 79% 12% 4% 4%</t>
  </si>
  <si>
    <t>주간 06월 3주(18~22) 1,003 75% 16% 4% 5%</t>
  </si>
  <si>
    <t>주간 06월 4주(26~28) 1,001 73% 16% 6% 5%</t>
  </si>
  <si>
    <t>주간 07월 1주(03~05) 1,002 71% 18% 6% 5%</t>
  </si>
  <si>
    <t>주간 07월 2주(10~12) 1,002 69% 21% 4% 5%</t>
  </si>
  <si>
    <t>주간 07월 3주(17~19) 1,002 67% 25% 4% 5%</t>
  </si>
  <si>
    <t>주간 07월 4주(24~26) 1,002 62% 28% 4% 5%</t>
  </si>
  <si>
    <t>주간 08월 1주(31~02) 1,003 60% 29% 4% 7%</t>
  </si>
  <si>
    <t>주간 08월 2주(07~09) 1,003 58% 31% 4% 7%</t>
  </si>
  <si>
    <t>주간 08월 3주(14~16) 1,002 60% 32% 5% 4%</t>
  </si>
  <si>
    <t>주간 08월 4주(21~23) 1,001 56% 33% 5% 6%</t>
  </si>
  <si>
    <t>주간 08월 5주(28~30) 1,000 53% 38% 4% 4%</t>
  </si>
  <si>
    <t>주간 09월 1주(04~06) 1,000 49% 42% 5% 4%</t>
  </si>
  <si>
    <t>주간 09월 2주(11~13) 1,001 50% 39% 4% 6%</t>
  </si>
  <si>
    <t>주간 09월 3주(18~20) 1,001 61% 30% 5% 5%</t>
  </si>
  <si>
    <t>주간 09월 4주(24~28)</t>
  </si>
  <si>
    <t>주간 10월 1주(02~04) 1,004 64% 26% 4% 6%</t>
  </si>
  <si>
    <t>주간 10월 2주(10~11) 1,001 65% 25% 5% 4%</t>
  </si>
  <si>
    <t>주간 10월 3주(16~18) 1,002 62% 27% 5% 5%</t>
  </si>
  <si>
    <t>주간 10월 4주(23~25) 1,001 58% 32% 5% 5%</t>
  </si>
  <si>
    <t>주간 11월 1주(30~01) 1,004 55% 35% 5% 5%</t>
  </si>
  <si>
    <t>주간 11월 2주(06~08) 1,002 54% 36% 5% 5%</t>
  </si>
  <si>
    <t>주간 11월 3주(13~15) 1,001 52% 40% 5% 4%</t>
  </si>
  <si>
    <t>주간 11월 4주(20~22) 1,001 53% 38% 6% 3%</t>
  </si>
  <si>
    <t>주간 11월 5주(27~29) 1,001 53% 39% 4% 4%</t>
  </si>
  <si>
    <t>주간 12월 1주(04~06) 1,002 49% 41% 5% 6%</t>
  </si>
  <si>
    <t>주간 12월 2주(11~13) 1,003 45% 44% 5% 6%</t>
  </si>
  <si>
    <t>주간 12월 3주(18~20) 1,002 45% 46% 4% 4%</t>
  </si>
  <si>
    <t>주간 12월 4주(24~28)</t>
  </si>
  <si>
    <t>주간 01월 1주(31~04)</t>
  </si>
  <si>
    <t>주간 01월 2주(08~10) 1,002 48% 44% 5% 4%</t>
  </si>
  <si>
    <t>주간 01월 3주(15~17) 1,002 47% 44% 6% 4%</t>
  </si>
  <si>
    <t>주간 01월 4주(22~24) 1,002 46% 45% 4% 5%</t>
  </si>
  <si>
    <t>주간 01월 5주(29~31) 1,004 47% 44% 4% 4%</t>
  </si>
  <si>
    <t>주간 02월 1주(04~08)</t>
  </si>
  <si>
    <t>주간 02월 2주(12~14) 1,002 47% 44% 4% 6%</t>
  </si>
  <si>
    <t>주간 02월 3주(19~21) 1,001 45% 45% 4% 6%</t>
  </si>
  <si>
    <t>주간 02월 4주(26~28) 1,002 49% 42% 4% 5%</t>
  </si>
  <si>
    <t>주간 03월 1주(05~07) 1,003 46% 45% 5% 5%</t>
  </si>
  <si>
    <t>주간 03월 2주(12~14) 1,004 44% 46% 5% 5%</t>
  </si>
  <si>
    <t>주간 03월 3주(19~21) 1,002 45% 44% 5% 6%</t>
  </si>
  <si>
    <t>주간 03월 4주(26~28) 1,003 43% 46% 5% 6%</t>
  </si>
  <si>
    <t>주간 04월 1주(02~04) 1,003 41% 49% 4% 5%</t>
  </si>
  <si>
    <t>주간 04월 2주(09~11) 1,002 47% 45% 3% 5%</t>
  </si>
  <si>
    <t>주간 04월 3주(16~18) 1,001 48% 42% 4% 6%</t>
  </si>
  <si>
    <t>주간 04월 4주(23~25) 1,003 44% 47% 3% 6%</t>
  </si>
  <si>
    <t>주간 5월 1주(4/30,5/2) 1,004 45% 46% 5% 4%</t>
  </si>
  <si>
    <t>주간 05월 2주(07~09) 1,002 47% 45% 3% 5%</t>
  </si>
  <si>
    <t>주간 05월 3주(14~16) 1,004 44% 47% 4% 5%</t>
  </si>
  <si>
    <t>주간 05월 4주(21~23) 1,001 46% 44% 6% 4%</t>
  </si>
  <si>
    <t>주간 05월 5주(28~30) 1,002 45% 45% 4% 6%</t>
  </si>
  <si>
    <t>주간 06월 1주(04~05) 1,006 46% 46% 4% 5%</t>
  </si>
  <si>
    <t>주간 06월 2주(11~13) 1,002 47% 44% 4% 6%</t>
  </si>
  <si>
    <t>주간 06월 3주(18~20) 1,005 45% 45% 4% 7%</t>
  </si>
  <si>
    <t>주간 06월 4주(25~27) 1,003 46% 45% 5% 5%</t>
  </si>
  <si>
    <t>주간 07월 1주(02~04) 1,008 49% 40% 5% 5%</t>
  </si>
  <si>
    <t>주간 07월 2주(09~11) 1,005 45% 45% 4% 5%</t>
  </si>
  <si>
    <t>주간 07월 3주(16~18) 1,002 48% 44% 4% 5%</t>
  </si>
  <si>
    <t>주간 07월 4주(23~25) 1,006 48% 42% 5% 5%</t>
  </si>
  <si>
    <t>주간 8월 1주(7/30~8/1) 1,002 48% 41% 3% 7%</t>
  </si>
  <si>
    <t>주간 08월 2주(06~08) 1,009 47% 43% 3% 7%</t>
  </si>
  <si>
    <t>주간 08월 3주(12~16)</t>
  </si>
  <si>
    <t>주간 08월 4주(20~22) 1,002 45% 49% 3% 4%</t>
  </si>
  <si>
    <t>주간 08월 5주(27~29) 1,004 44% 49% 3% 4%</t>
  </si>
  <si>
    <t>주간 09월 1주(03~05) 1,002 43% 49% 3% 5%</t>
  </si>
  <si>
    <t>주간 09월 2주(09~13)</t>
  </si>
  <si>
    <t>주간 09월 3주(17~19) 1,000 40% 53% 3% 4%</t>
  </si>
  <si>
    <t>주간 09월 4주(24~26) 1,002 41% 50% 3% 6%</t>
  </si>
  <si>
    <t>주간 10월 1주(01~02) 1,004 42% 51% 2% 4%</t>
  </si>
  <si>
    <t>주간 10월 2주(0810) 1,002 43% 51% 3% 4%</t>
  </si>
  <si>
    <t>주간 10월 3주(15~17) 1,004 39% 53% 3% 5%</t>
  </si>
  <si>
    <t>주간 10월 4주(22~24) 1,001 41% 50% 3% 5%</t>
  </si>
  <si>
    <t>주간 10월 5주(29~31) 1,000 44% 47% 3% 5%</t>
  </si>
  <si>
    <t>주간 11월 1주(05~07) 1,003 45% 47% 3% 5%</t>
  </si>
  <si>
    <t>주간 11월 2주(12~14) 1,002 46% 46% 5% 4%</t>
  </si>
  <si>
    <t>주간 11월 3주(19~21) 1,001 45% 48% 3% 5%</t>
  </si>
  <si>
    <t>11월 4주(26~28) 1,001 46% 46% 4% 4%</t>
  </si>
  <si>
    <t>12월 1주(03~05) 1,006 48% 45% 3% 4%</t>
  </si>
  <si>
    <t>12월 2주(10~12) 1,001 49% 43% 4% 4%</t>
  </si>
  <si>
    <t>12월 3주(17~19) 1,002 44% 46% 3% 6%</t>
  </si>
  <si>
    <t>12월 4주(23~27)</t>
  </si>
  <si>
    <t>01월 1주(30~03)</t>
  </si>
  <si>
    <t>01월 2주(07~09) 1,000 47% 43% 5% 5%</t>
  </si>
  <si>
    <t>01월 3주(14~16) 1,000 45% 46% 4% 6%</t>
  </si>
  <si>
    <t>01월 4주(20~24)</t>
  </si>
  <si>
    <t>01월 5주(28~30) 1,000 41% 50% 3% 6%</t>
  </si>
  <si>
    <t>02월 1주(04~06) 1,000 44% 49% 3% 5%</t>
  </si>
  <si>
    <t>02월 2주(11~13) 1,001 44% 49% 2% 5%</t>
  </si>
  <si>
    <t>02월 3주(18~20) 1,002 45% 46% 3% 5%</t>
  </si>
  <si>
    <t>02월 4주(25~27) 1,001 42% 51% 3% 3%</t>
  </si>
  <si>
    <t>03월 1주(03~05) 1,000 44% 48% 3% 5%</t>
  </si>
  <si>
    <t>03월 2주(10~12) 1,001 49% 45% 3% 3%</t>
  </si>
  <si>
    <t>03월 3주(17~19) 1,000 49% 42% 4% 5%</t>
  </si>
  <si>
    <t>03월 4주(24~26) 1,001 55% 39% 3% 3%</t>
  </si>
  <si>
    <t>04월 1주(31~02) 1,002 56% 36% 4% 4%</t>
  </si>
  <si>
    <t>04월 2주(07~08) 1,000 57% 35% 5% 3%</t>
  </si>
  <si>
    <t>04월 3주(13~14) 1,004 59% 33% 4% 4%</t>
  </si>
  <si>
    <t>04월 4주(21~23) 1,001 62% 30% 3% 5%</t>
  </si>
  <si>
    <t>04월 5주(28~29) 1,000 64% 26% 4% 6%</t>
  </si>
  <si>
    <t>05월 1주(06~07) 1,004 71% 21% 3% 5%</t>
  </si>
  <si>
    <t>05월 2주(12~14) 1,000 65% 27% 3% 5%</t>
  </si>
  <si>
    <t>05월 3주(19~21) 1,000 65% 26% 5% 4%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</si>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</sst>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Inconsolat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/>
    <xf numFmtId="164" fontId="1" fillId="0" borderId="0" xfId="0" applyNumberFormat="1" applyFont="1" applyAlignment="1">
      <alignment horizontal="right"/>
    </xf>
    <xf numFmtId="0" fontId="4" fillId="0" borderId="0" xfId="0" applyFont="1" applyAlignment="1"/>
    <xf numFmtId="0" fontId="3" fillId="2" borderId="0" xfId="0" applyFont="1" applyFill="1" applyAlignment="1"/>
    <xf numFmtId="3" fontId="2" fillId="0" borderId="0" xfId="0" applyNumberFormat="1" applyFont="1"/>
    <xf numFmtId="9" fontId="2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1"/>
  <sheetViews>
    <sheetView tabSelected="1" topLeftCell="A70" zoomScale="40" zoomScaleNormal="40" workbookViewId="0">
      <selection activeCell="T125" sqref="T125"/>
    </sheetView>
  </sheetViews>
  <sheetFormatPr defaultColWidth="14.44140625" defaultRowHeight="15.75" customHeight="1"/>
  <sheetData>
    <row r="1" spans="1:25" ht="15.75" customHeight="1">
      <c r="A1" t="s">
        <v>149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</row>
    <row r="2" spans="1:25">
      <c r="A2" s="2">
        <v>43134</v>
      </c>
      <c r="B2" s="3">
        <f ca="1">IFERROR(__xludf.DUMMYFUNCTION("split(W2, "" | "")"),22.5)</f>
        <v>22.5</v>
      </c>
      <c r="C2" s="3">
        <f ca="1">IFERROR(__xludf.DUMMYFUNCTION("""COMPUTED_VALUE"""),13.5)</f>
        <v>13.5</v>
      </c>
      <c r="D2" s="3">
        <f ca="1">IFERROR(__xludf.DUMMYFUNCTION("""COMPUTED_VALUE"""),19.3)</f>
        <v>19.3</v>
      </c>
      <c r="E2" s="3">
        <f ca="1">IFERROR(__xludf.DUMMYFUNCTION("""COMPUTED_VALUE"""),38.4)</f>
        <v>38.4</v>
      </c>
      <c r="F2" s="3">
        <f ca="1">IFERROR(__xludf.DUMMYFUNCTION("""COMPUTED_VALUE"""),36)</f>
        <v>36</v>
      </c>
      <c r="G2" s="3">
        <f ca="1">IFERROR(__xludf.DUMMYFUNCTION("""COMPUTED_VALUE"""),57.6)</f>
        <v>57.6</v>
      </c>
      <c r="H2" s="3">
        <f ca="1">IFERROR(__xludf.DUMMYFUNCTION("""COMPUTED_VALUE"""),6.4)</f>
        <v>6.4</v>
      </c>
      <c r="I2" s="4">
        <f ca="1">IFERROR(__xludf.DUMMYFUNCTION("split(X2, "" | "")"),38.7)</f>
        <v>38.700000000000003</v>
      </c>
      <c r="J2" s="3">
        <f ca="1">IFERROR(__xludf.DUMMYFUNCTION("""COMPUTED_VALUE"""),22.7)</f>
        <v>22.7</v>
      </c>
      <c r="K2" s="3">
        <f ca="1">IFERROR(__xludf.DUMMYFUNCTION("""COMPUTED_VALUE"""),15.3)</f>
        <v>15.3</v>
      </c>
      <c r="L2" s="3">
        <f ca="1">IFERROR(__xludf.DUMMYFUNCTION("""COMPUTED_VALUE"""),19.1)</f>
        <v>19.100000000000001</v>
      </c>
      <c r="M2" s="3">
        <f ca="1">IFERROR(__xludf.DUMMYFUNCTION("""COMPUTED_VALUE"""),61.4)</f>
        <v>61.4</v>
      </c>
      <c r="N2" s="3">
        <f ca="1">IFERROR(__xludf.DUMMYFUNCTION("""COMPUTED_VALUE"""),34.4)</f>
        <v>34.4</v>
      </c>
      <c r="O2" s="3">
        <f ca="1">IFERROR(__xludf.DUMMYFUNCTION("""COMPUTED_VALUE"""),4.2)</f>
        <v>4.2</v>
      </c>
      <c r="P2" s="3">
        <f ca="1">IFERROR(__xludf.DUMMYFUNCTION("split(Y2, "" | "")"),61.4)</f>
        <v>61.4</v>
      </c>
      <c r="Q2" s="3">
        <f ca="1">IFERROR(__xludf.DUMMYFUNCTION("""COMPUTED_VALUE"""),24.2)</f>
        <v>24.2</v>
      </c>
      <c r="R2" s="3">
        <f ca="1">IFERROR(__xludf.DUMMYFUNCTION("""COMPUTED_VALUE"""),6.2)</f>
        <v>6.2</v>
      </c>
      <c r="S2" s="3">
        <f ca="1">IFERROR(__xludf.DUMMYFUNCTION("""COMPUTED_VALUE"""),5.7)</f>
        <v>5.7</v>
      </c>
      <c r="T2" s="3">
        <f ca="1">IFERROR(__xludf.DUMMYFUNCTION("""COMPUTED_VALUE"""),85.6)</f>
        <v>85.6</v>
      </c>
      <c r="U2" s="3">
        <f ca="1">IFERROR(__xludf.DUMMYFUNCTION("""COMPUTED_VALUE"""),11.9)</f>
        <v>11.9</v>
      </c>
      <c r="V2" s="3">
        <f ca="1">IFERROR(__xludf.DUMMYFUNCTION("""COMPUTED_VALUE"""),2.5)</f>
        <v>2.5</v>
      </c>
      <c r="W2" s="5"/>
      <c r="X2" s="5"/>
      <c r="Y2" s="5"/>
    </row>
    <row r="3" spans="1:25">
      <c r="A3" s="2">
        <v>43141</v>
      </c>
      <c r="B3" s="3">
        <f ca="1">IFERROR(__xludf.DUMMYFUNCTION("split(W3, "" | "")"),23)</f>
        <v>23</v>
      </c>
      <c r="C3" s="3">
        <f ca="1">IFERROR(__xludf.DUMMYFUNCTION("""COMPUTED_VALUE"""),13.3)</f>
        <v>13.3</v>
      </c>
      <c r="D3" s="3">
        <f ca="1">IFERROR(__xludf.DUMMYFUNCTION("""COMPUTED_VALUE"""),18)</f>
        <v>18</v>
      </c>
      <c r="E3" s="3">
        <f ca="1">IFERROR(__xludf.DUMMYFUNCTION("""COMPUTED_VALUE"""),40.8)</f>
        <v>40.799999999999997</v>
      </c>
      <c r="F3" s="3">
        <f ca="1">IFERROR(__xludf.DUMMYFUNCTION("""COMPUTED_VALUE"""),36.3)</f>
        <v>36.299999999999997</v>
      </c>
      <c r="G3" s="3">
        <f ca="1">IFERROR(__xludf.DUMMYFUNCTION("""COMPUTED_VALUE"""),58.7)</f>
        <v>58.7</v>
      </c>
      <c r="H3" s="3">
        <f ca="1">IFERROR(__xludf.DUMMYFUNCTION("""COMPUTED_VALUE"""),5)</f>
        <v>5</v>
      </c>
      <c r="I3" s="4">
        <f ca="1">IFERROR(__xludf.DUMMYFUNCTION("split(X3, "" | "")"),41.7)</f>
        <v>41.7</v>
      </c>
      <c r="J3" s="3">
        <f ca="1">IFERROR(__xludf.DUMMYFUNCTION("""COMPUTED_VALUE"""),23)</f>
        <v>23</v>
      </c>
      <c r="K3" s="3">
        <f ca="1">IFERROR(__xludf.DUMMYFUNCTION("""COMPUTED_VALUE"""),13)</f>
        <v>13</v>
      </c>
      <c r="L3" s="3">
        <f ca="1">IFERROR(__xludf.DUMMYFUNCTION("""COMPUTED_VALUE"""),17.8)</f>
        <v>17.8</v>
      </c>
      <c r="M3" s="3">
        <f ca="1">IFERROR(__xludf.DUMMYFUNCTION("""COMPUTED_VALUE"""),64.8)</f>
        <v>64.8</v>
      </c>
      <c r="N3" s="3">
        <f ca="1">IFERROR(__xludf.DUMMYFUNCTION("""COMPUTED_VALUE"""),30.8)</f>
        <v>30.8</v>
      </c>
      <c r="O3" s="3">
        <f ca="1">IFERROR(__xludf.DUMMYFUNCTION("""COMPUTED_VALUE"""),4.4)</f>
        <v>4.4000000000000004</v>
      </c>
      <c r="P3" s="3">
        <f ca="1">IFERROR(__xludf.DUMMYFUNCTION("split(Y3, "" | "")"),69.1)</f>
        <v>69.099999999999994</v>
      </c>
      <c r="Q3" s="3">
        <f ca="1">IFERROR(__xludf.DUMMYFUNCTION("""COMPUTED_VALUE"""),16.9)</f>
        <v>16.899999999999999</v>
      </c>
      <c r="R3" s="3">
        <f ca="1">IFERROR(__xludf.DUMMYFUNCTION("""COMPUTED_VALUE"""),5)</f>
        <v>5</v>
      </c>
      <c r="S3" s="3">
        <f ca="1">IFERROR(__xludf.DUMMYFUNCTION("""COMPUTED_VALUE"""),6.6)</f>
        <v>6.6</v>
      </c>
      <c r="T3" s="3">
        <f ca="1">IFERROR(__xludf.DUMMYFUNCTION("""COMPUTED_VALUE"""),86)</f>
        <v>86</v>
      </c>
      <c r="U3" s="3">
        <f ca="1">IFERROR(__xludf.DUMMYFUNCTION("""COMPUTED_VALUE"""),11.5)</f>
        <v>11.5</v>
      </c>
      <c r="V3" s="3">
        <f ca="1">IFERROR(__xludf.DUMMYFUNCTION("""COMPUTED_VALUE"""),2.4)</f>
        <v>2.4</v>
      </c>
      <c r="W3" s="5"/>
      <c r="X3" s="5"/>
      <c r="Y3" s="5"/>
    </row>
    <row r="4" spans="1:25">
      <c r="A4" s="2">
        <v>43148</v>
      </c>
      <c r="B4" s="3">
        <f ca="1">IFERROR(__xludf.DUMMYFUNCTION("split(W4, "" | "")"),23.4)</f>
        <v>23.4</v>
      </c>
      <c r="C4" s="3">
        <f ca="1">IFERROR(__xludf.DUMMYFUNCTION("""COMPUTED_VALUE"""),14)</f>
        <v>14</v>
      </c>
      <c r="D4" s="3">
        <f ca="1">IFERROR(__xludf.DUMMYFUNCTION("""COMPUTED_VALUE"""),16.4)</f>
        <v>16.399999999999999</v>
      </c>
      <c r="E4" s="3">
        <f ca="1">IFERROR(__xludf.DUMMYFUNCTION("""COMPUTED_VALUE"""),42.6)</f>
        <v>42.6</v>
      </c>
      <c r="F4" s="3">
        <f ca="1">IFERROR(__xludf.DUMMYFUNCTION("""COMPUTED_VALUE"""),37.4)</f>
        <v>37.4</v>
      </c>
      <c r="G4" s="3">
        <f ca="1">IFERROR(__xludf.DUMMYFUNCTION("""COMPUTED_VALUE"""),59.1)</f>
        <v>59.1</v>
      </c>
      <c r="H4" s="3">
        <f ca="1">IFERROR(__xludf.DUMMYFUNCTION("""COMPUTED_VALUE"""),3.5)</f>
        <v>3.5</v>
      </c>
      <c r="I4" s="4">
        <f ca="1">IFERROR(__xludf.DUMMYFUNCTION("split(X4, "" | "")"),42.2)</f>
        <v>42.2</v>
      </c>
      <c r="J4" s="3">
        <f ca="1">IFERROR(__xludf.DUMMYFUNCTION("""COMPUTED_VALUE"""),24.7)</f>
        <v>24.7</v>
      </c>
      <c r="K4" s="3">
        <f ca="1">IFERROR(__xludf.DUMMYFUNCTION("""COMPUTED_VALUE"""),13.1)</f>
        <v>13.1</v>
      </c>
      <c r="L4" s="3">
        <f ca="1">IFERROR(__xludf.DUMMYFUNCTION("""COMPUTED_VALUE"""),15.1)</f>
        <v>15.1</v>
      </c>
      <c r="M4" s="3">
        <f ca="1">IFERROR(__xludf.DUMMYFUNCTION("""COMPUTED_VALUE"""),66.9)</f>
        <v>66.900000000000006</v>
      </c>
      <c r="N4" s="3">
        <f ca="1">IFERROR(__xludf.DUMMYFUNCTION("""COMPUTED_VALUE"""),28.3)</f>
        <v>28.3</v>
      </c>
      <c r="O4" s="3">
        <f ca="1">IFERROR(__xludf.DUMMYFUNCTION("""COMPUTED_VALUE"""),4.8)</f>
        <v>4.8</v>
      </c>
      <c r="P4" s="3">
        <f ca="1">IFERROR(__xludf.DUMMYFUNCTION("split(Y4, "" | "")"),62.3)</f>
        <v>62.3</v>
      </c>
      <c r="Q4" s="3">
        <f ca="1">IFERROR(__xludf.DUMMYFUNCTION("""COMPUTED_VALUE"""),26.8)</f>
        <v>26.8</v>
      </c>
      <c r="R4" s="3">
        <f ca="1">IFERROR(__xludf.DUMMYFUNCTION("""COMPUTED_VALUE"""),5.6)</f>
        <v>5.6</v>
      </c>
      <c r="S4" s="3">
        <f ca="1">IFERROR(__xludf.DUMMYFUNCTION("""COMPUTED_VALUE"""),4.4)</f>
        <v>4.4000000000000004</v>
      </c>
      <c r="T4" s="3">
        <f ca="1">IFERROR(__xludf.DUMMYFUNCTION("""COMPUTED_VALUE"""),89.1)</f>
        <v>89.1</v>
      </c>
      <c r="U4" s="3">
        <f ca="1">IFERROR(__xludf.DUMMYFUNCTION("""COMPUTED_VALUE"""),10)</f>
        <v>10</v>
      </c>
      <c r="V4" s="3">
        <f ca="1">IFERROR(__xludf.DUMMYFUNCTION("""COMPUTED_VALUE"""),0.9)</f>
        <v>0.9</v>
      </c>
      <c r="W4" s="5"/>
      <c r="X4" s="5"/>
      <c r="Y4" s="5"/>
    </row>
    <row r="5" spans="1:25">
      <c r="A5" s="2">
        <v>43155</v>
      </c>
      <c r="B5" s="3">
        <f ca="1">IFERROR(__xludf.DUMMYFUNCTION("split(W5, "" | "")"),19.2)</f>
        <v>19.2</v>
      </c>
      <c r="C5" s="3">
        <f ca="1">IFERROR(__xludf.DUMMYFUNCTION("""COMPUTED_VALUE"""),17.3)</f>
        <v>17.3</v>
      </c>
      <c r="D5" s="3">
        <f ca="1">IFERROR(__xludf.DUMMYFUNCTION("""COMPUTED_VALUE"""),18.5)</f>
        <v>18.5</v>
      </c>
      <c r="E5" s="3">
        <f ca="1">IFERROR(__xludf.DUMMYFUNCTION("""COMPUTED_VALUE"""),40.4)</f>
        <v>40.4</v>
      </c>
      <c r="F5" s="3">
        <f ca="1">IFERROR(__xludf.DUMMYFUNCTION("""COMPUTED_VALUE"""),36.5)</f>
        <v>36.5</v>
      </c>
      <c r="G5" s="3">
        <f ca="1">IFERROR(__xludf.DUMMYFUNCTION("""COMPUTED_VALUE"""),58.9)</f>
        <v>58.9</v>
      </c>
      <c r="H5" s="3">
        <f ca="1">IFERROR(__xludf.DUMMYFUNCTION("""COMPUTED_VALUE"""),4.6)</f>
        <v>4.5999999999999996</v>
      </c>
      <c r="I5" s="4">
        <f ca="1">IFERROR(__xludf.DUMMYFUNCTION("split(X5, "" | "")"),39.7)</f>
        <v>39.700000000000003</v>
      </c>
      <c r="J5" s="3">
        <f ca="1">IFERROR(__xludf.DUMMYFUNCTION("""COMPUTED_VALUE"""),25.4)</f>
        <v>25.4</v>
      </c>
      <c r="K5" s="3">
        <f ca="1">IFERROR(__xludf.DUMMYFUNCTION("""COMPUTED_VALUE"""),15.4)</f>
        <v>15.4</v>
      </c>
      <c r="L5" s="3">
        <f ca="1">IFERROR(__xludf.DUMMYFUNCTION("""COMPUTED_VALUE"""),17.1)</f>
        <v>17.100000000000001</v>
      </c>
      <c r="M5" s="3">
        <f ca="1">IFERROR(__xludf.DUMMYFUNCTION("""COMPUTED_VALUE"""),65.1)</f>
        <v>65.099999999999994</v>
      </c>
      <c r="N5" s="3">
        <f ca="1">IFERROR(__xludf.DUMMYFUNCTION("""COMPUTED_VALUE"""),32.5)</f>
        <v>32.5</v>
      </c>
      <c r="O5" s="3">
        <f ca="1">IFERROR(__xludf.DUMMYFUNCTION("""COMPUTED_VALUE"""),2.4)</f>
        <v>2.4</v>
      </c>
      <c r="P5" s="3">
        <f ca="1">IFERROR(__xludf.DUMMYFUNCTION("split(Y5, "" | "")"),67.5)</f>
        <v>67.5</v>
      </c>
      <c r="Q5" s="3">
        <f ca="1">IFERROR(__xludf.DUMMYFUNCTION("""COMPUTED_VALUE"""),23.2)</f>
        <v>23.2</v>
      </c>
      <c r="R5" s="3">
        <f ca="1">IFERROR(__xludf.DUMMYFUNCTION("""COMPUTED_VALUE"""),3.6)</f>
        <v>3.6</v>
      </c>
      <c r="S5" s="3">
        <f ca="1">IFERROR(__xludf.DUMMYFUNCTION("""COMPUTED_VALUE"""),5)</f>
        <v>5</v>
      </c>
      <c r="T5" s="3">
        <f ca="1">IFERROR(__xludf.DUMMYFUNCTION("""COMPUTED_VALUE"""),90.6)</f>
        <v>90.6</v>
      </c>
      <c r="U5" s="3">
        <f ca="1">IFERROR(__xludf.DUMMYFUNCTION("""COMPUTED_VALUE"""),8.6)</f>
        <v>8.6</v>
      </c>
      <c r="V5" s="3">
        <f ca="1">IFERROR(__xludf.DUMMYFUNCTION("""COMPUTED_VALUE"""),0.7)</f>
        <v>0.7</v>
      </c>
      <c r="W5" s="5"/>
      <c r="X5" s="5"/>
      <c r="Y5" s="5"/>
    </row>
    <row r="6" spans="1:25">
      <c r="A6" s="2">
        <v>43162</v>
      </c>
      <c r="B6" s="3">
        <f ca="1">IFERROR(__xludf.DUMMYFUNCTION("split(W6, "" | "")"),23.8)</f>
        <v>23.8</v>
      </c>
      <c r="C6" s="3">
        <f ca="1">IFERROR(__xludf.DUMMYFUNCTION("""COMPUTED_VALUE"""),13.1)</f>
        <v>13.1</v>
      </c>
      <c r="D6" s="3">
        <f ca="1">IFERROR(__xludf.DUMMYFUNCTION("""COMPUTED_VALUE"""),22.2)</f>
        <v>22.2</v>
      </c>
      <c r="E6" s="3">
        <f ca="1">IFERROR(__xludf.DUMMYFUNCTION("""COMPUTED_VALUE"""),34.5)</f>
        <v>34.5</v>
      </c>
      <c r="F6" s="3">
        <f ca="1">IFERROR(__xludf.DUMMYFUNCTION("""COMPUTED_VALUE"""),37)</f>
        <v>37</v>
      </c>
      <c r="G6" s="3">
        <f ca="1">IFERROR(__xludf.DUMMYFUNCTION("""COMPUTED_VALUE"""),56.7)</f>
        <v>56.7</v>
      </c>
      <c r="H6" s="3">
        <f ca="1">IFERROR(__xludf.DUMMYFUNCTION("""COMPUTED_VALUE"""),6.4)</f>
        <v>6.4</v>
      </c>
      <c r="I6" s="4">
        <f ca="1">IFERROR(__xludf.DUMMYFUNCTION("split(X6, "" | "")"),39.9)</f>
        <v>39.9</v>
      </c>
      <c r="J6" s="3">
        <f ca="1">IFERROR(__xludf.DUMMYFUNCTION("""COMPUTED_VALUE"""),26)</f>
        <v>26</v>
      </c>
      <c r="K6" s="3">
        <f ca="1">IFERROR(__xludf.DUMMYFUNCTION("""COMPUTED_VALUE"""),13.7)</f>
        <v>13.7</v>
      </c>
      <c r="L6" s="3">
        <f ca="1">IFERROR(__xludf.DUMMYFUNCTION("""COMPUTED_VALUE"""),13.9)</f>
        <v>13.9</v>
      </c>
      <c r="M6" s="3">
        <f ca="1">IFERROR(__xludf.DUMMYFUNCTION("""COMPUTED_VALUE"""),66)</f>
        <v>66</v>
      </c>
      <c r="N6" s="3">
        <f ca="1">IFERROR(__xludf.DUMMYFUNCTION("""COMPUTED_VALUE"""),27.6)</f>
        <v>27.6</v>
      </c>
      <c r="O6" s="3">
        <f ca="1">IFERROR(__xludf.DUMMYFUNCTION("""COMPUTED_VALUE"""),6.4)</f>
        <v>6.4</v>
      </c>
      <c r="P6" s="3">
        <f ca="1">IFERROR(__xludf.DUMMYFUNCTION("split(Y6, "" | "")"),69.7)</f>
        <v>69.7</v>
      </c>
      <c r="Q6" s="3">
        <f ca="1">IFERROR(__xludf.DUMMYFUNCTION("""COMPUTED_VALUE"""),18.8)</f>
        <v>18.8</v>
      </c>
      <c r="R6" s="3">
        <f ca="1">IFERROR(__xludf.DUMMYFUNCTION("""COMPUTED_VALUE"""),5.1)</f>
        <v>5.0999999999999996</v>
      </c>
      <c r="S6" s="3">
        <f ca="1">IFERROR(__xludf.DUMMYFUNCTION("""COMPUTED_VALUE"""),4.9)</f>
        <v>4.9000000000000004</v>
      </c>
      <c r="T6" s="3">
        <f ca="1">IFERROR(__xludf.DUMMYFUNCTION("""COMPUTED_VALUE"""),88.5)</f>
        <v>88.5</v>
      </c>
      <c r="U6" s="3">
        <f ca="1">IFERROR(__xludf.DUMMYFUNCTION("""COMPUTED_VALUE"""),10)</f>
        <v>10</v>
      </c>
      <c r="V6" s="3">
        <f ca="1">IFERROR(__xludf.DUMMYFUNCTION("""COMPUTED_VALUE"""),1.5)</f>
        <v>1.5</v>
      </c>
      <c r="W6" s="5"/>
      <c r="X6" s="5"/>
      <c r="Y6" s="5"/>
    </row>
    <row r="7" spans="1:25" ht="15.75" customHeight="1">
      <c r="A7" s="6">
        <v>43169</v>
      </c>
      <c r="B7" s="3">
        <f ca="1">IFERROR(__xludf.DUMMYFUNCTION("split(W7, "" | "")"),22.4)</f>
        <v>22.4</v>
      </c>
      <c r="C7" s="3">
        <f ca="1">IFERROR(__xludf.DUMMYFUNCTION("""COMPUTED_VALUE"""),17)</f>
        <v>17</v>
      </c>
      <c r="D7" s="3">
        <f ca="1">IFERROR(__xludf.DUMMYFUNCTION("""COMPUTED_VALUE"""),20.6)</f>
        <v>20.6</v>
      </c>
      <c r="E7" s="3">
        <f ca="1">IFERROR(__xludf.DUMMYFUNCTION("""COMPUTED_VALUE"""),30.6)</f>
        <v>30.6</v>
      </c>
      <c r="F7" s="3">
        <f ca="1">IFERROR(__xludf.DUMMYFUNCTION("""COMPUTED_VALUE"""),39.4)</f>
        <v>39.4</v>
      </c>
      <c r="G7" s="3">
        <f ca="1">IFERROR(__xludf.DUMMYFUNCTION("""COMPUTED_VALUE"""),51.2)</f>
        <v>51.2</v>
      </c>
      <c r="H7" s="3">
        <f ca="1">IFERROR(__xludf.DUMMYFUNCTION("""COMPUTED_VALUE"""),9.4)</f>
        <v>9.4</v>
      </c>
      <c r="I7" s="4">
        <f ca="1">IFERROR(__xludf.DUMMYFUNCTION("split(X7, "" | "")"),48.5)</f>
        <v>48.5</v>
      </c>
      <c r="J7" s="3">
        <f ca="1">IFERROR(__xludf.DUMMYFUNCTION("""COMPUTED_VALUE"""),23.2)</f>
        <v>23.2</v>
      </c>
      <c r="K7" s="3">
        <f ca="1">IFERROR(__xludf.DUMMYFUNCTION("""COMPUTED_VALUE"""),10.2)</f>
        <v>10.199999999999999</v>
      </c>
      <c r="L7" s="3">
        <f ca="1">IFERROR(__xludf.DUMMYFUNCTION("""COMPUTED_VALUE"""),12.5)</f>
        <v>12.5</v>
      </c>
      <c r="M7" s="3">
        <f ca="1">IFERROR(__xludf.DUMMYFUNCTION("""COMPUTED_VALUE"""),71.8)</f>
        <v>71.8</v>
      </c>
      <c r="N7" s="3">
        <f ca="1">IFERROR(__xludf.DUMMYFUNCTION("""COMPUTED_VALUE"""),22.7)</f>
        <v>22.7</v>
      </c>
      <c r="O7" s="3">
        <f ca="1">IFERROR(__xludf.DUMMYFUNCTION("""COMPUTED_VALUE"""),5.6)</f>
        <v>5.6</v>
      </c>
      <c r="P7" s="3">
        <f ca="1">IFERROR(__xludf.DUMMYFUNCTION("split(Y7, "" | "")"),71.5)</f>
        <v>71.5</v>
      </c>
      <c r="Q7" s="3">
        <f ca="1">IFERROR(__xludf.DUMMYFUNCTION("""COMPUTED_VALUE"""),15.6)</f>
        <v>15.6</v>
      </c>
      <c r="R7" s="3">
        <f ca="1">IFERROR(__xludf.DUMMYFUNCTION("""COMPUTED_VALUE"""),5.2)</f>
        <v>5.2</v>
      </c>
      <c r="S7" s="3">
        <f ca="1">IFERROR(__xludf.DUMMYFUNCTION("""COMPUTED_VALUE"""),4.7)</f>
        <v>4.7</v>
      </c>
      <c r="T7" s="3">
        <f ca="1">IFERROR(__xludf.DUMMYFUNCTION("""COMPUTED_VALUE"""),87)</f>
        <v>87</v>
      </c>
      <c r="U7" s="3">
        <f ca="1">IFERROR(__xludf.DUMMYFUNCTION("""COMPUTED_VALUE"""),9.9)</f>
        <v>9.9</v>
      </c>
      <c r="V7" s="3">
        <f ca="1">IFERROR(__xludf.DUMMYFUNCTION("""COMPUTED_VALUE"""),3.1)</f>
        <v>3.1</v>
      </c>
      <c r="W7" s="5"/>
      <c r="X7" s="5"/>
      <c r="Y7" s="5"/>
    </row>
    <row r="8" spans="1:25">
      <c r="A8" s="2">
        <v>43176</v>
      </c>
      <c r="B8" s="3">
        <f ca="1">IFERROR(__xludf.DUMMYFUNCTION("split(W8, "" | "")"),22)</f>
        <v>22</v>
      </c>
      <c r="C8" s="3">
        <f ca="1">IFERROR(__xludf.DUMMYFUNCTION("""COMPUTED_VALUE"""),14.2)</f>
        <v>14.2</v>
      </c>
      <c r="D8" s="3">
        <f ca="1">IFERROR(__xludf.DUMMYFUNCTION("""COMPUTED_VALUE"""),19.8)</f>
        <v>19.8</v>
      </c>
      <c r="E8" s="3">
        <f ca="1">IFERROR(__xludf.DUMMYFUNCTION("""COMPUTED_VALUE"""),36.8)</f>
        <v>36.799999999999997</v>
      </c>
      <c r="F8" s="3">
        <f ca="1">IFERROR(__xludf.DUMMYFUNCTION("""COMPUTED_VALUE"""),36.2)</f>
        <v>36.200000000000003</v>
      </c>
      <c r="G8" s="3">
        <f ca="1">IFERROR(__xludf.DUMMYFUNCTION("""COMPUTED_VALUE"""),56.6)</f>
        <v>56.6</v>
      </c>
      <c r="H8" s="3">
        <f ca="1">IFERROR(__xludf.DUMMYFUNCTION("""COMPUTED_VALUE"""),7.2)</f>
        <v>7.2</v>
      </c>
      <c r="I8" s="4">
        <f ca="1">IFERROR(__xludf.DUMMYFUNCTION("split(X8, "" | "")"),48.4)</f>
        <v>48.4</v>
      </c>
      <c r="J8" s="3">
        <f ca="1">IFERROR(__xludf.DUMMYFUNCTION("""COMPUTED_VALUE"""),23.4)</f>
        <v>23.4</v>
      </c>
      <c r="K8" s="3">
        <f ca="1">IFERROR(__xludf.DUMMYFUNCTION("""COMPUTED_VALUE"""),10.6)</f>
        <v>10.6</v>
      </c>
      <c r="L8" s="3">
        <f ca="1">IFERROR(__xludf.DUMMYFUNCTION("""COMPUTED_VALUE"""),13.8)</f>
        <v>13.8</v>
      </c>
      <c r="M8" s="3">
        <f ca="1">IFERROR(__xludf.DUMMYFUNCTION("""COMPUTED_VALUE"""),71.7)</f>
        <v>71.7</v>
      </c>
      <c r="N8" s="3">
        <f ca="1">IFERROR(__xludf.DUMMYFUNCTION("""COMPUTED_VALUE"""),24.5)</f>
        <v>24.5</v>
      </c>
      <c r="O8" s="3">
        <f ca="1">IFERROR(__xludf.DUMMYFUNCTION("""COMPUTED_VALUE"""),3.8)</f>
        <v>3.8</v>
      </c>
      <c r="P8" s="3">
        <f ca="1">IFERROR(__xludf.DUMMYFUNCTION("split(Y8, "" | "")"),73.6)</f>
        <v>73.599999999999994</v>
      </c>
      <c r="Q8" s="3">
        <f ca="1">IFERROR(__xludf.DUMMYFUNCTION("""COMPUTED_VALUE"""),15.8)</f>
        <v>15.8</v>
      </c>
      <c r="R8" s="3">
        <f ca="1">IFERROR(__xludf.DUMMYFUNCTION("""COMPUTED_VALUE"""),3.9)</f>
        <v>3.9</v>
      </c>
      <c r="S8" s="3">
        <f ca="1">IFERROR(__xludf.DUMMYFUNCTION("""COMPUTED_VALUE"""),5.3)</f>
        <v>5.3</v>
      </c>
      <c r="T8" s="3">
        <f ca="1">IFERROR(__xludf.DUMMYFUNCTION("""COMPUTED_VALUE"""),89.5)</f>
        <v>89.5</v>
      </c>
      <c r="U8" s="3">
        <f ca="1">IFERROR(__xludf.DUMMYFUNCTION("""COMPUTED_VALUE"""),9.1)</f>
        <v>9.1</v>
      </c>
      <c r="V8" s="3">
        <f ca="1">IFERROR(__xludf.DUMMYFUNCTION("""COMPUTED_VALUE"""),1.4)</f>
        <v>1.4</v>
      </c>
      <c r="W8" s="5"/>
      <c r="X8" s="5"/>
      <c r="Y8" s="5"/>
    </row>
    <row r="9" spans="1:25">
      <c r="A9" s="2">
        <v>43183</v>
      </c>
      <c r="B9" s="3">
        <f ca="1">IFERROR(__xludf.DUMMYFUNCTION("split(W9, "" | "")"),26.1)</f>
        <v>26.1</v>
      </c>
      <c r="C9" s="3">
        <f ca="1">IFERROR(__xludf.DUMMYFUNCTION("""COMPUTED_VALUE"""),16.7)</f>
        <v>16.7</v>
      </c>
      <c r="D9" s="3">
        <f ca="1">IFERROR(__xludf.DUMMYFUNCTION("""COMPUTED_VALUE"""),19.5)</f>
        <v>19.5</v>
      </c>
      <c r="E9" s="3">
        <f ca="1">IFERROR(__xludf.DUMMYFUNCTION("""COMPUTED_VALUE"""),33.1)</f>
        <v>33.1</v>
      </c>
      <c r="F9" s="3">
        <f ca="1">IFERROR(__xludf.DUMMYFUNCTION("""COMPUTED_VALUE"""),42.8)</f>
        <v>42.8</v>
      </c>
      <c r="G9" s="3">
        <f ca="1">IFERROR(__xludf.DUMMYFUNCTION("""COMPUTED_VALUE"""),52.6)</f>
        <v>52.6</v>
      </c>
      <c r="H9" s="3">
        <f ca="1">IFERROR(__xludf.DUMMYFUNCTION("""COMPUTED_VALUE"""),4.6)</f>
        <v>4.5999999999999996</v>
      </c>
      <c r="I9" s="4">
        <f ca="1">IFERROR(__xludf.DUMMYFUNCTION("split(X9, "" | "")"),46.3)</f>
        <v>46.3</v>
      </c>
      <c r="J9" s="3">
        <f ca="1">IFERROR(__xludf.DUMMYFUNCTION("""COMPUTED_VALUE"""),24.8)</f>
        <v>24.8</v>
      </c>
      <c r="K9" s="3">
        <f ca="1">IFERROR(__xludf.DUMMYFUNCTION("""COMPUTED_VALUE"""),12)</f>
        <v>12</v>
      </c>
      <c r="L9" s="3">
        <f ca="1">IFERROR(__xludf.DUMMYFUNCTION("""COMPUTED_VALUE"""),13.9)</f>
        <v>13.9</v>
      </c>
      <c r="M9" s="3">
        <f ca="1">IFERROR(__xludf.DUMMYFUNCTION("""COMPUTED_VALUE"""),71.2)</f>
        <v>71.2</v>
      </c>
      <c r="N9" s="3">
        <f ca="1">IFERROR(__xludf.DUMMYFUNCTION("""COMPUTED_VALUE"""),25.9)</f>
        <v>25.9</v>
      </c>
      <c r="O9" s="3">
        <f ca="1">IFERROR(__xludf.DUMMYFUNCTION("""COMPUTED_VALUE"""),2.9)</f>
        <v>2.9</v>
      </c>
      <c r="P9" s="3">
        <f ca="1">IFERROR(__xludf.DUMMYFUNCTION("split(Y9, "" | "")"),70.3)</f>
        <v>70.3</v>
      </c>
      <c r="Q9" s="3">
        <f ca="1">IFERROR(__xludf.DUMMYFUNCTION("""COMPUTED_VALUE"""),16.3)</f>
        <v>16.3</v>
      </c>
      <c r="R9" s="3">
        <f ca="1">IFERROR(__xludf.DUMMYFUNCTION("""COMPUTED_VALUE"""),4.6)</f>
        <v>4.5999999999999996</v>
      </c>
      <c r="S9" s="3">
        <f ca="1">IFERROR(__xludf.DUMMYFUNCTION("""COMPUTED_VALUE"""),4.9)</f>
        <v>4.9000000000000004</v>
      </c>
      <c r="T9" s="3">
        <f ca="1">IFERROR(__xludf.DUMMYFUNCTION("""COMPUTED_VALUE"""),86.6)</f>
        <v>86.6</v>
      </c>
      <c r="U9" s="3">
        <f ca="1">IFERROR(__xludf.DUMMYFUNCTION("""COMPUTED_VALUE"""),9.6)</f>
        <v>9.6</v>
      </c>
      <c r="V9" s="3">
        <f ca="1">IFERROR(__xludf.DUMMYFUNCTION("""COMPUTED_VALUE"""),3.8)</f>
        <v>3.8</v>
      </c>
      <c r="W9" s="5"/>
      <c r="X9" s="5"/>
      <c r="Y9" s="5"/>
    </row>
    <row r="10" spans="1:25">
      <c r="A10" s="2">
        <v>43190</v>
      </c>
      <c r="B10" s="3">
        <f ca="1">IFERROR(__xludf.DUMMYFUNCTION("split(W10, "" | "")"),24.2)</f>
        <v>24.2</v>
      </c>
      <c r="C10" s="3">
        <f ca="1">IFERROR(__xludf.DUMMYFUNCTION("""COMPUTED_VALUE"""),15.5)</f>
        <v>15.5</v>
      </c>
      <c r="D10" s="3">
        <f ca="1">IFERROR(__xludf.DUMMYFUNCTION("""COMPUTED_VALUE"""),22.6)</f>
        <v>22.6</v>
      </c>
      <c r="E10" s="3">
        <f ca="1">IFERROR(__xludf.DUMMYFUNCTION("""COMPUTED_VALUE"""),30.4)</f>
        <v>30.4</v>
      </c>
      <c r="F10" s="3">
        <f ca="1">IFERROR(__xludf.DUMMYFUNCTION("""COMPUTED_VALUE"""),39.7)</f>
        <v>39.700000000000003</v>
      </c>
      <c r="G10" s="3">
        <f ca="1">IFERROR(__xludf.DUMMYFUNCTION("""COMPUTED_VALUE"""),53)</f>
        <v>53</v>
      </c>
      <c r="H10" s="3">
        <f ca="1">IFERROR(__xludf.DUMMYFUNCTION("""COMPUTED_VALUE"""),7.3)</f>
        <v>7.3</v>
      </c>
      <c r="I10" s="4">
        <f ca="1">IFERROR(__xludf.DUMMYFUNCTION("split(X10, "" | "")"),45.5)</f>
        <v>45.5</v>
      </c>
      <c r="J10" s="3">
        <f ca="1">IFERROR(__xludf.DUMMYFUNCTION("""COMPUTED_VALUE"""),24.4)</f>
        <v>24.4</v>
      </c>
      <c r="K10" s="3">
        <f ca="1">IFERROR(__xludf.DUMMYFUNCTION("""COMPUTED_VALUE"""),12.1)</f>
        <v>12.1</v>
      </c>
      <c r="L10" s="3">
        <f ca="1">IFERROR(__xludf.DUMMYFUNCTION("""COMPUTED_VALUE"""),12.7)</f>
        <v>12.7</v>
      </c>
      <c r="M10" s="3">
        <f ca="1">IFERROR(__xludf.DUMMYFUNCTION("""COMPUTED_VALUE"""),69.9)</f>
        <v>69.900000000000006</v>
      </c>
      <c r="N10" s="3">
        <f ca="1">IFERROR(__xludf.DUMMYFUNCTION("""COMPUTED_VALUE"""),24.8)</f>
        <v>24.8</v>
      </c>
      <c r="O10" s="3">
        <f ca="1">IFERROR(__xludf.DUMMYFUNCTION("""COMPUTED_VALUE"""),5.3)</f>
        <v>5.3</v>
      </c>
      <c r="P10" s="3">
        <f ca="1">IFERROR(__xludf.DUMMYFUNCTION("split(Y10, "" | "")"),69.1)</f>
        <v>69.099999999999994</v>
      </c>
      <c r="Q10" s="3">
        <f ca="1">IFERROR(__xludf.DUMMYFUNCTION("""COMPUTED_VALUE"""),18)</f>
        <v>18</v>
      </c>
      <c r="R10" s="3">
        <f ca="1">IFERROR(__xludf.DUMMYFUNCTION("""COMPUTED_VALUE"""),5.2)</f>
        <v>5.2</v>
      </c>
      <c r="S10" s="3">
        <f ca="1">IFERROR(__xludf.DUMMYFUNCTION("""COMPUTED_VALUE"""),5.2)</f>
        <v>5.2</v>
      </c>
      <c r="T10" s="3">
        <f ca="1">IFERROR(__xludf.DUMMYFUNCTION("""COMPUTED_VALUE"""),87.1)</f>
        <v>87.1</v>
      </c>
      <c r="U10" s="3">
        <f ca="1">IFERROR(__xludf.DUMMYFUNCTION("""COMPUTED_VALUE"""),10.4)</f>
        <v>10.4</v>
      </c>
      <c r="V10" s="3">
        <f ca="1">IFERROR(__xludf.DUMMYFUNCTION("""COMPUTED_VALUE"""),2.5)</f>
        <v>2.5</v>
      </c>
      <c r="W10" s="5"/>
      <c r="X10" s="5"/>
      <c r="Y10" s="5"/>
    </row>
    <row r="11" spans="1:25">
      <c r="A11" s="2">
        <v>43197</v>
      </c>
      <c r="B11" s="3">
        <f ca="1">IFERROR(__xludf.DUMMYFUNCTION("split(W11, "" | "")"),23.4)</f>
        <v>23.4</v>
      </c>
      <c r="C11" s="3">
        <f ca="1">IFERROR(__xludf.DUMMYFUNCTION("""COMPUTED_VALUE"""),17)</f>
        <v>17</v>
      </c>
      <c r="D11" s="3">
        <f ca="1">IFERROR(__xludf.DUMMYFUNCTION("""COMPUTED_VALUE"""),17.7)</f>
        <v>17.7</v>
      </c>
      <c r="E11" s="3">
        <f ca="1">IFERROR(__xludf.DUMMYFUNCTION("""COMPUTED_VALUE"""),33.3)</f>
        <v>33.299999999999997</v>
      </c>
      <c r="F11" s="3">
        <f ca="1">IFERROR(__xludf.DUMMYFUNCTION("""COMPUTED_VALUE"""),40.5)</f>
        <v>40.5</v>
      </c>
      <c r="G11" s="3">
        <f ca="1">IFERROR(__xludf.DUMMYFUNCTION("""COMPUTED_VALUE"""),51)</f>
        <v>51</v>
      </c>
      <c r="H11" s="3">
        <f ca="1">IFERROR(__xludf.DUMMYFUNCTION("""COMPUTED_VALUE"""),8.6)</f>
        <v>8.6</v>
      </c>
      <c r="I11" s="4">
        <f ca="1">IFERROR(__xludf.DUMMYFUNCTION("split(X11, "" | "")"),40.7)</f>
        <v>40.700000000000003</v>
      </c>
      <c r="J11" s="3">
        <f ca="1">IFERROR(__xludf.DUMMYFUNCTION("""COMPUTED_VALUE"""),27.9)</f>
        <v>27.9</v>
      </c>
      <c r="K11" s="3">
        <f ca="1">IFERROR(__xludf.DUMMYFUNCTION("""COMPUTED_VALUE"""),12.3)</f>
        <v>12.3</v>
      </c>
      <c r="L11" s="3">
        <f ca="1">IFERROR(__xludf.DUMMYFUNCTION("""COMPUTED_VALUE"""),14.2)</f>
        <v>14.2</v>
      </c>
      <c r="M11" s="3">
        <f ca="1">IFERROR(__xludf.DUMMYFUNCTION("""COMPUTED_VALUE"""),68.6)</f>
        <v>68.599999999999994</v>
      </c>
      <c r="N11" s="3">
        <f ca="1">IFERROR(__xludf.DUMMYFUNCTION("""COMPUTED_VALUE"""),26.5)</f>
        <v>26.5</v>
      </c>
      <c r="O11" s="3">
        <f ca="1">IFERROR(__xludf.DUMMYFUNCTION("""COMPUTED_VALUE"""),4.9)</f>
        <v>4.9000000000000004</v>
      </c>
      <c r="P11" s="3">
        <f ca="1">IFERROR(__xludf.DUMMYFUNCTION("split(Y11, "" | "")"),64.4)</f>
        <v>64.400000000000006</v>
      </c>
      <c r="Q11" s="3">
        <f ca="1">IFERROR(__xludf.DUMMYFUNCTION("""COMPUTED_VALUE"""),21.7)</f>
        <v>21.7</v>
      </c>
      <c r="R11" s="3">
        <f ca="1">IFERROR(__xludf.DUMMYFUNCTION("""COMPUTED_VALUE"""),5.4)</f>
        <v>5.4</v>
      </c>
      <c r="S11" s="3">
        <f ca="1">IFERROR(__xludf.DUMMYFUNCTION("""COMPUTED_VALUE"""),5.9)</f>
        <v>5.9</v>
      </c>
      <c r="T11" s="3">
        <f ca="1">IFERROR(__xludf.DUMMYFUNCTION("""COMPUTED_VALUE"""),86.1)</f>
        <v>86.1</v>
      </c>
      <c r="U11" s="3">
        <f ca="1">IFERROR(__xludf.DUMMYFUNCTION("""COMPUTED_VALUE"""),11.3)</f>
        <v>11.3</v>
      </c>
      <c r="V11" s="3">
        <f ca="1">IFERROR(__xludf.DUMMYFUNCTION("""COMPUTED_VALUE"""),2.6)</f>
        <v>2.6</v>
      </c>
      <c r="W11" s="5"/>
      <c r="X11" s="5"/>
      <c r="Y11" s="5"/>
    </row>
    <row r="12" spans="1:25">
      <c r="A12" s="2">
        <v>43204</v>
      </c>
      <c r="B12" s="3">
        <f ca="1">IFERROR(__xludf.DUMMYFUNCTION("split(W12, "" | "")"),24.5)</f>
        <v>24.5</v>
      </c>
      <c r="C12" s="3">
        <f ca="1">IFERROR(__xludf.DUMMYFUNCTION("""COMPUTED_VALUE"""),15)</f>
        <v>15</v>
      </c>
      <c r="D12" s="3">
        <f ca="1">IFERROR(__xludf.DUMMYFUNCTION("""COMPUTED_VALUE"""),22.1)</f>
        <v>22.1</v>
      </c>
      <c r="E12" s="3">
        <f ca="1">IFERROR(__xludf.DUMMYFUNCTION("""COMPUTED_VALUE"""),32)</f>
        <v>32</v>
      </c>
      <c r="F12" s="3">
        <f ca="1">IFERROR(__xludf.DUMMYFUNCTION("""COMPUTED_VALUE"""),39.5)</f>
        <v>39.5</v>
      </c>
      <c r="G12" s="3">
        <f ca="1">IFERROR(__xludf.DUMMYFUNCTION("""COMPUTED_VALUE"""),54.1)</f>
        <v>54.1</v>
      </c>
      <c r="H12" s="3">
        <f ca="1">IFERROR(__xludf.DUMMYFUNCTION("""COMPUTED_VALUE"""),6.4)</f>
        <v>6.4</v>
      </c>
      <c r="I12" s="4">
        <f ca="1">IFERROR(__xludf.DUMMYFUNCTION("split(X12, "" | "")"),42.4)</f>
        <v>42.4</v>
      </c>
      <c r="J12" s="3">
        <f ca="1">IFERROR(__xludf.DUMMYFUNCTION("""COMPUTED_VALUE"""),27)</f>
        <v>27</v>
      </c>
      <c r="K12" s="3">
        <f ca="1">IFERROR(__xludf.DUMMYFUNCTION("""COMPUTED_VALUE"""),15.3)</f>
        <v>15.3</v>
      </c>
      <c r="L12" s="3">
        <f ca="1">IFERROR(__xludf.DUMMYFUNCTION("""COMPUTED_VALUE"""),12.8)</f>
        <v>12.8</v>
      </c>
      <c r="M12" s="3">
        <f ca="1">IFERROR(__xludf.DUMMYFUNCTION("""COMPUTED_VALUE"""),69.4)</f>
        <v>69.400000000000006</v>
      </c>
      <c r="N12" s="3">
        <f ca="1">IFERROR(__xludf.DUMMYFUNCTION("""COMPUTED_VALUE"""),28.1)</f>
        <v>28.1</v>
      </c>
      <c r="O12" s="3">
        <f ca="1">IFERROR(__xludf.DUMMYFUNCTION("""COMPUTED_VALUE"""),2.5)</f>
        <v>2.5</v>
      </c>
      <c r="P12" s="3">
        <f ca="1">IFERROR(__xludf.DUMMYFUNCTION("split(Y12, "" | "")"),64.5)</f>
        <v>64.5</v>
      </c>
      <c r="Q12" s="3">
        <f ca="1">IFERROR(__xludf.DUMMYFUNCTION("""COMPUTED_VALUE"""),21.8)</f>
        <v>21.8</v>
      </c>
      <c r="R12" s="3">
        <f ca="1">IFERROR(__xludf.DUMMYFUNCTION("""COMPUTED_VALUE"""),5.3)</f>
        <v>5.3</v>
      </c>
      <c r="S12" s="3">
        <f ca="1">IFERROR(__xludf.DUMMYFUNCTION("""COMPUTED_VALUE"""),6.4)</f>
        <v>6.4</v>
      </c>
      <c r="T12" s="3">
        <f ca="1">IFERROR(__xludf.DUMMYFUNCTION("""COMPUTED_VALUE"""),86.3)</f>
        <v>86.3</v>
      </c>
      <c r="U12" s="3">
        <f ca="1">IFERROR(__xludf.DUMMYFUNCTION("""COMPUTED_VALUE"""),11.7)</f>
        <v>11.7</v>
      </c>
      <c r="V12" s="3">
        <f ca="1">IFERROR(__xludf.DUMMYFUNCTION("""COMPUTED_VALUE"""),2.1)</f>
        <v>2.1</v>
      </c>
      <c r="W12" s="5"/>
      <c r="X12" s="5"/>
      <c r="Y12" s="5"/>
    </row>
    <row r="13" spans="1:25">
      <c r="A13" s="2">
        <v>43211</v>
      </c>
      <c r="B13" s="3">
        <f ca="1">IFERROR(__xludf.DUMMYFUNCTION("split(W13, "" | "")"),25.5)</f>
        <v>25.5</v>
      </c>
      <c r="C13" s="3">
        <f ca="1">IFERROR(__xludf.DUMMYFUNCTION("""COMPUTED_VALUE"""),17.8)</f>
        <v>17.8</v>
      </c>
      <c r="D13" s="3">
        <f ca="1">IFERROR(__xludf.DUMMYFUNCTION("""COMPUTED_VALUE"""),21.7)</f>
        <v>21.7</v>
      </c>
      <c r="E13" s="3">
        <f ca="1">IFERROR(__xludf.DUMMYFUNCTION("""COMPUTED_VALUE"""),30.8)</f>
        <v>30.8</v>
      </c>
      <c r="F13" s="3">
        <f ca="1">IFERROR(__xludf.DUMMYFUNCTION("""COMPUTED_VALUE"""),43.3)</f>
        <v>43.3</v>
      </c>
      <c r="G13" s="3">
        <f ca="1">IFERROR(__xludf.DUMMYFUNCTION("""COMPUTED_VALUE"""),52.5)</f>
        <v>52.5</v>
      </c>
      <c r="H13" s="3">
        <f ca="1">IFERROR(__xludf.DUMMYFUNCTION("""COMPUTED_VALUE"""),4.2)</f>
        <v>4.2</v>
      </c>
      <c r="I13" s="4">
        <f ca="1">IFERROR(__xludf.DUMMYFUNCTION("split(X13, "" | "")"),49)</f>
        <v>49</v>
      </c>
      <c r="J13" s="3">
        <f ca="1">IFERROR(__xludf.DUMMYFUNCTION("""COMPUTED_VALUE"""),20.3)</f>
        <v>20.3</v>
      </c>
      <c r="K13" s="3">
        <f ca="1">IFERROR(__xludf.DUMMYFUNCTION("""COMPUTED_VALUE"""),13.3)</f>
        <v>13.3</v>
      </c>
      <c r="L13" s="3">
        <f ca="1">IFERROR(__xludf.DUMMYFUNCTION("""COMPUTED_VALUE"""),13.3)</f>
        <v>13.3</v>
      </c>
      <c r="M13" s="3">
        <f ca="1">IFERROR(__xludf.DUMMYFUNCTION("""COMPUTED_VALUE"""),69.3)</f>
        <v>69.3</v>
      </c>
      <c r="N13" s="3">
        <f ca="1">IFERROR(__xludf.DUMMYFUNCTION("""COMPUTED_VALUE"""),26.6)</f>
        <v>26.6</v>
      </c>
      <c r="O13" s="3">
        <f ca="1">IFERROR(__xludf.DUMMYFUNCTION("""COMPUTED_VALUE"""),4.1)</f>
        <v>4.0999999999999996</v>
      </c>
      <c r="P13" s="3">
        <f ca="1">IFERROR(__xludf.DUMMYFUNCTION("split(Y13, "" | "")"),72.7)</f>
        <v>72.7</v>
      </c>
      <c r="Q13" s="3">
        <f ca="1">IFERROR(__xludf.DUMMYFUNCTION("""COMPUTED_VALUE"""),20.1)</f>
        <v>20.100000000000001</v>
      </c>
      <c r="R13" s="3">
        <f ca="1">IFERROR(__xludf.DUMMYFUNCTION("""COMPUTED_VALUE"""),2.2)</f>
        <v>2.2000000000000002</v>
      </c>
      <c r="S13" s="3">
        <f ca="1">IFERROR(__xludf.DUMMYFUNCTION("""COMPUTED_VALUE"""),3.8)</f>
        <v>3.8</v>
      </c>
      <c r="T13" s="3">
        <f ca="1">IFERROR(__xludf.DUMMYFUNCTION("""COMPUTED_VALUE"""),92.8)</f>
        <v>92.8</v>
      </c>
      <c r="U13" s="3">
        <f ca="1">IFERROR(__xludf.DUMMYFUNCTION("""COMPUTED_VALUE"""),5.9)</f>
        <v>5.9</v>
      </c>
      <c r="V13" s="3">
        <f ca="1">IFERROR(__xludf.DUMMYFUNCTION("""COMPUTED_VALUE"""),1.3)</f>
        <v>1.3</v>
      </c>
      <c r="W13" s="5"/>
      <c r="X13" s="5"/>
      <c r="Y13" s="5"/>
    </row>
    <row r="14" spans="1:25">
      <c r="A14" s="2">
        <v>43218</v>
      </c>
      <c r="B14" s="3">
        <f ca="1">IFERROR(__xludf.DUMMYFUNCTION("split(W14, "" | "")"),35)</f>
        <v>35</v>
      </c>
      <c r="C14" s="3">
        <f ca="1">IFERROR(__xludf.DUMMYFUNCTION("""COMPUTED_VALUE"""),20.6)</f>
        <v>20.6</v>
      </c>
      <c r="D14" s="3">
        <f ca="1">IFERROR(__xludf.DUMMYFUNCTION("""COMPUTED_VALUE"""),15.7)</f>
        <v>15.7</v>
      </c>
      <c r="E14" s="3">
        <f ca="1">IFERROR(__xludf.DUMMYFUNCTION("""COMPUTED_VALUE"""),20.3)</f>
        <v>20.3</v>
      </c>
      <c r="F14" s="3">
        <f ca="1">IFERROR(__xludf.DUMMYFUNCTION("""COMPUTED_VALUE"""),55.5)</f>
        <v>55.5</v>
      </c>
      <c r="G14" s="3">
        <f ca="1">IFERROR(__xludf.DUMMYFUNCTION("""COMPUTED_VALUE"""),36)</f>
        <v>36</v>
      </c>
      <c r="H14" s="3">
        <f ca="1">IFERROR(__xludf.DUMMYFUNCTION("""COMPUTED_VALUE"""),8.5)</f>
        <v>8.5</v>
      </c>
      <c r="I14" s="4">
        <f ca="1">IFERROR(__xludf.DUMMYFUNCTION("split(X14, "" | "")"),51.6)</f>
        <v>51.6</v>
      </c>
      <c r="J14" s="3">
        <f ca="1">IFERROR(__xludf.DUMMYFUNCTION("""COMPUTED_VALUE"""),27.2)</f>
        <v>27.2</v>
      </c>
      <c r="K14" s="3">
        <f ca="1">IFERROR(__xludf.DUMMYFUNCTION("""COMPUTED_VALUE"""),8.6)</f>
        <v>8.6</v>
      </c>
      <c r="L14" s="3">
        <f ca="1">IFERROR(__xludf.DUMMYFUNCTION("""COMPUTED_VALUE"""),8.2)</f>
        <v>8.1999999999999993</v>
      </c>
      <c r="M14" s="3">
        <f ca="1">IFERROR(__xludf.DUMMYFUNCTION("""COMPUTED_VALUE"""),78.8)</f>
        <v>78.8</v>
      </c>
      <c r="N14" s="3">
        <f ca="1">IFERROR(__xludf.DUMMYFUNCTION("""COMPUTED_VALUE"""),16.8)</f>
        <v>16.8</v>
      </c>
      <c r="O14" s="3">
        <f ca="1">IFERROR(__xludf.DUMMYFUNCTION("""COMPUTED_VALUE"""),4.4)</f>
        <v>4.4000000000000004</v>
      </c>
      <c r="P14" s="3">
        <f ca="1">IFERROR(__xludf.DUMMYFUNCTION("split(Y14, "" | "")"),78)</f>
        <v>78</v>
      </c>
      <c r="Q14" s="3">
        <f ca="1">IFERROR(__xludf.DUMMYFUNCTION("""COMPUTED_VALUE"""),13.7)</f>
        <v>13.7</v>
      </c>
      <c r="R14" s="3">
        <f ca="1">IFERROR(__xludf.DUMMYFUNCTION("""COMPUTED_VALUE"""),2.6)</f>
        <v>2.6</v>
      </c>
      <c r="S14" s="3">
        <f ca="1">IFERROR(__xludf.DUMMYFUNCTION("""COMPUTED_VALUE"""),3.2)</f>
        <v>3.2</v>
      </c>
      <c r="T14" s="3">
        <f ca="1">IFERROR(__xludf.DUMMYFUNCTION("""COMPUTED_VALUE"""),91.7)</f>
        <v>91.7</v>
      </c>
      <c r="U14" s="3">
        <f ca="1">IFERROR(__xludf.DUMMYFUNCTION("""COMPUTED_VALUE"""),5.7)</f>
        <v>5.7</v>
      </c>
      <c r="V14" s="3">
        <f ca="1">IFERROR(__xludf.DUMMYFUNCTION("""COMPUTED_VALUE"""),2.6)</f>
        <v>2.6</v>
      </c>
      <c r="W14" s="5"/>
      <c r="X14" s="5"/>
      <c r="Y14" s="5"/>
    </row>
    <row r="15" spans="1:25">
      <c r="A15" s="2">
        <v>43225</v>
      </c>
      <c r="B15" s="3">
        <f ca="1">IFERROR(__xludf.DUMMYFUNCTION("split(W15, "" | "")"),30.6)</f>
        <v>30.6</v>
      </c>
      <c r="C15" s="3">
        <f ca="1">IFERROR(__xludf.DUMMYFUNCTION("""COMPUTED_VALUE"""),21.4)</f>
        <v>21.4</v>
      </c>
      <c r="D15" s="3">
        <f ca="1">IFERROR(__xludf.DUMMYFUNCTION("""COMPUTED_VALUE"""),18.3)</f>
        <v>18.3</v>
      </c>
      <c r="E15" s="3">
        <f ca="1">IFERROR(__xludf.DUMMYFUNCTION("""COMPUTED_VALUE"""),24.5)</f>
        <v>24.5</v>
      </c>
      <c r="F15" s="3">
        <f ca="1">IFERROR(__xludf.DUMMYFUNCTION("""COMPUTED_VALUE"""),52)</f>
        <v>52</v>
      </c>
      <c r="G15" s="3">
        <f ca="1">IFERROR(__xludf.DUMMYFUNCTION("""COMPUTED_VALUE"""),42.8)</f>
        <v>42.8</v>
      </c>
      <c r="H15" s="3">
        <f ca="1">IFERROR(__xludf.DUMMYFUNCTION("""COMPUTED_VALUE"""),5.2)</f>
        <v>5.2</v>
      </c>
      <c r="I15" s="4">
        <f ca="1">IFERROR(__xludf.DUMMYFUNCTION("split(X15, "" | "")"),49.6)</f>
        <v>49.6</v>
      </c>
      <c r="J15" s="3">
        <f ca="1">IFERROR(__xludf.DUMMYFUNCTION("""COMPUTED_VALUE"""),26)</f>
        <v>26</v>
      </c>
      <c r="K15" s="3">
        <f ca="1">IFERROR(__xludf.DUMMYFUNCTION("""COMPUTED_VALUE"""),9.9)</f>
        <v>9.9</v>
      </c>
      <c r="L15" s="3">
        <f ca="1">IFERROR(__xludf.DUMMYFUNCTION("""COMPUTED_VALUE"""),8.4)</f>
        <v>8.4</v>
      </c>
      <c r="M15" s="3">
        <f ca="1">IFERROR(__xludf.DUMMYFUNCTION("""COMPUTED_VALUE"""),75.7)</f>
        <v>75.7</v>
      </c>
      <c r="N15" s="3">
        <f ca="1">IFERROR(__xludf.DUMMYFUNCTION("""COMPUTED_VALUE"""),18.3)</f>
        <v>18.3</v>
      </c>
      <c r="O15" s="3">
        <f ca="1">IFERROR(__xludf.DUMMYFUNCTION("""COMPUTED_VALUE"""),6.1)</f>
        <v>6.1</v>
      </c>
      <c r="P15" s="3">
        <f ca="1">IFERROR(__xludf.DUMMYFUNCTION("split(Y15, "" | "")"),71.3)</f>
        <v>71.3</v>
      </c>
      <c r="Q15" s="3">
        <f ca="1">IFERROR(__xludf.DUMMYFUNCTION("""COMPUTED_VALUE"""),18.9)</f>
        <v>18.899999999999999</v>
      </c>
      <c r="R15" s="3">
        <f ca="1">IFERROR(__xludf.DUMMYFUNCTION("""COMPUTED_VALUE"""),3.4)</f>
        <v>3.4</v>
      </c>
      <c r="S15" s="3">
        <f ca="1">IFERROR(__xludf.DUMMYFUNCTION("""COMPUTED_VALUE"""),3)</f>
        <v>3</v>
      </c>
      <c r="T15" s="3">
        <f ca="1">IFERROR(__xludf.DUMMYFUNCTION("""COMPUTED_VALUE"""),90.2)</f>
        <v>90.2</v>
      </c>
      <c r="U15" s="3">
        <f ca="1">IFERROR(__xludf.DUMMYFUNCTION("""COMPUTED_VALUE"""),6.4)</f>
        <v>6.4</v>
      </c>
      <c r="V15" s="3">
        <f ca="1">IFERROR(__xludf.DUMMYFUNCTION("""COMPUTED_VALUE"""),3.4)</f>
        <v>3.4</v>
      </c>
      <c r="W15" s="5"/>
      <c r="X15" s="5"/>
      <c r="Y15" s="5"/>
    </row>
    <row r="16" spans="1:25">
      <c r="A16" s="2">
        <v>43232</v>
      </c>
      <c r="B16" s="3">
        <f ca="1">IFERROR(__xludf.DUMMYFUNCTION("split(W16, "" | "")"),25.5)</f>
        <v>25.5</v>
      </c>
      <c r="C16" s="3">
        <f ca="1">IFERROR(__xludf.DUMMYFUNCTION("""COMPUTED_VALUE"""),22.2)</f>
        <v>22.2</v>
      </c>
      <c r="D16" s="3">
        <f ca="1">IFERROR(__xludf.DUMMYFUNCTION("""COMPUTED_VALUE"""),19)</f>
        <v>19</v>
      </c>
      <c r="E16" s="3">
        <f ca="1">IFERROR(__xludf.DUMMYFUNCTION("""COMPUTED_VALUE"""),26.2)</f>
        <v>26.2</v>
      </c>
      <c r="F16" s="3">
        <f ca="1">IFERROR(__xludf.DUMMYFUNCTION("""COMPUTED_VALUE"""),47.7)</f>
        <v>47.7</v>
      </c>
      <c r="G16" s="3">
        <f ca="1">IFERROR(__xludf.DUMMYFUNCTION("""COMPUTED_VALUE"""),45.2)</f>
        <v>45.2</v>
      </c>
      <c r="H16" s="3">
        <f ca="1">IFERROR(__xludf.DUMMYFUNCTION("""COMPUTED_VALUE"""),7.1)</f>
        <v>7.1</v>
      </c>
      <c r="I16" s="4">
        <f ca="1">IFERROR(__xludf.DUMMYFUNCTION("split(X16, "" | "")"),47)</f>
        <v>47</v>
      </c>
      <c r="J16" s="3">
        <f ca="1">IFERROR(__xludf.DUMMYFUNCTION("""COMPUTED_VALUE"""),28.5)</f>
        <v>28.5</v>
      </c>
      <c r="K16" s="3">
        <f ca="1">IFERROR(__xludf.DUMMYFUNCTION("""COMPUTED_VALUE"""),10.9)</f>
        <v>10.9</v>
      </c>
      <c r="L16" s="3">
        <f ca="1">IFERROR(__xludf.DUMMYFUNCTION("""COMPUTED_VALUE"""),10.6)</f>
        <v>10.6</v>
      </c>
      <c r="M16" s="3">
        <f ca="1">IFERROR(__xludf.DUMMYFUNCTION("""COMPUTED_VALUE"""),75.5)</f>
        <v>75.5</v>
      </c>
      <c r="N16" s="3">
        <f ca="1">IFERROR(__xludf.DUMMYFUNCTION("""COMPUTED_VALUE"""),21.5)</f>
        <v>21.5</v>
      </c>
      <c r="O16" s="3">
        <f ca="1">IFERROR(__xludf.DUMMYFUNCTION("""COMPUTED_VALUE"""),3)</f>
        <v>3</v>
      </c>
      <c r="P16" s="3">
        <f ca="1">IFERROR(__xludf.DUMMYFUNCTION("split(Y16, "" | "")"),71)</f>
        <v>71</v>
      </c>
      <c r="Q16" s="3">
        <f ca="1">IFERROR(__xludf.DUMMYFUNCTION("""COMPUTED_VALUE"""),18.7)</f>
        <v>18.7</v>
      </c>
      <c r="R16" s="3">
        <f ca="1">IFERROR(__xludf.DUMMYFUNCTION("""COMPUTED_VALUE"""),3.7)</f>
        <v>3.7</v>
      </c>
      <c r="S16" s="3">
        <f ca="1">IFERROR(__xludf.DUMMYFUNCTION("""COMPUTED_VALUE"""),4.2)</f>
        <v>4.2</v>
      </c>
      <c r="T16" s="3">
        <f ca="1">IFERROR(__xludf.DUMMYFUNCTION("""COMPUTED_VALUE"""),89.7)</f>
        <v>89.7</v>
      </c>
      <c r="U16" s="3">
        <f ca="1">IFERROR(__xludf.DUMMYFUNCTION("""COMPUTED_VALUE"""),7.9)</f>
        <v>7.9</v>
      </c>
      <c r="V16" s="3">
        <f ca="1">IFERROR(__xludf.DUMMYFUNCTION("""COMPUTED_VALUE"""),2.4)</f>
        <v>2.4</v>
      </c>
      <c r="W16" s="5"/>
      <c r="X16" s="5"/>
      <c r="Y16" s="5"/>
    </row>
    <row r="17" spans="1:25">
      <c r="A17" s="2">
        <v>43239</v>
      </c>
      <c r="B17" s="3">
        <f ca="1">IFERROR(__xludf.DUMMYFUNCTION("split(W17, "" | "")"),27.7)</f>
        <v>27.7</v>
      </c>
      <c r="C17" s="3">
        <f ca="1">IFERROR(__xludf.DUMMYFUNCTION("""COMPUTED_VALUE"""),18.2)</f>
        <v>18.2</v>
      </c>
      <c r="D17" s="3">
        <f ca="1">IFERROR(__xludf.DUMMYFUNCTION("""COMPUTED_VALUE"""),19)</f>
        <v>19</v>
      </c>
      <c r="E17" s="3">
        <f ca="1">IFERROR(__xludf.DUMMYFUNCTION("""COMPUTED_VALUE"""),30.1)</f>
        <v>30.1</v>
      </c>
      <c r="F17" s="3">
        <f ca="1">IFERROR(__xludf.DUMMYFUNCTION("""COMPUTED_VALUE"""),45.9)</f>
        <v>45.9</v>
      </c>
      <c r="G17" s="3">
        <f ca="1">IFERROR(__xludf.DUMMYFUNCTION("""COMPUTED_VALUE"""),49.1)</f>
        <v>49.1</v>
      </c>
      <c r="H17" s="3">
        <f ca="1">IFERROR(__xludf.DUMMYFUNCTION("""COMPUTED_VALUE"""),5)</f>
        <v>5</v>
      </c>
      <c r="I17" s="4">
        <f ca="1">IFERROR(__xludf.DUMMYFUNCTION("split(X17, "" | "")"),45.5)</f>
        <v>45.5</v>
      </c>
      <c r="J17" s="3">
        <f ca="1">IFERROR(__xludf.DUMMYFUNCTION("""COMPUTED_VALUE"""),28.4)</f>
        <v>28.4</v>
      </c>
      <c r="K17" s="3">
        <f ca="1">IFERROR(__xludf.DUMMYFUNCTION("""COMPUTED_VALUE"""),11.5)</f>
        <v>11.5</v>
      </c>
      <c r="L17" s="3">
        <f ca="1">IFERROR(__xludf.DUMMYFUNCTION("""COMPUTED_VALUE"""),10.8)</f>
        <v>10.8</v>
      </c>
      <c r="M17" s="3">
        <f ca="1">IFERROR(__xludf.DUMMYFUNCTION("""COMPUTED_VALUE"""),73.8)</f>
        <v>73.8</v>
      </c>
      <c r="N17" s="3">
        <f ca="1">IFERROR(__xludf.DUMMYFUNCTION("""COMPUTED_VALUE"""),22.3)</f>
        <v>22.3</v>
      </c>
      <c r="O17" s="3">
        <f ca="1">IFERROR(__xludf.DUMMYFUNCTION("""COMPUTED_VALUE"""),3.8)</f>
        <v>3.8</v>
      </c>
      <c r="P17" s="3">
        <f ca="1">IFERROR(__xludf.DUMMYFUNCTION("split(Y17, "" | "")"),70.3)</f>
        <v>70.3</v>
      </c>
      <c r="Q17" s="3">
        <f ca="1">IFERROR(__xludf.DUMMYFUNCTION("""COMPUTED_VALUE"""),19)</f>
        <v>19</v>
      </c>
      <c r="R17" s="3">
        <f ca="1">IFERROR(__xludf.DUMMYFUNCTION("""COMPUTED_VALUE"""),3.1)</f>
        <v>3.1</v>
      </c>
      <c r="S17" s="3">
        <f ca="1">IFERROR(__xludf.DUMMYFUNCTION("""COMPUTED_VALUE"""),5.8)</f>
        <v>5.8</v>
      </c>
      <c r="T17" s="3">
        <f ca="1">IFERROR(__xludf.DUMMYFUNCTION("""COMPUTED_VALUE"""),89.3)</f>
        <v>89.3</v>
      </c>
      <c r="U17" s="3">
        <f ca="1">IFERROR(__xludf.DUMMYFUNCTION("""COMPUTED_VALUE"""),8.8)</f>
        <v>8.8000000000000007</v>
      </c>
      <c r="V17" s="3">
        <f ca="1">IFERROR(__xludf.DUMMYFUNCTION("""COMPUTED_VALUE"""),1.9)</f>
        <v>1.9</v>
      </c>
      <c r="W17" s="5"/>
      <c r="X17" s="5"/>
      <c r="Y17" s="5"/>
    </row>
    <row r="18" spans="1:25">
      <c r="A18" s="2">
        <v>43246</v>
      </c>
      <c r="B18" s="3">
        <f ca="1">IFERROR(__xludf.DUMMYFUNCTION("split(W18, "" | "")"),26.5)</f>
        <v>26.5</v>
      </c>
      <c r="C18" s="3">
        <f ca="1">IFERROR(__xludf.DUMMYFUNCTION("""COMPUTED_VALUE"""),19)</f>
        <v>19</v>
      </c>
      <c r="D18" s="3">
        <f ca="1">IFERROR(__xludf.DUMMYFUNCTION("""COMPUTED_VALUE"""),21.4)</f>
        <v>21.4</v>
      </c>
      <c r="E18" s="3">
        <f ca="1">IFERROR(__xludf.DUMMYFUNCTION("""COMPUTED_VALUE"""),25.5)</f>
        <v>25.5</v>
      </c>
      <c r="F18" s="3">
        <f ca="1">IFERROR(__xludf.DUMMYFUNCTION("""COMPUTED_VALUE"""),45.5)</f>
        <v>45.5</v>
      </c>
      <c r="G18" s="3">
        <f ca="1">IFERROR(__xludf.DUMMYFUNCTION("""COMPUTED_VALUE"""),46.9)</f>
        <v>46.9</v>
      </c>
      <c r="H18" s="3">
        <f ca="1">IFERROR(__xludf.DUMMYFUNCTION("""COMPUTED_VALUE"""),7.7)</f>
        <v>7.7</v>
      </c>
      <c r="I18" s="4">
        <f ca="1">IFERROR(__xludf.DUMMYFUNCTION("split(X18, "" | "")"),50.5)</f>
        <v>50.5</v>
      </c>
      <c r="J18" s="3">
        <f ca="1">IFERROR(__xludf.DUMMYFUNCTION("""COMPUTED_VALUE"""),24.3)</f>
        <v>24.3</v>
      </c>
      <c r="K18" s="3">
        <f ca="1">IFERROR(__xludf.DUMMYFUNCTION("""COMPUTED_VALUE"""),10.6)</f>
        <v>10.6</v>
      </c>
      <c r="L18" s="3">
        <f ca="1">IFERROR(__xludf.DUMMYFUNCTION("""COMPUTED_VALUE"""),9)</f>
        <v>9</v>
      </c>
      <c r="M18" s="3">
        <f ca="1">IFERROR(__xludf.DUMMYFUNCTION("""COMPUTED_VALUE"""),74.8)</f>
        <v>74.8</v>
      </c>
      <c r="N18" s="3">
        <f ca="1">IFERROR(__xludf.DUMMYFUNCTION("""COMPUTED_VALUE"""),19.6)</f>
        <v>19.600000000000001</v>
      </c>
      <c r="O18" s="3">
        <f ca="1">IFERROR(__xludf.DUMMYFUNCTION("""COMPUTED_VALUE"""),5.6)</f>
        <v>5.6</v>
      </c>
      <c r="P18" s="3">
        <f ca="1">IFERROR(__xludf.DUMMYFUNCTION("split(Y18, "" | "")"),66.6)</f>
        <v>66.599999999999994</v>
      </c>
      <c r="Q18" s="3">
        <f ca="1">IFERROR(__xludf.DUMMYFUNCTION("""COMPUTED_VALUE"""),23.2)</f>
        <v>23.2</v>
      </c>
      <c r="R18" s="3">
        <f ca="1">IFERROR(__xludf.DUMMYFUNCTION("""COMPUTED_VALUE"""),4.1)</f>
        <v>4.0999999999999996</v>
      </c>
      <c r="S18" s="3">
        <f ca="1">IFERROR(__xludf.DUMMYFUNCTION("""COMPUTED_VALUE"""),3.9)</f>
        <v>3.9</v>
      </c>
      <c r="T18" s="3">
        <f ca="1">IFERROR(__xludf.DUMMYFUNCTION("""COMPUTED_VALUE"""),89.8)</f>
        <v>89.8</v>
      </c>
      <c r="U18" s="3">
        <f ca="1">IFERROR(__xludf.DUMMYFUNCTION("""COMPUTED_VALUE"""),8)</f>
        <v>8</v>
      </c>
      <c r="V18" s="3">
        <f ca="1">IFERROR(__xludf.DUMMYFUNCTION("""COMPUTED_VALUE"""),2.1)</f>
        <v>2.1</v>
      </c>
      <c r="W18" s="5"/>
      <c r="X18" s="5"/>
      <c r="Y18" s="5"/>
    </row>
    <row r="19" spans="1:25">
      <c r="A19" s="2">
        <v>43253</v>
      </c>
      <c r="B19" s="3">
        <f ca="1">IFERROR(__xludf.DUMMYFUNCTION("split(W19, "" | "")"),27.2)</f>
        <v>27.2</v>
      </c>
      <c r="C19" s="3">
        <f ca="1">IFERROR(__xludf.DUMMYFUNCTION("""COMPUTED_VALUE"""),18.6)</f>
        <v>18.600000000000001</v>
      </c>
      <c r="D19" s="3">
        <f ca="1">IFERROR(__xludf.DUMMYFUNCTION("""COMPUTED_VALUE"""),17.4)</f>
        <v>17.399999999999999</v>
      </c>
      <c r="E19" s="3">
        <f ca="1">IFERROR(__xludf.DUMMYFUNCTION("""COMPUTED_VALUE"""),27.5)</f>
        <v>27.5</v>
      </c>
      <c r="F19" s="3">
        <f ca="1">IFERROR(__xludf.DUMMYFUNCTION("""COMPUTED_VALUE"""),45.8)</f>
        <v>45.8</v>
      </c>
      <c r="G19" s="3">
        <f ca="1">IFERROR(__xludf.DUMMYFUNCTION("""COMPUTED_VALUE"""),44.9)</f>
        <v>44.9</v>
      </c>
      <c r="H19" s="3">
        <f ca="1">IFERROR(__xludf.DUMMYFUNCTION("""COMPUTED_VALUE"""),9.3)</f>
        <v>9.3000000000000007</v>
      </c>
      <c r="I19" s="4">
        <f ca="1">IFERROR(__xludf.DUMMYFUNCTION("split(X19, "" | "")"),42.8)</f>
        <v>42.8</v>
      </c>
      <c r="J19" s="3">
        <f ca="1">IFERROR(__xludf.DUMMYFUNCTION("""COMPUTED_VALUE"""),27.8)</f>
        <v>27.8</v>
      </c>
      <c r="K19" s="3">
        <f ca="1">IFERROR(__xludf.DUMMYFUNCTION("""COMPUTED_VALUE"""),12.3)</f>
        <v>12.3</v>
      </c>
      <c r="L19" s="3">
        <f ca="1">IFERROR(__xludf.DUMMYFUNCTION("""COMPUTED_VALUE"""),12.3)</f>
        <v>12.3</v>
      </c>
      <c r="M19" s="3">
        <f ca="1">IFERROR(__xludf.DUMMYFUNCTION("""COMPUTED_VALUE"""),70.5)</f>
        <v>70.5</v>
      </c>
      <c r="N19" s="3">
        <f ca="1">IFERROR(__xludf.DUMMYFUNCTION("""COMPUTED_VALUE"""),24.6)</f>
        <v>24.6</v>
      </c>
      <c r="O19" s="3">
        <f ca="1">IFERROR(__xludf.DUMMYFUNCTION("""COMPUTED_VALUE"""),4.8)</f>
        <v>4.8</v>
      </c>
      <c r="P19" s="3">
        <f ca="1">IFERROR(__xludf.DUMMYFUNCTION("split(Y19, "" | "")"),67.2)</f>
        <v>67.2</v>
      </c>
      <c r="Q19" s="3">
        <f ca="1">IFERROR(__xludf.DUMMYFUNCTION("""COMPUTED_VALUE"""),23.7)</f>
        <v>23.7</v>
      </c>
      <c r="R19" s="3">
        <f ca="1">IFERROR(__xludf.DUMMYFUNCTION("""COMPUTED_VALUE"""),2.8)</f>
        <v>2.8</v>
      </c>
      <c r="S19" s="3">
        <f ca="1">IFERROR(__xludf.DUMMYFUNCTION("""COMPUTED_VALUE"""),3.9)</f>
        <v>3.9</v>
      </c>
      <c r="T19" s="3">
        <f ca="1">IFERROR(__xludf.DUMMYFUNCTION("""COMPUTED_VALUE"""),90.9)</f>
        <v>90.9</v>
      </c>
      <c r="U19" s="3">
        <f ca="1">IFERROR(__xludf.DUMMYFUNCTION("""COMPUTED_VALUE"""),6.7)</f>
        <v>6.7</v>
      </c>
      <c r="V19" s="3">
        <f ca="1">IFERROR(__xludf.DUMMYFUNCTION("""COMPUTED_VALUE"""),2.3)</f>
        <v>2.2999999999999998</v>
      </c>
      <c r="W19" s="5"/>
      <c r="X19" s="5"/>
      <c r="Y19" s="5"/>
    </row>
    <row r="20" spans="1:25">
      <c r="A20" s="2">
        <v>43260</v>
      </c>
      <c r="B20" s="3">
        <f ca="1">IFERROR(__xludf.DUMMYFUNCTION("split(W20, "" | "")"),21)</f>
        <v>21</v>
      </c>
      <c r="C20" s="3">
        <f ca="1">IFERROR(__xludf.DUMMYFUNCTION("""COMPUTED_VALUE"""),21.2)</f>
        <v>21.2</v>
      </c>
      <c r="D20" s="3">
        <f ca="1">IFERROR(__xludf.DUMMYFUNCTION("""COMPUTED_VALUE"""),19.3)</f>
        <v>19.3</v>
      </c>
      <c r="E20" s="3">
        <f ca="1">IFERROR(__xludf.DUMMYFUNCTION("""COMPUTED_VALUE"""),29.7)</f>
        <v>29.7</v>
      </c>
      <c r="F20" s="3">
        <f ca="1">IFERROR(__xludf.DUMMYFUNCTION("""COMPUTED_VALUE"""),42.2)</f>
        <v>42.2</v>
      </c>
      <c r="G20" s="3">
        <f ca="1">IFERROR(__xludf.DUMMYFUNCTION("""COMPUTED_VALUE"""),49)</f>
        <v>49</v>
      </c>
      <c r="H20" s="3">
        <f ca="1">IFERROR(__xludf.DUMMYFUNCTION("""COMPUTED_VALUE"""),8.7)</f>
        <v>8.6999999999999993</v>
      </c>
      <c r="I20" s="4">
        <f ca="1">IFERROR(__xludf.DUMMYFUNCTION("split(X20, "" | "")"),44.6)</f>
        <v>44.6</v>
      </c>
      <c r="J20" s="3">
        <f ca="1">IFERROR(__xludf.DUMMYFUNCTION("""COMPUTED_VALUE"""),29.4)</f>
        <v>29.4</v>
      </c>
      <c r="K20" s="3">
        <f ca="1">IFERROR(__xludf.DUMMYFUNCTION("""COMPUTED_VALUE"""),10)</f>
        <v>10</v>
      </c>
      <c r="L20" s="3">
        <f ca="1">IFERROR(__xludf.DUMMYFUNCTION("""COMPUTED_VALUE"""),11.2)</f>
        <v>11.2</v>
      </c>
      <c r="M20" s="3">
        <f ca="1">IFERROR(__xludf.DUMMYFUNCTION("""COMPUTED_VALUE"""),74)</f>
        <v>74</v>
      </c>
      <c r="N20" s="3">
        <f ca="1">IFERROR(__xludf.DUMMYFUNCTION("""COMPUTED_VALUE"""),21.2)</f>
        <v>21.2</v>
      </c>
      <c r="O20" s="3">
        <f ca="1">IFERROR(__xludf.DUMMYFUNCTION("""COMPUTED_VALUE"""),4.8)</f>
        <v>4.8</v>
      </c>
      <c r="P20" s="3">
        <f ca="1">IFERROR(__xludf.DUMMYFUNCTION("split(Y20, "" | "")"),71.9)</f>
        <v>71.900000000000006</v>
      </c>
      <c r="Q20" s="3">
        <f ca="1">IFERROR(__xludf.DUMMYFUNCTION("""COMPUTED_VALUE"""),21.7)</f>
        <v>21.7</v>
      </c>
      <c r="R20" s="3">
        <f ca="1">IFERROR(__xludf.DUMMYFUNCTION("""COMPUTED_VALUE"""),2.3)</f>
        <v>2.2999999999999998</v>
      </c>
      <c r="S20" s="3">
        <f ca="1">IFERROR(__xludf.DUMMYFUNCTION("""COMPUTED_VALUE"""),2.6)</f>
        <v>2.6</v>
      </c>
      <c r="T20" s="3">
        <f ca="1">IFERROR(__xludf.DUMMYFUNCTION("""COMPUTED_VALUE"""),93.6)</f>
        <v>93.6</v>
      </c>
      <c r="U20" s="3">
        <f ca="1">IFERROR(__xludf.DUMMYFUNCTION("""COMPUTED_VALUE"""),5)</f>
        <v>5</v>
      </c>
      <c r="V20" s="3">
        <f ca="1">IFERROR(__xludf.DUMMYFUNCTION("""COMPUTED_VALUE"""),1.4)</f>
        <v>1.4</v>
      </c>
      <c r="W20" s="5"/>
      <c r="X20" s="5"/>
      <c r="Y20" s="5"/>
    </row>
    <row r="21" spans="1:25">
      <c r="A21" s="2">
        <v>43267</v>
      </c>
      <c r="B21" s="3">
        <f ca="1">IFERROR(__xludf.DUMMYFUNCTION("split(W21, "" | "")"),29)</f>
        <v>29</v>
      </c>
      <c r="C21" s="3">
        <f ca="1">IFERROR(__xludf.DUMMYFUNCTION("""COMPUTED_VALUE"""),19.4)</f>
        <v>19.399999999999999</v>
      </c>
      <c r="D21" s="3">
        <f ca="1">IFERROR(__xludf.DUMMYFUNCTION("""COMPUTED_VALUE"""),17.1)</f>
        <v>17.100000000000001</v>
      </c>
      <c r="E21" s="3">
        <f ca="1">IFERROR(__xludf.DUMMYFUNCTION("""COMPUTED_VALUE"""),26.6)</f>
        <v>26.6</v>
      </c>
      <c r="F21" s="3">
        <f ca="1">IFERROR(__xludf.DUMMYFUNCTION("""COMPUTED_VALUE"""),48.4)</f>
        <v>48.4</v>
      </c>
      <c r="G21" s="3">
        <f ca="1">IFERROR(__xludf.DUMMYFUNCTION("""COMPUTED_VALUE"""),43.7)</f>
        <v>43.7</v>
      </c>
      <c r="H21" s="3">
        <f ca="1">IFERROR(__xludf.DUMMYFUNCTION("""COMPUTED_VALUE"""),7.9)</f>
        <v>7.9</v>
      </c>
      <c r="I21" s="4">
        <f ca="1">IFERROR(__xludf.DUMMYFUNCTION("split(X21, "" | "")"),41.7)</f>
        <v>41.7</v>
      </c>
      <c r="J21" s="3">
        <f ca="1">IFERROR(__xludf.DUMMYFUNCTION("""COMPUTED_VALUE"""),32.6)</f>
        <v>32.6</v>
      </c>
      <c r="K21" s="3">
        <f ca="1">IFERROR(__xludf.DUMMYFUNCTION("""COMPUTED_VALUE"""),9.5)</f>
        <v>9.5</v>
      </c>
      <c r="L21" s="3">
        <f ca="1">IFERROR(__xludf.DUMMYFUNCTION("""COMPUTED_VALUE"""),10.8)</f>
        <v>10.8</v>
      </c>
      <c r="M21" s="3">
        <f ca="1">IFERROR(__xludf.DUMMYFUNCTION("""COMPUTED_VALUE"""),74.3)</f>
        <v>74.3</v>
      </c>
      <c r="N21" s="3">
        <f ca="1">IFERROR(__xludf.DUMMYFUNCTION("""COMPUTED_VALUE"""),20.3)</f>
        <v>20.3</v>
      </c>
      <c r="O21" s="3">
        <f ca="1">IFERROR(__xludf.DUMMYFUNCTION("""COMPUTED_VALUE"""),5.4)</f>
        <v>5.4</v>
      </c>
      <c r="P21" s="3">
        <f ca="1">IFERROR(__xludf.DUMMYFUNCTION("split(Y21, "" | "")"),68.2)</f>
        <v>68.2</v>
      </c>
      <c r="Q21" s="3">
        <f ca="1">IFERROR(__xludf.DUMMYFUNCTION("""COMPUTED_VALUE"""),22.6)</f>
        <v>22.6</v>
      </c>
      <c r="R21" s="3">
        <f ca="1">IFERROR(__xludf.DUMMYFUNCTION("""COMPUTED_VALUE"""),3.1)</f>
        <v>3.1</v>
      </c>
      <c r="S21" s="3">
        <f ca="1">IFERROR(__xludf.DUMMYFUNCTION("""COMPUTED_VALUE"""),3.8)</f>
        <v>3.8</v>
      </c>
      <c r="T21" s="3">
        <f ca="1">IFERROR(__xludf.DUMMYFUNCTION("""COMPUTED_VALUE"""),90.8)</f>
        <v>90.8</v>
      </c>
      <c r="U21" s="3">
        <f ca="1">IFERROR(__xludf.DUMMYFUNCTION("""COMPUTED_VALUE"""),6.9)</f>
        <v>6.9</v>
      </c>
      <c r="V21" s="3">
        <f ca="1">IFERROR(__xludf.DUMMYFUNCTION("""COMPUTED_VALUE"""),2.3)</f>
        <v>2.2999999999999998</v>
      </c>
      <c r="W21" s="5"/>
      <c r="X21" s="5"/>
      <c r="Y21" s="5"/>
    </row>
    <row r="22" spans="1:25">
      <c r="A22" s="2">
        <v>43274</v>
      </c>
      <c r="B22" s="3">
        <f ca="1">IFERROR(__xludf.DUMMYFUNCTION("split(W22, "" | "")"),29.1)</f>
        <v>29.1</v>
      </c>
      <c r="C22" s="3">
        <f ca="1">IFERROR(__xludf.DUMMYFUNCTION("""COMPUTED_VALUE"""),18.4)</f>
        <v>18.399999999999999</v>
      </c>
      <c r="D22" s="3">
        <f ca="1">IFERROR(__xludf.DUMMYFUNCTION("""COMPUTED_VALUE"""),18.9)</f>
        <v>18.899999999999999</v>
      </c>
      <c r="E22" s="3">
        <f ca="1">IFERROR(__xludf.DUMMYFUNCTION("""COMPUTED_VALUE"""),25.5)</f>
        <v>25.5</v>
      </c>
      <c r="F22" s="3">
        <f ca="1">IFERROR(__xludf.DUMMYFUNCTION("""COMPUTED_VALUE"""),47.5)</f>
        <v>47.5</v>
      </c>
      <c r="G22" s="3">
        <f ca="1">IFERROR(__xludf.DUMMYFUNCTION("""COMPUTED_VALUE"""),44.4)</f>
        <v>44.4</v>
      </c>
      <c r="H22" s="3">
        <f ca="1">IFERROR(__xludf.DUMMYFUNCTION("""COMPUTED_VALUE"""),8.2)</f>
        <v>8.1999999999999993</v>
      </c>
      <c r="I22" s="4">
        <f ca="1">IFERROR(__xludf.DUMMYFUNCTION("split(X22, "" | "")"),37.2)</f>
        <v>37.200000000000003</v>
      </c>
      <c r="J22" s="3">
        <f ca="1">IFERROR(__xludf.DUMMYFUNCTION("""COMPUTED_VALUE"""),32.7)</f>
        <v>32.700000000000003</v>
      </c>
      <c r="K22" s="3">
        <f ca="1">IFERROR(__xludf.DUMMYFUNCTION("""COMPUTED_VALUE"""),12.3)</f>
        <v>12.3</v>
      </c>
      <c r="L22" s="3">
        <f ca="1">IFERROR(__xludf.DUMMYFUNCTION("""COMPUTED_VALUE"""),12.3)</f>
        <v>12.3</v>
      </c>
      <c r="M22" s="3">
        <f ca="1">IFERROR(__xludf.DUMMYFUNCTION("""COMPUTED_VALUE"""),69.9)</f>
        <v>69.900000000000006</v>
      </c>
      <c r="N22" s="3">
        <f ca="1">IFERROR(__xludf.DUMMYFUNCTION("""COMPUTED_VALUE"""),24.6)</f>
        <v>24.6</v>
      </c>
      <c r="O22" s="3">
        <f ca="1">IFERROR(__xludf.DUMMYFUNCTION("""COMPUTED_VALUE"""),5.5)</f>
        <v>5.5</v>
      </c>
      <c r="P22" s="3">
        <f ca="1">IFERROR(__xludf.DUMMYFUNCTION("split(Y22, "" | "")"),66.6)</f>
        <v>66.599999999999994</v>
      </c>
      <c r="Q22" s="3">
        <f ca="1">IFERROR(__xludf.DUMMYFUNCTION("""COMPUTED_VALUE"""),23)</f>
        <v>23</v>
      </c>
      <c r="R22" s="3">
        <f ca="1">IFERROR(__xludf.DUMMYFUNCTION("""COMPUTED_VALUE"""),3.8)</f>
        <v>3.8</v>
      </c>
      <c r="S22" s="3">
        <f ca="1">IFERROR(__xludf.DUMMYFUNCTION("""COMPUTED_VALUE"""),4.7)</f>
        <v>4.7</v>
      </c>
      <c r="T22" s="3">
        <f ca="1">IFERROR(__xludf.DUMMYFUNCTION("""COMPUTED_VALUE"""),89.5)</f>
        <v>89.5</v>
      </c>
      <c r="U22" s="3">
        <f ca="1">IFERROR(__xludf.DUMMYFUNCTION("""COMPUTED_VALUE"""),8.5)</f>
        <v>8.5</v>
      </c>
      <c r="V22" s="3">
        <f ca="1">IFERROR(__xludf.DUMMYFUNCTION("""COMPUTED_VALUE"""),2)</f>
        <v>2</v>
      </c>
      <c r="W22" s="5"/>
      <c r="X22" s="5"/>
      <c r="Y22" s="5"/>
    </row>
    <row r="23" spans="1:25">
      <c r="A23" s="2">
        <v>43281</v>
      </c>
      <c r="B23" s="3">
        <f ca="1">IFERROR(__xludf.DUMMYFUNCTION("split(W23, "" | "")"),20.7)</f>
        <v>20.7</v>
      </c>
      <c r="C23" s="3">
        <f ca="1">IFERROR(__xludf.DUMMYFUNCTION("""COMPUTED_VALUE"""),21.1)</f>
        <v>21.1</v>
      </c>
      <c r="D23" s="3">
        <f ca="1">IFERROR(__xludf.DUMMYFUNCTION("""COMPUTED_VALUE"""),17.6)</f>
        <v>17.600000000000001</v>
      </c>
      <c r="E23" s="3">
        <f ca="1">IFERROR(__xludf.DUMMYFUNCTION("""COMPUTED_VALUE"""),34.5)</f>
        <v>34.5</v>
      </c>
      <c r="F23" s="3">
        <f ca="1">IFERROR(__xludf.DUMMYFUNCTION("""COMPUTED_VALUE"""),41.8)</f>
        <v>41.8</v>
      </c>
      <c r="G23" s="3">
        <f ca="1">IFERROR(__xludf.DUMMYFUNCTION("""COMPUTED_VALUE"""),52.1)</f>
        <v>52.1</v>
      </c>
      <c r="H23" s="3">
        <f ca="1">IFERROR(__xludf.DUMMYFUNCTION("""COMPUTED_VALUE"""),6.1)</f>
        <v>6.1</v>
      </c>
      <c r="I23" s="4">
        <f ca="1">IFERROR(__xludf.DUMMYFUNCTION("split(X23, "" | "")"),36.3)</f>
        <v>36.299999999999997</v>
      </c>
      <c r="J23" s="3">
        <f ca="1">IFERROR(__xludf.DUMMYFUNCTION("""COMPUTED_VALUE"""),32.2)</f>
        <v>32.200000000000003</v>
      </c>
      <c r="K23" s="3">
        <f ca="1">IFERROR(__xludf.DUMMYFUNCTION("""COMPUTED_VALUE"""),12.7)</f>
        <v>12.7</v>
      </c>
      <c r="L23" s="3">
        <f ca="1">IFERROR(__xludf.DUMMYFUNCTION("""COMPUTED_VALUE"""),13.2)</f>
        <v>13.2</v>
      </c>
      <c r="M23" s="3">
        <f ca="1">IFERROR(__xludf.DUMMYFUNCTION("""COMPUTED_VALUE"""),68.5)</f>
        <v>68.5</v>
      </c>
      <c r="N23" s="3">
        <f ca="1">IFERROR(__xludf.DUMMYFUNCTION("""COMPUTED_VALUE"""),25.8)</f>
        <v>25.8</v>
      </c>
      <c r="O23" s="3">
        <f ca="1">IFERROR(__xludf.DUMMYFUNCTION("""COMPUTED_VALUE"""),5.7)</f>
        <v>5.7</v>
      </c>
      <c r="P23" s="3">
        <f ca="1">IFERROR(__xludf.DUMMYFUNCTION("split(Y23, "" | "")"),67.2)</f>
        <v>67.2</v>
      </c>
      <c r="Q23" s="3">
        <f ca="1">IFERROR(__xludf.DUMMYFUNCTION("""COMPUTED_VALUE"""),23.1)</f>
        <v>23.1</v>
      </c>
      <c r="R23" s="3">
        <f ca="1">IFERROR(__xludf.DUMMYFUNCTION("""COMPUTED_VALUE"""),2.7)</f>
        <v>2.7</v>
      </c>
      <c r="S23" s="3">
        <f ca="1">IFERROR(__xludf.DUMMYFUNCTION("""COMPUTED_VALUE"""),5.3)</f>
        <v>5.3</v>
      </c>
      <c r="T23" s="3">
        <f ca="1">IFERROR(__xludf.DUMMYFUNCTION("""COMPUTED_VALUE"""),90.3)</f>
        <v>90.3</v>
      </c>
      <c r="U23" s="3">
        <f ca="1">IFERROR(__xludf.DUMMYFUNCTION("""COMPUTED_VALUE"""),8)</f>
        <v>8</v>
      </c>
      <c r="V23" s="3">
        <f ca="1">IFERROR(__xludf.DUMMYFUNCTION("""COMPUTED_VALUE"""),1.7)</f>
        <v>1.7</v>
      </c>
      <c r="W23" s="5"/>
      <c r="X23" s="5"/>
      <c r="Y23" s="5"/>
    </row>
    <row r="24" spans="1:25">
      <c r="A24" s="2">
        <v>43288</v>
      </c>
      <c r="B24" s="3">
        <f ca="1">IFERROR(__xludf.DUMMYFUNCTION("split(W24, "" | "")"),20.2)</f>
        <v>20.2</v>
      </c>
      <c r="C24" s="3">
        <f ca="1">IFERROR(__xludf.DUMMYFUNCTION("""COMPUTED_VALUE"""),19.5)</f>
        <v>19.5</v>
      </c>
      <c r="D24" s="3">
        <f ca="1">IFERROR(__xludf.DUMMYFUNCTION("""COMPUTED_VALUE"""),21.7)</f>
        <v>21.7</v>
      </c>
      <c r="E24" s="3">
        <f ca="1">IFERROR(__xludf.DUMMYFUNCTION("""COMPUTED_VALUE"""),30.6)</f>
        <v>30.6</v>
      </c>
      <c r="F24" s="3">
        <f ca="1">IFERROR(__xludf.DUMMYFUNCTION("""COMPUTED_VALUE"""),39.8)</f>
        <v>39.799999999999997</v>
      </c>
      <c r="G24" s="3">
        <f ca="1">IFERROR(__xludf.DUMMYFUNCTION("""COMPUTED_VALUE"""),52.3)</f>
        <v>52.3</v>
      </c>
      <c r="H24" s="3">
        <f ca="1">IFERROR(__xludf.DUMMYFUNCTION("""COMPUTED_VALUE"""),7.9)</f>
        <v>7.9</v>
      </c>
      <c r="I24" s="4">
        <f ca="1">IFERROR(__xludf.DUMMYFUNCTION("split(X24, "" | "")"),36.5)</f>
        <v>36.5</v>
      </c>
      <c r="J24" s="3">
        <f ca="1">IFERROR(__xludf.DUMMYFUNCTION("""COMPUTED_VALUE"""),32.2)</f>
        <v>32.200000000000003</v>
      </c>
      <c r="K24" s="3">
        <f ca="1">IFERROR(__xludf.DUMMYFUNCTION("""COMPUTED_VALUE"""),12.9)</f>
        <v>12.9</v>
      </c>
      <c r="L24" s="3">
        <f ca="1">IFERROR(__xludf.DUMMYFUNCTION("""COMPUTED_VALUE"""),13.8)</f>
        <v>13.8</v>
      </c>
      <c r="M24" s="3">
        <f ca="1">IFERROR(__xludf.DUMMYFUNCTION("""COMPUTED_VALUE"""),68.7)</f>
        <v>68.7</v>
      </c>
      <c r="N24" s="3">
        <f ca="1">IFERROR(__xludf.DUMMYFUNCTION("""COMPUTED_VALUE"""),26.6)</f>
        <v>26.6</v>
      </c>
      <c r="O24" s="3">
        <f ca="1">IFERROR(__xludf.DUMMYFUNCTION("""COMPUTED_VALUE"""),4.7)</f>
        <v>4.7</v>
      </c>
      <c r="P24" s="3">
        <f ca="1">IFERROR(__xludf.DUMMYFUNCTION("split(Y24, "" | "")"),60.1)</f>
        <v>60.1</v>
      </c>
      <c r="Q24" s="3">
        <f ca="1">IFERROR(__xludf.DUMMYFUNCTION("""COMPUTED_VALUE"""),27.1)</f>
        <v>27.1</v>
      </c>
      <c r="R24" s="3">
        <f ca="1">IFERROR(__xludf.DUMMYFUNCTION("""COMPUTED_VALUE"""),5)</f>
        <v>5</v>
      </c>
      <c r="S24" s="3">
        <f ca="1">IFERROR(__xludf.DUMMYFUNCTION("""COMPUTED_VALUE"""),5.4)</f>
        <v>5.4</v>
      </c>
      <c r="T24" s="3">
        <f ca="1">IFERROR(__xludf.DUMMYFUNCTION("""COMPUTED_VALUE"""),87.2)</f>
        <v>87.2</v>
      </c>
      <c r="U24" s="3">
        <f ca="1">IFERROR(__xludf.DUMMYFUNCTION("""COMPUTED_VALUE"""),10.4)</f>
        <v>10.4</v>
      </c>
      <c r="V24" s="3">
        <f ca="1">IFERROR(__xludf.DUMMYFUNCTION("""COMPUTED_VALUE"""),2.4)</f>
        <v>2.4</v>
      </c>
      <c r="W24" s="5"/>
      <c r="X24" s="5"/>
      <c r="Y24" s="5"/>
    </row>
    <row r="25" spans="1:25">
      <c r="A25" s="2">
        <v>43295</v>
      </c>
      <c r="B25" s="3">
        <f ca="1">IFERROR(__xludf.DUMMYFUNCTION("split(W25, "" | "")"),22.9)</f>
        <v>22.9</v>
      </c>
      <c r="C25" s="3">
        <f ca="1">IFERROR(__xludf.DUMMYFUNCTION("""COMPUTED_VALUE"""),16.6)</f>
        <v>16.600000000000001</v>
      </c>
      <c r="D25" s="3">
        <f ca="1">IFERROR(__xludf.DUMMYFUNCTION("""COMPUTED_VALUE"""),17.5)</f>
        <v>17.5</v>
      </c>
      <c r="E25" s="3">
        <f ca="1">IFERROR(__xludf.DUMMYFUNCTION("""COMPUTED_VALUE"""),35.9)</f>
        <v>35.9</v>
      </c>
      <c r="F25" s="3">
        <f ca="1">IFERROR(__xludf.DUMMYFUNCTION("""COMPUTED_VALUE"""),39.5)</f>
        <v>39.5</v>
      </c>
      <c r="G25" s="3">
        <f ca="1">IFERROR(__xludf.DUMMYFUNCTION("""COMPUTED_VALUE"""),53.4)</f>
        <v>53.4</v>
      </c>
      <c r="H25" s="3">
        <f ca="1">IFERROR(__xludf.DUMMYFUNCTION("""COMPUTED_VALUE"""),7)</f>
        <v>7</v>
      </c>
      <c r="I25" s="4">
        <f ca="1">IFERROR(__xludf.DUMMYFUNCTION("split(X25, "" | "")"),30.4)</f>
        <v>30.4</v>
      </c>
      <c r="J25" s="3">
        <f ca="1">IFERROR(__xludf.DUMMYFUNCTION("""COMPUTED_VALUE"""),31.5)</f>
        <v>31.5</v>
      </c>
      <c r="K25" s="3">
        <f ca="1">IFERROR(__xludf.DUMMYFUNCTION("""COMPUTED_VALUE"""),18.5)</f>
        <v>18.5</v>
      </c>
      <c r="L25" s="3">
        <f ca="1">IFERROR(__xludf.DUMMYFUNCTION("""COMPUTED_VALUE"""),14.9)</f>
        <v>14.9</v>
      </c>
      <c r="M25" s="3">
        <f ca="1">IFERROR(__xludf.DUMMYFUNCTION("""COMPUTED_VALUE"""),61.9)</f>
        <v>61.9</v>
      </c>
      <c r="N25" s="3">
        <f ca="1">IFERROR(__xludf.DUMMYFUNCTION("""COMPUTED_VALUE"""),33.4)</f>
        <v>33.4</v>
      </c>
      <c r="O25" s="3">
        <f ca="1">IFERROR(__xludf.DUMMYFUNCTION("""COMPUTED_VALUE"""),4.8)</f>
        <v>4.8</v>
      </c>
      <c r="P25" s="3">
        <f ca="1">IFERROR(__xludf.DUMMYFUNCTION("split(Y25, "" | "")"),54)</f>
        <v>54</v>
      </c>
      <c r="Q25" s="3">
        <f ca="1">IFERROR(__xludf.DUMMYFUNCTION("""COMPUTED_VALUE"""),30)</f>
        <v>30</v>
      </c>
      <c r="R25" s="3">
        <f ca="1">IFERROR(__xludf.DUMMYFUNCTION("""COMPUTED_VALUE"""),6.9)</f>
        <v>6.9</v>
      </c>
      <c r="S25" s="3">
        <f ca="1">IFERROR(__xludf.DUMMYFUNCTION("""COMPUTED_VALUE"""),7)</f>
        <v>7</v>
      </c>
      <c r="T25" s="3">
        <f ca="1">IFERROR(__xludf.DUMMYFUNCTION("""COMPUTED_VALUE"""),84)</f>
        <v>84</v>
      </c>
      <c r="U25" s="3">
        <f ca="1">IFERROR(__xludf.DUMMYFUNCTION("""COMPUTED_VALUE"""),13.9)</f>
        <v>13.9</v>
      </c>
      <c r="V25" s="3">
        <f ca="1">IFERROR(__xludf.DUMMYFUNCTION("""COMPUTED_VALUE"""),2.2)</f>
        <v>2.2000000000000002</v>
      </c>
      <c r="W25" s="5"/>
      <c r="X25" s="5"/>
      <c r="Y25" s="5"/>
    </row>
    <row r="26" spans="1:25" ht="13.8">
      <c r="A26" s="2">
        <v>43302</v>
      </c>
      <c r="B26" s="3">
        <f ca="1">IFERROR(__xludf.DUMMYFUNCTION("split(W26, "" | "")"),15)</f>
        <v>15</v>
      </c>
      <c r="C26" s="3">
        <f ca="1">IFERROR(__xludf.DUMMYFUNCTION("""COMPUTED_VALUE"""),17.9)</f>
        <v>17.899999999999999</v>
      </c>
      <c r="D26" s="3">
        <f ca="1">IFERROR(__xludf.DUMMYFUNCTION("""COMPUTED_VALUE"""),23.7)</f>
        <v>23.7</v>
      </c>
      <c r="E26" s="3">
        <f ca="1">IFERROR(__xludf.DUMMYFUNCTION("""COMPUTED_VALUE"""),36.8)</f>
        <v>36.799999999999997</v>
      </c>
      <c r="F26" s="3">
        <f ca="1">IFERROR(__xludf.DUMMYFUNCTION("""COMPUTED_VALUE"""),32.9)</f>
        <v>32.9</v>
      </c>
      <c r="G26" s="3">
        <f ca="1">IFERROR(__xludf.DUMMYFUNCTION("""COMPUTED_VALUE"""),60.5)</f>
        <v>60.5</v>
      </c>
      <c r="H26" s="3">
        <f ca="1">IFERROR(__xludf.DUMMYFUNCTION("""COMPUTED_VALUE"""),6.6)</f>
        <v>6.6</v>
      </c>
      <c r="I26" s="4">
        <f ca="1">IFERROR(__xludf.DUMMYFUNCTION("split(X26, "" | "")"),30.6)</f>
        <v>30.6</v>
      </c>
      <c r="J26" s="3">
        <f ca="1">IFERROR(__xludf.DUMMYFUNCTION("""COMPUTED_VALUE"""),27.6)</f>
        <v>27.6</v>
      </c>
      <c r="K26" s="3">
        <f ca="1">IFERROR(__xludf.DUMMYFUNCTION("""COMPUTED_VALUE"""),19.3)</f>
        <v>19.3</v>
      </c>
      <c r="L26" s="3">
        <f ca="1">IFERROR(__xludf.DUMMYFUNCTION("""COMPUTED_VALUE"""),17.6)</f>
        <v>17.600000000000001</v>
      </c>
      <c r="M26" s="3">
        <f ca="1">IFERROR(__xludf.DUMMYFUNCTION("""COMPUTED_VALUE"""),58.2)</f>
        <v>58.2</v>
      </c>
      <c r="N26" s="3">
        <f ca="1">IFERROR(__xludf.DUMMYFUNCTION("""COMPUTED_VALUE"""),36.9)</f>
        <v>36.9</v>
      </c>
      <c r="O26" s="3">
        <f ca="1">IFERROR(__xludf.DUMMYFUNCTION("""COMPUTED_VALUE"""),4.9)</f>
        <v>4.9000000000000004</v>
      </c>
      <c r="P26" s="3">
        <f ca="1">IFERROR(__xludf.DUMMYFUNCTION("split(Y26, "" | "")"),54.5)</f>
        <v>54.5</v>
      </c>
      <c r="Q26" s="3">
        <f ca="1">IFERROR(__xludf.DUMMYFUNCTION("""COMPUTED_VALUE"""),28.8)</f>
        <v>28.8</v>
      </c>
      <c r="R26" s="3">
        <f ca="1">IFERROR(__xludf.DUMMYFUNCTION("""COMPUTED_VALUE"""),8)</f>
        <v>8</v>
      </c>
      <c r="S26" s="3">
        <f ca="1">IFERROR(__xludf.DUMMYFUNCTION("""COMPUTED_VALUE"""),6.4)</f>
        <v>6.4</v>
      </c>
      <c r="T26" s="3">
        <f ca="1">IFERROR(__xludf.DUMMYFUNCTION("""COMPUTED_VALUE"""),83.4)</f>
        <v>83.4</v>
      </c>
      <c r="U26" s="3">
        <f ca="1">IFERROR(__xludf.DUMMYFUNCTION("""COMPUTED_VALUE"""),14.4)</f>
        <v>14.4</v>
      </c>
      <c r="V26" s="3">
        <f ca="1">IFERROR(__xludf.DUMMYFUNCTION("""COMPUTED_VALUE"""),2.2)</f>
        <v>2.2000000000000002</v>
      </c>
      <c r="W26" s="5"/>
      <c r="X26" s="5"/>
      <c r="Y26" s="5"/>
    </row>
    <row r="27" spans="1:25" ht="13.8">
      <c r="A27" s="2">
        <v>43309</v>
      </c>
      <c r="B27" s="3">
        <f ca="1">IFERROR(__xludf.DUMMYFUNCTION("split(W27, "" | "")"),18.1)</f>
        <v>18.100000000000001</v>
      </c>
      <c r="C27" s="3">
        <f ca="1">IFERROR(__xludf.DUMMYFUNCTION("""COMPUTED_VALUE"""),20.5)</f>
        <v>20.5</v>
      </c>
      <c r="D27" s="3">
        <f ca="1">IFERROR(__xludf.DUMMYFUNCTION("""COMPUTED_VALUE"""),21.6)</f>
        <v>21.6</v>
      </c>
      <c r="E27" s="3">
        <f ca="1">IFERROR(__xludf.DUMMYFUNCTION("""COMPUTED_VALUE"""),36.7)</f>
        <v>36.700000000000003</v>
      </c>
      <c r="F27" s="3">
        <f ca="1">IFERROR(__xludf.DUMMYFUNCTION("""COMPUTED_VALUE"""),38.6)</f>
        <v>38.6</v>
      </c>
      <c r="G27" s="3">
        <f ca="1">IFERROR(__xludf.DUMMYFUNCTION("""COMPUTED_VALUE"""),58.3)</f>
        <v>58.3</v>
      </c>
      <c r="H27" s="3">
        <f ca="1">IFERROR(__xludf.DUMMYFUNCTION("""COMPUTED_VALUE"""),3.1)</f>
        <v>3.1</v>
      </c>
      <c r="I27" s="4">
        <f ca="1">IFERROR(__xludf.DUMMYFUNCTION("split(X27, "" | "")"),33.1)</f>
        <v>33.1</v>
      </c>
      <c r="J27" s="3">
        <f ca="1">IFERROR(__xludf.DUMMYFUNCTION("""COMPUTED_VALUE"""),29.7)</f>
        <v>29.7</v>
      </c>
      <c r="K27" s="3">
        <f ca="1">IFERROR(__xludf.DUMMYFUNCTION("""COMPUTED_VALUE"""),16.9)</f>
        <v>16.899999999999999</v>
      </c>
      <c r="L27" s="3">
        <f ca="1">IFERROR(__xludf.DUMMYFUNCTION("""COMPUTED_VALUE"""),15.8)</f>
        <v>15.8</v>
      </c>
      <c r="M27" s="3">
        <f ca="1">IFERROR(__xludf.DUMMYFUNCTION("""COMPUTED_VALUE"""),62.8)</f>
        <v>62.8</v>
      </c>
      <c r="N27" s="3">
        <f ca="1">IFERROR(__xludf.DUMMYFUNCTION("""COMPUTED_VALUE"""),32.7)</f>
        <v>32.700000000000003</v>
      </c>
      <c r="O27" s="3">
        <f ca="1">IFERROR(__xludf.DUMMYFUNCTION("""COMPUTED_VALUE"""),4.5)</f>
        <v>4.5</v>
      </c>
      <c r="P27" s="3">
        <f ca="1">IFERROR(__xludf.DUMMYFUNCTION("split(Y27, "" | "")"),53.1)</f>
        <v>53.1</v>
      </c>
      <c r="Q27" s="3">
        <f ca="1">IFERROR(__xludf.DUMMYFUNCTION("""COMPUTED_VALUE"""),29.6)</f>
        <v>29.6</v>
      </c>
      <c r="R27" s="3">
        <f ca="1">IFERROR(__xludf.DUMMYFUNCTION("""COMPUTED_VALUE"""),7.9)</f>
        <v>7.9</v>
      </c>
      <c r="S27" s="3">
        <f ca="1">IFERROR(__xludf.DUMMYFUNCTION("""COMPUTED_VALUE"""),6.2)</f>
        <v>6.2</v>
      </c>
      <c r="T27" s="3">
        <f ca="1">IFERROR(__xludf.DUMMYFUNCTION("""COMPUTED_VALUE"""),82.7)</f>
        <v>82.7</v>
      </c>
      <c r="U27" s="3">
        <f ca="1">IFERROR(__xludf.DUMMYFUNCTION("""COMPUTED_VALUE"""),14.1)</f>
        <v>14.1</v>
      </c>
      <c r="V27" s="3">
        <f ca="1">IFERROR(__xludf.DUMMYFUNCTION("""COMPUTED_VALUE"""),3.2)</f>
        <v>3.2</v>
      </c>
      <c r="W27" s="5"/>
      <c r="X27" s="5"/>
      <c r="Y27" s="5"/>
    </row>
    <row r="28" spans="1:25" ht="13.8">
      <c r="A28" s="2">
        <v>43316</v>
      </c>
      <c r="B28" s="3">
        <f ca="1">IFERROR(__xludf.DUMMYFUNCTION("split(W28, "" | "")"),16)</f>
        <v>16</v>
      </c>
      <c r="C28" s="3">
        <f ca="1">IFERROR(__xludf.DUMMYFUNCTION("""COMPUTED_VALUE"""),13.8)</f>
        <v>13.8</v>
      </c>
      <c r="D28" s="3">
        <f ca="1">IFERROR(__xludf.DUMMYFUNCTION("""COMPUTED_VALUE"""),22.4)</f>
        <v>22.4</v>
      </c>
      <c r="E28" s="3">
        <f ca="1">IFERROR(__xludf.DUMMYFUNCTION("""COMPUTED_VALUE"""),42.8)</f>
        <v>42.8</v>
      </c>
      <c r="F28" s="3">
        <f ca="1">IFERROR(__xludf.DUMMYFUNCTION("""COMPUTED_VALUE"""),29.8)</f>
        <v>29.8</v>
      </c>
      <c r="G28" s="3">
        <f ca="1">IFERROR(__xludf.DUMMYFUNCTION("""COMPUTED_VALUE"""),65.2)</f>
        <v>65.2</v>
      </c>
      <c r="H28" s="3">
        <f ca="1">IFERROR(__xludf.DUMMYFUNCTION("""COMPUTED_VALUE"""),5.1)</f>
        <v>5.0999999999999996</v>
      </c>
      <c r="I28" s="4">
        <f ca="1">IFERROR(__xludf.DUMMYFUNCTION("split(X28, "" | "")"),29.4)</f>
        <v>29.4</v>
      </c>
      <c r="J28" s="3">
        <f ca="1">IFERROR(__xludf.DUMMYFUNCTION("""COMPUTED_VALUE"""),25.6)</f>
        <v>25.6</v>
      </c>
      <c r="K28" s="3">
        <f ca="1">IFERROR(__xludf.DUMMYFUNCTION("""COMPUTED_VALUE"""),18.7)</f>
        <v>18.7</v>
      </c>
      <c r="L28" s="3">
        <f ca="1">IFERROR(__xludf.DUMMYFUNCTION("""COMPUTED_VALUE"""),23)</f>
        <v>23</v>
      </c>
      <c r="M28" s="3">
        <f ca="1">IFERROR(__xludf.DUMMYFUNCTION("""COMPUTED_VALUE"""),55.1)</f>
        <v>55.1</v>
      </c>
      <c r="N28" s="3">
        <f ca="1">IFERROR(__xludf.DUMMYFUNCTION("""COMPUTED_VALUE"""),41.6)</f>
        <v>41.6</v>
      </c>
      <c r="O28" s="3">
        <f ca="1">IFERROR(__xludf.DUMMYFUNCTION("""COMPUTED_VALUE"""),3.3)</f>
        <v>3.3</v>
      </c>
      <c r="P28" s="3">
        <f ca="1">IFERROR(__xludf.DUMMYFUNCTION("split(Y28, "" | "")"),48.9)</f>
        <v>48.9</v>
      </c>
      <c r="Q28" s="3">
        <f ca="1">IFERROR(__xludf.DUMMYFUNCTION("""COMPUTED_VALUE"""),32.5)</f>
        <v>32.5</v>
      </c>
      <c r="R28" s="3">
        <f ca="1">IFERROR(__xludf.DUMMYFUNCTION("""COMPUTED_VALUE"""),7.9)</f>
        <v>7.9</v>
      </c>
      <c r="S28" s="3">
        <f ca="1">IFERROR(__xludf.DUMMYFUNCTION("""COMPUTED_VALUE"""),8.4)</f>
        <v>8.4</v>
      </c>
      <c r="T28" s="3">
        <f ca="1">IFERROR(__xludf.DUMMYFUNCTION("""COMPUTED_VALUE"""),81.5)</f>
        <v>81.5</v>
      </c>
      <c r="U28" s="3">
        <f ca="1">IFERROR(__xludf.DUMMYFUNCTION("""COMPUTED_VALUE"""),16.3)</f>
        <v>16.3</v>
      </c>
      <c r="V28" s="3">
        <f ca="1">IFERROR(__xludf.DUMMYFUNCTION("""COMPUTED_VALUE"""),2.2)</f>
        <v>2.2000000000000002</v>
      </c>
      <c r="W28" s="5"/>
      <c r="X28" s="5"/>
      <c r="Y28" s="5"/>
    </row>
    <row r="29" spans="1:25" ht="13.8">
      <c r="A29" s="2">
        <v>43323</v>
      </c>
      <c r="B29" s="3">
        <f ca="1">IFERROR(__xludf.DUMMYFUNCTION("split(W29, "" | "")"),16.1)</f>
        <v>16.100000000000001</v>
      </c>
      <c r="C29" s="3">
        <f ca="1">IFERROR(__xludf.DUMMYFUNCTION("""COMPUTED_VALUE"""),14.5)</f>
        <v>14.5</v>
      </c>
      <c r="D29" s="3">
        <f ca="1">IFERROR(__xludf.DUMMYFUNCTION("""COMPUTED_VALUE"""),19.9)</f>
        <v>19.899999999999999</v>
      </c>
      <c r="E29" s="3">
        <f ca="1">IFERROR(__xludf.DUMMYFUNCTION("""COMPUTED_VALUE"""),45.4)</f>
        <v>45.4</v>
      </c>
      <c r="F29" s="3">
        <f ca="1">IFERROR(__xludf.DUMMYFUNCTION("""COMPUTED_VALUE"""),30.6)</f>
        <v>30.6</v>
      </c>
      <c r="G29" s="3">
        <f ca="1">IFERROR(__xludf.DUMMYFUNCTION("""COMPUTED_VALUE"""),65.3)</f>
        <v>65.3</v>
      </c>
      <c r="H29" s="3">
        <f ca="1">IFERROR(__xludf.DUMMYFUNCTION("""COMPUTED_VALUE"""),4.1)</f>
        <v>4.0999999999999996</v>
      </c>
      <c r="I29" s="4">
        <f ca="1">IFERROR(__xludf.DUMMYFUNCTION("split(X29, "" | "")"),24.6)</f>
        <v>24.6</v>
      </c>
      <c r="J29" s="3">
        <f ca="1">IFERROR(__xludf.DUMMYFUNCTION("""COMPUTED_VALUE"""),29.3)</f>
        <v>29.3</v>
      </c>
      <c r="K29" s="3">
        <f ca="1">IFERROR(__xludf.DUMMYFUNCTION("""COMPUTED_VALUE"""),20.1)</f>
        <v>20.100000000000001</v>
      </c>
      <c r="L29" s="3">
        <f ca="1">IFERROR(__xludf.DUMMYFUNCTION("""COMPUTED_VALUE"""),22.1)</f>
        <v>22.1</v>
      </c>
      <c r="M29" s="3">
        <f ca="1">IFERROR(__xludf.DUMMYFUNCTION("""COMPUTED_VALUE"""),53.9)</f>
        <v>53.9</v>
      </c>
      <c r="N29" s="3">
        <f ca="1">IFERROR(__xludf.DUMMYFUNCTION("""COMPUTED_VALUE"""),42.2)</f>
        <v>42.2</v>
      </c>
      <c r="O29" s="3">
        <f ca="1">IFERROR(__xludf.DUMMYFUNCTION("""COMPUTED_VALUE"""),3.9)</f>
        <v>3.9</v>
      </c>
      <c r="P29" s="3">
        <f ca="1">IFERROR(__xludf.DUMMYFUNCTION("split(Y29, "" | "")"),43.8)</f>
        <v>43.8</v>
      </c>
      <c r="Q29" s="3">
        <f ca="1">IFERROR(__xludf.DUMMYFUNCTION("""COMPUTED_VALUE"""),33.5)</f>
        <v>33.5</v>
      </c>
      <c r="R29" s="3">
        <f ca="1">IFERROR(__xludf.DUMMYFUNCTION("""COMPUTED_VALUE"""),11.7)</f>
        <v>11.7</v>
      </c>
      <c r="S29" s="3">
        <f ca="1">IFERROR(__xludf.DUMMYFUNCTION("""COMPUTED_VALUE"""),7.3)</f>
        <v>7.3</v>
      </c>
      <c r="T29" s="3">
        <f ca="1">IFERROR(__xludf.DUMMYFUNCTION("""COMPUTED_VALUE"""),77.2)</f>
        <v>77.2</v>
      </c>
      <c r="U29" s="3">
        <f ca="1">IFERROR(__xludf.DUMMYFUNCTION("""COMPUTED_VALUE"""),19)</f>
        <v>19</v>
      </c>
      <c r="V29" s="3">
        <f ca="1">IFERROR(__xludf.DUMMYFUNCTION("""COMPUTED_VALUE"""),3.7)</f>
        <v>3.7</v>
      </c>
      <c r="W29" s="5"/>
      <c r="X29" s="5"/>
      <c r="Y29" s="5"/>
    </row>
    <row r="30" spans="1:25" ht="13.8">
      <c r="A30" s="2">
        <v>43330</v>
      </c>
      <c r="B30" s="3">
        <f ca="1">IFERROR(__xludf.DUMMYFUNCTION("split(W30, "" | "")"),18.5)</f>
        <v>18.5</v>
      </c>
      <c r="C30" s="3">
        <f ca="1">IFERROR(__xludf.DUMMYFUNCTION("""COMPUTED_VALUE"""),12.7)</f>
        <v>12.7</v>
      </c>
      <c r="D30" s="3">
        <f ca="1">IFERROR(__xludf.DUMMYFUNCTION("""COMPUTED_VALUE"""),19.6)</f>
        <v>19.600000000000001</v>
      </c>
      <c r="E30" s="3">
        <f ca="1">IFERROR(__xludf.DUMMYFUNCTION("""COMPUTED_VALUE"""),43.3)</f>
        <v>43.3</v>
      </c>
      <c r="F30" s="3">
        <f ca="1">IFERROR(__xludf.DUMMYFUNCTION("""COMPUTED_VALUE"""),31.2)</f>
        <v>31.2</v>
      </c>
      <c r="G30" s="3">
        <f ca="1">IFERROR(__xludf.DUMMYFUNCTION("""COMPUTED_VALUE"""),62.8)</f>
        <v>62.8</v>
      </c>
      <c r="H30" s="3">
        <f ca="1">IFERROR(__xludf.DUMMYFUNCTION("""COMPUTED_VALUE"""),5.9)</f>
        <v>5.9</v>
      </c>
      <c r="I30" s="4">
        <f ca="1">IFERROR(__xludf.DUMMYFUNCTION("split(X30, "" | "")"),25.7)</f>
        <v>25.7</v>
      </c>
      <c r="J30" s="3">
        <f ca="1">IFERROR(__xludf.DUMMYFUNCTION("""COMPUTED_VALUE"""),27.1)</f>
        <v>27.1</v>
      </c>
      <c r="K30" s="3">
        <f ca="1">IFERROR(__xludf.DUMMYFUNCTION("""COMPUTED_VALUE"""),20.6)</f>
        <v>20.6</v>
      </c>
      <c r="L30" s="3">
        <f ca="1">IFERROR(__xludf.DUMMYFUNCTION("""COMPUTED_VALUE"""),22.9)</f>
        <v>22.9</v>
      </c>
      <c r="M30" s="3">
        <f ca="1">IFERROR(__xludf.DUMMYFUNCTION("""COMPUTED_VALUE"""),52.8)</f>
        <v>52.8</v>
      </c>
      <c r="N30" s="3">
        <f ca="1">IFERROR(__xludf.DUMMYFUNCTION("""COMPUTED_VALUE"""),43.5)</f>
        <v>43.5</v>
      </c>
      <c r="O30" s="3">
        <f ca="1">IFERROR(__xludf.DUMMYFUNCTION("""COMPUTED_VALUE"""),3.7)</f>
        <v>3.7</v>
      </c>
      <c r="P30" s="3">
        <f ca="1">IFERROR(__xludf.DUMMYFUNCTION("split(Y30, "" | "")"),42.6)</f>
        <v>42.6</v>
      </c>
      <c r="Q30" s="3">
        <f ca="1">IFERROR(__xludf.DUMMYFUNCTION("""COMPUTED_VALUE"""),35.1)</f>
        <v>35.1</v>
      </c>
      <c r="R30" s="3">
        <f ca="1">IFERROR(__xludf.DUMMYFUNCTION("""COMPUTED_VALUE"""),8.7)</f>
        <v>8.6999999999999993</v>
      </c>
      <c r="S30" s="3">
        <f ca="1">IFERROR(__xludf.DUMMYFUNCTION("""COMPUTED_VALUE"""),11.1)</f>
        <v>11.1</v>
      </c>
      <c r="T30" s="3">
        <f ca="1">IFERROR(__xludf.DUMMYFUNCTION("""COMPUTED_VALUE"""),77.7)</f>
        <v>77.7</v>
      </c>
      <c r="U30" s="3">
        <f ca="1">IFERROR(__xludf.DUMMYFUNCTION("""COMPUTED_VALUE"""),19.8)</f>
        <v>19.8</v>
      </c>
      <c r="V30" s="3">
        <f ca="1">IFERROR(__xludf.DUMMYFUNCTION("""COMPUTED_VALUE"""),2.5)</f>
        <v>2.5</v>
      </c>
      <c r="W30" s="5"/>
      <c r="X30" s="5"/>
      <c r="Y30" s="5"/>
    </row>
    <row r="31" spans="1:25" ht="13.8">
      <c r="A31" s="2">
        <v>43337</v>
      </c>
      <c r="B31" s="3">
        <f ca="1">IFERROR(__xludf.DUMMYFUNCTION("split(W31, "" | "")"),12.9)</f>
        <v>12.9</v>
      </c>
      <c r="C31" s="3">
        <f ca="1">IFERROR(__xludf.DUMMYFUNCTION("""COMPUTED_VALUE"""),10.5)</f>
        <v>10.5</v>
      </c>
      <c r="D31" s="3">
        <f ca="1">IFERROR(__xludf.DUMMYFUNCTION("""COMPUTED_VALUE"""),23.9)</f>
        <v>23.9</v>
      </c>
      <c r="E31" s="3">
        <f ca="1">IFERROR(__xludf.DUMMYFUNCTION("""COMPUTED_VALUE"""),51.1)</f>
        <v>51.1</v>
      </c>
      <c r="F31" s="3">
        <f ca="1">IFERROR(__xludf.DUMMYFUNCTION("""COMPUTED_VALUE"""),23.4)</f>
        <v>23.4</v>
      </c>
      <c r="G31" s="3">
        <f ca="1">IFERROR(__xludf.DUMMYFUNCTION("""COMPUTED_VALUE"""),75)</f>
        <v>75</v>
      </c>
      <c r="H31" s="3">
        <f ca="1">IFERROR(__xludf.DUMMYFUNCTION("""COMPUTED_VALUE"""),1.6)</f>
        <v>1.6</v>
      </c>
      <c r="I31" s="4">
        <f ca="1">IFERROR(__xludf.DUMMYFUNCTION("split(X31, "" | "")"),24.5)</f>
        <v>24.5</v>
      </c>
      <c r="J31" s="3">
        <f ca="1">IFERROR(__xludf.DUMMYFUNCTION("""COMPUTED_VALUE"""),28.1)</f>
        <v>28.1</v>
      </c>
      <c r="K31" s="3">
        <f ca="1">IFERROR(__xludf.DUMMYFUNCTION("""COMPUTED_VALUE"""),19.7)</f>
        <v>19.7</v>
      </c>
      <c r="L31" s="3">
        <f ca="1">IFERROR(__xludf.DUMMYFUNCTION("""COMPUTED_VALUE"""),23.6)</f>
        <v>23.6</v>
      </c>
      <c r="M31" s="3">
        <f ca="1">IFERROR(__xludf.DUMMYFUNCTION("""COMPUTED_VALUE"""),52.7)</f>
        <v>52.7</v>
      </c>
      <c r="N31" s="3">
        <f ca="1">IFERROR(__xludf.DUMMYFUNCTION("""COMPUTED_VALUE"""),43.3)</f>
        <v>43.3</v>
      </c>
      <c r="O31" s="3">
        <f ca="1">IFERROR(__xludf.DUMMYFUNCTION("""COMPUTED_VALUE"""),4)</f>
        <v>4</v>
      </c>
      <c r="P31" s="3">
        <f ca="1">IFERROR(__xludf.DUMMYFUNCTION("split(Y31, "" | "")"),45.1)</f>
        <v>45.1</v>
      </c>
      <c r="Q31" s="3">
        <f ca="1">IFERROR(__xludf.DUMMYFUNCTION("""COMPUTED_VALUE"""),36.3)</f>
        <v>36.299999999999997</v>
      </c>
      <c r="R31" s="3">
        <f ca="1">IFERROR(__xludf.DUMMYFUNCTION("""COMPUTED_VALUE"""),9)</f>
        <v>9</v>
      </c>
      <c r="S31" s="3">
        <f ca="1">IFERROR(__xludf.DUMMYFUNCTION("""COMPUTED_VALUE"""),7)</f>
        <v>7</v>
      </c>
      <c r="T31" s="3">
        <f ca="1">IFERROR(__xludf.DUMMYFUNCTION("""COMPUTED_VALUE"""),81.4)</f>
        <v>81.400000000000006</v>
      </c>
      <c r="U31" s="3">
        <f ca="1">IFERROR(__xludf.DUMMYFUNCTION("""COMPUTED_VALUE"""),15.9)</f>
        <v>15.9</v>
      </c>
      <c r="V31" s="3">
        <f ca="1">IFERROR(__xludf.DUMMYFUNCTION("""COMPUTED_VALUE"""),2.7)</f>
        <v>2.7</v>
      </c>
      <c r="W31" s="5"/>
      <c r="X31" s="5"/>
      <c r="Y31" s="5"/>
    </row>
    <row r="32" spans="1:25" ht="13.8">
      <c r="A32" s="2">
        <v>43344</v>
      </c>
      <c r="B32" s="3">
        <f ca="1">IFERROR(__xludf.DUMMYFUNCTION("split(W32, "" | "")"),17)</f>
        <v>17</v>
      </c>
      <c r="C32" s="3">
        <f ca="1">IFERROR(__xludf.DUMMYFUNCTION("""COMPUTED_VALUE"""),11.1)</f>
        <v>11.1</v>
      </c>
      <c r="D32" s="3">
        <f ca="1">IFERROR(__xludf.DUMMYFUNCTION("""COMPUTED_VALUE"""),21.8)</f>
        <v>21.8</v>
      </c>
      <c r="E32" s="3">
        <f ca="1">IFERROR(__xludf.DUMMYFUNCTION("""COMPUTED_VALUE"""),45.7)</f>
        <v>45.7</v>
      </c>
      <c r="F32" s="3">
        <f ca="1">IFERROR(__xludf.DUMMYFUNCTION("""COMPUTED_VALUE"""),28.1)</f>
        <v>28.1</v>
      </c>
      <c r="G32" s="3">
        <f ca="1">IFERROR(__xludf.DUMMYFUNCTION("""COMPUTED_VALUE"""),67.5)</f>
        <v>67.5</v>
      </c>
      <c r="H32" s="3">
        <f ca="1">IFERROR(__xludf.DUMMYFUNCTION("""COMPUTED_VALUE"""),4.4)</f>
        <v>4.4000000000000004</v>
      </c>
      <c r="I32" s="4">
        <f ca="1">IFERROR(__xludf.DUMMYFUNCTION("split(X32, "" | "")"),23.7)</f>
        <v>23.7</v>
      </c>
      <c r="J32" s="3">
        <f ca="1">IFERROR(__xludf.DUMMYFUNCTION("""COMPUTED_VALUE"""),26.5)</f>
        <v>26.5</v>
      </c>
      <c r="K32" s="3">
        <f ca="1">IFERROR(__xludf.DUMMYFUNCTION("""COMPUTED_VALUE"""),19.3)</f>
        <v>19.3</v>
      </c>
      <c r="L32" s="3">
        <f ca="1">IFERROR(__xludf.DUMMYFUNCTION("""COMPUTED_VALUE"""),26.1)</f>
        <v>26.1</v>
      </c>
      <c r="M32" s="3">
        <f ca="1">IFERROR(__xludf.DUMMYFUNCTION("""COMPUTED_VALUE"""),50.1)</f>
        <v>50.1</v>
      </c>
      <c r="N32" s="3">
        <f ca="1">IFERROR(__xludf.DUMMYFUNCTION("""COMPUTED_VALUE"""),45.4)</f>
        <v>45.4</v>
      </c>
      <c r="O32" s="3">
        <f ca="1">IFERROR(__xludf.DUMMYFUNCTION("""COMPUTED_VALUE"""),4.5)</f>
        <v>4.5</v>
      </c>
      <c r="P32" s="3">
        <f ca="1">IFERROR(__xludf.DUMMYFUNCTION("split(Y32, "" | "")"),38.3)</f>
        <v>38.299999999999997</v>
      </c>
      <c r="Q32" s="3">
        <f ca="1">IFERROR(__xludf.DUMMYFUNCTION("""COMPUTED_VALUE"""),37.4)</f>
        <v>37.4</v>
      </c>
      <c r="R32" s="3">
        <f ca="1">IFERROR(__xludf.DUMMYFUNCTION("""COMPUTED_VALUE"""),10.3)</f>
        <v>10.3</v>
      </c>
      <c r="S32" s="3">
        <f ca="1">IFERROR(__xludf.DUMMYFUNCTION("""COMPUTED_VALUE"""),9.4)</f>
        <v>9.4</v>
      </c>
      <c r="T32" s="3">
        <f ca="1">IFERROR(__xludf.DUMMYFUNCTION("""COMPUTED_VALUE"""),75.7)</f>
        <v>75.7</v>
      </c>
      <c r="U32" s="3">
        <f ca="1">IFERROR(__xludf.DUMMYFUNCTION("""COMPUTED_VALUE"""),19.7)</f>
        <v>19.7</v>
      </c>
      <c r="V32" s="3">
        <f ca="1">IFERROR(__xludf.DUMMYFUNCTION("""COMPUTED_VALUE"""),4.7)</f>
        <v>4.7</v>
      </c>
      <c r="W32" s="5"/>
      <c r="X32" s="7"/>
      <c r="Y32" s="5"/>
    </row>
    <row r="33" spans="1:25" ht="13.8">
      <c r="A33" s="2">
        <v>43351</v>
      </c>
      <c r="B33" s="3">
        <f ca="1">IFERROR(__xludf.DUMMYFUNCTION("split(W33, "" | "")"),15.6)</f>
        <v>15.6</v>
      </c>
      <c r="C33" s="3">
        <f ca="1">IFERROR(__xludf.DUMMYFUNCTION("""COMPUTED_VALUE"""),12.7)</f>
        <v>12.7</v>
      </c>
      <c r="D33" s="3">
        <f ca="1">IFERROR(__xludf.DUMMYFUNCTION("""COMPUTED_VALUE"""),16)</f>
        <v>16</v>
      </c>
      <c r="E33" s="3">
        <f ca="1">IFERROR(__xludf.DUMMYFUNCTION("""COMPUTED_VALUE"""),51.6)</f>
        <v>51.6</v>
      </c>
      <c r="F33" s="3">
        <f ca="1">IFERROR(__xludf.DUMMYFUNCTION("""COMPUTED_VALUE"""),28.4)</f>
        <v>28.4</v>
      </c>
      <c r="G33" s="3">
        <f ca="1">IFERROR(__xludf.DUMMYFUNCTION("""COMPUTED_VALUE"""),67.5)</f>
        <v>67.5</v>
      </c>
      <c r="H33" s="3">
        <f ca="1">IFERROR(__xludf.DUMMYFUNCTION("""COMPUTED_VALUE"""),4.1)</f>
        <v>4.0999999999999996</v>
      </c>
      <c r="I33" s="4">
        <f ca="1">IFERROR(__xludf.DUMMYFUNCTION("split(X33, "" | "")"),22.2)</f>
        <v>22.2</v>
      </c>
      <c r="J33" s="3">
        <f ca="1">IFERROR(__xludf.DUMMYFUNCTION("""COMPUTED_VALUE"""),27.6)</f>
        <v>27.6</v>
      </c>
      <c r="K33" s="3">
        <f ca="1">IFERROR(__xludf.DUMMYFUNCTION("""COMPUTED_VALUE"""),18.5)</f>
        <v>18.5</v>
      </c>
      <c r="L33" s="3">
        <f ca="1">IFERROR(__xludf.DUMMYFUNCTION("""COMPUTED_VALUE"""),27.9)</f>
        <v>27.9</v>
      </c>
      <c r="M33" s="3">
        <f ca="1">IFERROR(__xludf.DUMMYFUNCTION("""COMPUTED_VALUE"""),49.8)</f>
        <v>49.8</v>
      </c>
      <c r="N33" s="3">
        <f ca="1">IFERROR(__xludf.DUMMYFUNCTION("""COMPUTED_VALUE"""),46.5)</f>
        <v>46.5</v>
      </c>
      <c r="O33" s="3">
        <f ca="1">IFERROR(__xludf.DUMMYFUNCTION("""COMPUTED_VALUE"""),3.7)</f>
        <v>3.7</v>
      </c>
      <c r="P33" s="3">
        <f ca="1">IFERROR(__xludf.DUMMYFUNCTION("split(Y33, "" | "")"),48.3)</f>
        <v>48.3</v>
      </c>
      <c r="Q33" s="3">
        <f ca="1">IFERROR(__xludf.DUMMYFUNCTION("""COMPUTED_VALUE"""),31.5)</f>
        <v>31.5</v>
      </c>
      <c r="R33" s="3">
        <f ca="1">IFERROR(__xludf.DUMMYFUNCTION("""COMPUTED_VALUE"""),9.8)</f>
        <v>9.8000000000000007</v>
      </c>
      <c r="S33" s="3">
        <f ca="1">IFERROR(__xludf.DUMMYFUNCTION("""COMPUTED_VALUE"""),8.4)</f>
        <v>8.4</v>
      </c>
      <c r="T33" s="3">
        <f ca="1">IFERROR(__xludf.DUMMYFUNCTION("""COMPUTED_VALUE"""),79.7)</f>
        <v>79.7</v>
      </c>
      <c r="U33" s="3">
        <f ca="1">IFERROR(__xludf.DUMMYFUNCTION("""COMPUTED_VALUE"""),18.2)</f>
        <v>18.2</v>
      </c>
      <c r="V33" s="3">
        <f ca="1">IFERROR(__xludf.DUMMYFUNCTION("""COMPUTED_VALUE"""),2.1)</f>
        <v>2.1</v>
      </c>
      <c r="W33" s="5"/>
      <c r="X33" s="5"/>
      <c r="Y33" s="5"/>
    </row>
    <row r="34" spans="1:25" ht="13.8">
      <c r="A34" s="2">
        <v>43358</v>
      </c>
      <c r="B34" s="3">
        <f ca="1">IFERROR(__xludf.DUMMYFUNCTION("split(W34, "" | "")"),22.3)</f>
        <v>22.3</v>
      </c>
      <c r="C34" s="3">
        <f ca="1">IFERROR(__xludf.DUMMYFUNCTION("""COMPUTED_VALUE"""),18)</f>
        <v>18</v>
      </c>
      <c r="D34" s="3">
        <f ca="1">IFERROR(__xludf.DUMMYFUNCTION("""COMPUTED_VALUE"""),16.9)</f>
        <v>16.899999999999999</v>
      </c>
      <c r="E34" s="3">
        <f ca="1">IFERROR(__xludf.DUMMYFUNCTION("""COMPUTED_VALUE"""),38.7)</f>
        <v>38.700000000000003</v>
      </c>
      <c r="F34" s="3">
        <f ca="1">IFERROR(__xludf.DUMMYFUNCTION("""COMPUTED_VALUE"""),40.3)</f>
        <v>40.299999999999997</v>
      </c>
      <c r="G34" s="3">
        <f ca="1">IFERROR(__xludf.DUMMYFUNCTION("""COMPUTED_VALUE"""),55.6)</f>
        <v>55.6</v>
      </c>
      <c r="H34" s="3">
        <f ca="1">IFERROR(__xludf.DUMMYFUNCTION("""COMPUTED_VALUE"""),4.2)</f>
        <v>4.2</v>
      </c>
      <c r="I34" s="4">
        <f ca="1">IFERROR(__xludf.DUMMYFUNCTION("split(X34, "" | "")"),33.8)</f>
        <v>33.799999999999997</v>
      </c>
      <c r="J34" s="3">
        <f ca="1">IFERROR(__xludf.DUMMYFUNCTION("""COMPUTED_VALUE"""),26.4)</f>
        <v>26.4</v>
      </c>
      <c r="K34" s="3">
        <f ca="1">IFERROR(__xludf.DUMMYFUNCTION("""COMPUTED_VALUE"""),16.7)</f>
        <v>16.7</v>
      </c>
      <c r="L34" s="3">
        <f ca="1">IFERROR(__xludf.DUMMYFUNCTION("""COMPUTED_VALUE"""),19.8)</f>
        <v>19.8</v>
      </c>
      <c r="M34" s="3">
        <f ca="1">IFERROR(__xludf.DUMMYFUNCTION("""COMPUTED_VALUE"""),60.2)</f>
        <v>60.2</v>
      </c>
      <c r="N34" s="3">
        <f ca="1">IFERROR(__xludf.DUMMYFUNCTION("""COMPUTED_VALUE"""),36.4)</f>
        <v>36.4</v>
      </c>
      <c r="O34" s="3">
        <f ca="1">IFERROR(__xludf.DUMMYFUNCTION("""COMPUTED_VALUE"""),3.4)</f>
        <v>3.4</v>
      </c>
      <c r="P34" s="3">
        <f ca="1">IFERROR(__xludf.DUMMYFUNCTION("split(Y34, "" | "")"),53)</f>
        <v>53</v>
      </c>
      <c r="Q34" s="3">
        <f ca="1">IFERROR(__xludf.DUMMYFUNCTION("""COMPUTED_VALUE"""),29.7)</f>
        <v>29.7</v>
      </c>
      <c r="R34" s="3">
        <f ca="1">IFERROR(__xludf.DUMMYFUNCTION("""COMPUTED_VALUE"""),5.3)</f>
        <v>5.3</v>
      </c>
      <c r="S34" s="3">
        <f ca="1">IFERROR(__xludf.DUMMYFUNCTION("""COMPUTED_VALUE"""),7.9)</f>
        <v>7.9</v>
      </c>
      <c r="T34" s="3">
        <f ca="1">IFERROR(__xludf.DUMMYFUNCTION("""COMPUTED_VALUE"""),82.7)</f>
        <v>82.7</v>
      </c>
      <c r="U34" s="3">
        <f ca="1">IFERROR(__xludf.DUMMYFUNCTION("""COMPUTED_VALUE"""),13.2)</f>
        <v>13.2</v>
      </c>
      <c r="V34" s="3">
        <f ca="1">IFERROR(__xludf.DUMMYFUNCTION("""COMPUTED_VALUE"""),4.1)</f>
        <v>4.0999999999999996</v>
      </c>
      <c r="W34" s="5"/>
      <c r="X34" s="5"/>
      <c r="Y34" s="5"/>
    </row>
    <row r="35" spans="1:25" ht="13.8">
      <c r="A35" s="2">
        <v>43365</v>
      </c>
      <c r="B35" s="3">
        <f ca="1">IFERROR(__xludf.DUMMYFUNCTION("split(W35, "" | "")"),18.5)</f>
        <v>18.5</v>
      </c>
      <c r="C35" s="3">
        <f ca="1">IFERROR(__xludf.DUMMYFUNCTION("""COMPUTED_VALUE"""),13.1)</f>
        <v>13.1</v>
      </c>
      <c r="D35" s="3">
        <f ca="1">IFERROR(__xludf.DUMMYFUNCTION("""COMPUTED_VALUE"""),19.9)</f>
        <v>19.899999999999999</v>
      </c>
      <c r="E35" s="3">
        <f ca="1">IFERROR(__xludf.DUMMYFUNCTION("""COMPUTED_VALUE"""),42.9)</f>
        <v>42.9</v>
      </c>
      <c r="F35" s="3">
        <f ca="1">IFERROR(__xludf.DUMMYFUNCTION("""COMPUTED_VALUE"""),31.6)</f>
        <v>31.6</v>
      </c>
      <c r="G35" s="3">
        <f ca="1">IFERROR(__xludf.DUMMYFUNCTION("""COMPUTED_VALUE"""),62.8)</f>
        <v>62.8</v>
      </c>
      <c r="H35" s="3">
        <f ca="1">IFERROR(__xludf.DUMMYFUNCTION("""COMPUTED_VALUE"""),5.6)</f>
        <v>5.6</v>
      </c>
      <c r="I35" s="4">
        <f ca="1">IFERROR(__xludf.DUMMYFUNCTION("split(X35, "" | "")"),34.4)</f>
        <v>34.4</v>
      </c>
      <c r="J35" s="3">
        <f ca="1">IFERROR(__xludf.DUMMYFUNCTION("""COMPUTED_VALUE"""),30.4)</f>
        <v>30.4</v>
      </c>
      <c r="K35" s="3">
        <f ca="1">IFERROR(__xludf.DUMMYFUNCTION("""COMPUTED_VALUE"""),17.2)</f>
        <v>17.2</v>
      </c>
      <c r="L35" s="3">
        <f ca="1">IFERROR(__xludf.DUMMYFUNCTION("""COMPUTED_VALUE"""),14.5)</f>
        <v>14.5</v>
      </c>
      <c r="M35" s="3">
        <f ca="1">IFERROR(__xludf.DUMMYFUNCTION("""COMPUTED_VALUE"""),64.8)</f>
        <v>64.8</v>
      </c>
      <c r="N35" s="3">
        <f ca="1">IFERROR(__xludf.DUMMYFUNCTION("""COMPUTED_VALUE"""),31.6)</f>
        <v>31.6</v>
      </c>
      <c r="O35" s="3">
        <f ca="1">IFERROR(__xludf.DUMMYFUNCTION("""COMPUTED_VALUE"""),3.5)</f>
        <v>3.5</v>
      </c>
      <c r="P35" s="3">
        <f ca="1">IFERROR(__xludf.DUMMYFUNCTION("split(Y35, "" | "")"),62.1)</f>
        <v>62.1</v>
      </c>
      <c r="Q35" s="3">
        <f ca="1">IFERROR(__xludf.DUMMYFUNCTION("""COMPUTED_VALUE"""),25.8)</f>
        <v>25.8</v>
      </c>
      <c r="R35" s="3">
        <f ca="1">IFERROR(__xludf.DUMMYFUNCTION("""COMPUTED_VALUE"""),4.8)</f>
        <v>4.8</v>
      </c>
      <c r="S35" s="3">
        <f ca="1">IFERROR(__xludf.DUMMYFUNCTION("""COMPUTED_VALUE"""),5.5)</f>
        <v>5.5</v>
      </c>
      <c r="T35" s="3">
        <f ca="1">IFERROR(__xludf.DUMMYFUNCTION("""COMPUTED_VALUE"""),87.9)</f>
        <v>87.9</v>
      </c>
      <c r="U35" s="3">
        <f ca="1">IFERROR(__xludf.DUMMYFUNCTION("""COMPUTED_VALUE"""),10.3)</f>
        <v>10.3</v>
      </c>
      <c r="V35" s="3">
        <f ca="1">IFERROR(__xludf.DUMMYFUNCTION("""COMPUTED_VALUE"""),1.8)</f>
        <v>1.8</v>
      </c>
      <c r="W35" s="5"/>
      <c r="X35" s="5"/>
      <c r="Y35" s="5"/>
    </row>
    <row r="36" spans="1:25" ht="13.8">
      <c r="A36" s="2">
        <v>43372</v>
      </c>
      <c r="B36" s="3">
        <f ca="1">IFERROR(__xludf.DUMMYFUNCTION("split(W36, "" | "")"),22.3)</f>
        <v>22.3</v>
      </c>
      <c r="C36" s="3">
        <f ca="1">IFERROR(__xludf.DUMMYFUNCTION("""COMPUTED_VALUE"""),15.2)</f>
        <v>15.2</v>
      </c>
      <c r="D36" s="3">
        <f ca="1">IFERROR(__xludf.DUMMYFUNCTION("""COMPUTED_VALUE"""),20.4)</f>
        <v>20.399999999999999</v>
      </c>
      <c r="E36" s="3">
        <f ca="1">IFERROR(__xludf.DUMMYFUNCTION("""COMPUTED_VALUE"""),37.7)</f>
        <v>37.700000000000003</v>
      </c>
      <c r="F36" s="3">
        <f ca="1">IFERROR(__xludf.DUMMYFUNCTION("""COMPUTED_VALUE"""),37.5)</f>
        <v>37.5</v>
      </c>
      <c r="G36" s="3">
        <f ca="1">IFERROR(__xludf.DUMMYFUNCTION("""COMPUTED_VALUE"""),58.1)</f>
        <v>58.1</v>
      </c>
      <c r="H36" s="3">
        <f ca="1">IFERROR(__xludf.DUMMYFUNCTION("""COMPUTED_VALUE"""),4.4)</f>
        <v>4.4000000000000004</v>
      </c>
      <c r="I36" s="4">
        <f ca="1">IFERROR(__xludf.DUMMYFUNCTION("split(X36, "" | "")"),32.7)</f>
        <v>32.700000000000003</v>
      </c>
      <c r="J36" s="3">
        <f ca="1">IFERROR(__xludf.DUMMYFUNCTION("""COMPUTED_VALUE"""),28.8)</f>
        <v>28.8</v>
      </c>
      <c r="K36" s="3">
        <f ca="1">IFERROR(__xludf.DUMMYFUNCTION("""COMPUTED_VALUE"""),14.6)</f>
        <v>14.6</v>
      </c>
      <c r="L36" s="3">
        <f ca="1">IFERROR(__xludf.DUMMYFUNCTION("""COMPUTED_VALUE"""),19.4)</f>
        <v>19.399999999999999</v>
      </c>
      <c r="M36" s="3">
        <f ca="1">IFERROR(__xludf.DUMMYFUNCTION("""COMPUTED_VALUE"""),61.6)</f>
        <v>61.6</v>
      </c>
      <c r="N36" s="3">
        <f ca="1">IFERROR(__xludf.DUMMYFUNCTION("""COMPUTED_VALUE"""),33.9)</f>
        <v>33.9</v>
      </c>
      <c r="O36" s="3">
        <f ca="1">IFERROR(__xludf.DUMMYFUNCTION("""COMPUTED_VALUE"""),4.5)</f>
        <v>4.5</v>
      </c>
      <c r="P36" s="3">
        <f ca="1">IFERROR(__xludf.DUMMYFUNCTION("split(Y36, "" | "")"),60.7)</f>
        <v>60.7</v>
      </c>
      <c r="Q36" s="3">
        <f ca="1">IFERROR(__xludf.DUMMYFUNCTION("""COMPUTED_VALUE"""),24.7)</f>
        <v>24.7</v>
      </c>
      <c r="R36" s="3">
        <f ca="1">IFERROR(__xludf.DUMMYFUNCTION("""COMPUTED_VALUE"""),5.6)</f>
        <v>5.6</v>
      </c>
      <c r="S36" s="3">
        <f ca="1">IFERROR(__xludf.DUMMYFUNCTION("""COMPUTED_VALUE"""),6.4)</f>
        <v>6.4</v>
      </c>
      <c r="T36" s="3">
        <f ca="1">IFERROR(__xludf.DUMMYFUNCTION("""COMPUTED_VALUE"""),85.4)</f>
        <v>85.4</v>
      </c>
      <c r="U36" s="3">
        <f ca="1">IFERROR(__xludf.DUMMYFUNCTION("""COMPUTED_VALUE"""),12.1)</f>
        <v>12.1</v>
      </c>
      <c r="V36" s="3">
        <f ca="1">IFERROR(__xludf.DUMMYFUNCTION("""COMPUTED_VALUE"""),2.5)</f>
        <v>2.5</v>
      </c>
      <c r="W36" s="5"/>
      <c r="X36" s="5"/>
      <c r="Y36" s="5"/>
    </row>
    <row r="37" spans="1:25" ht="13.8">
      <c r="A37" s="2">
        <v>43379</v>
      </c>
      <c r="B37" s="3">
        <f ca="1">IFERROR(__xludf.DUMMYFUNCTION("split(W37, "" | "")"),19.8)</f>
        <v>19.8</v>
      </c>
      <c r="C37" s="3">
        <f ca="1">IFERROR(__xludf.DUMMYFUNCTION("""COMPUTED_VALUE"""),15)</f>
        <v>15</v>
      </c>
      <c r="D37" s="3">
        <f ca="1">IFERROR(__xludf.DUMMYFUNCTION("""COMPUTED_VALUE"""),24.3)</f>
        <v>24.3</v>
      </c>
      <c r="E37" s="3">
        <f ca="1">IFERROR(__xludf.DUMMYFUNCTION("""COMPUTED_VALUE"""),34.7)</f>
        <v>34.700000000000003</v>
      </c>
      <c r="F37" s="3">
        <f ca="1">IFERROR(__xludf.DUMMYFUNCTION("""COMPUTED_VALUE"""),34.8)</f>
        <v>34.799999999999997</v>
      </c>
      <c r="G37" s="3">
        <f ca="1">IFERROR(__xludf.DUMMYFUNCTION("""COMPUTED_VALUE"""),58.9)</f>
        <v>58.9</v>
      </c>
      <c r="H37" s="3">
        <f ca="1">IFERROR(__xludf.DUMMYFUNCTION("""COMPUTED_VALUE"""),6.3)</f>
        <v>6.3</v>
      </c>
      <c r="I37" s="4">
        <f ca="1">IFERROR(__xludf.DUMMYFUNCTION("split(X37, "" | "")"),30.6)</f>
        <v>30.6</v>
      </c>
      <c r="J37" s="3">
        <f ca="1">IFERROR(__xludf.DUMMYFUNCTION("""COMPUTED_VALUE"""),29.3)</f>
        <v>29.3</v>
      </c>
      <c r="K37" s="3">
        <f ca="1">IFERROR(__xludf.DUMMYFUNCTION("""COMPUTED_VALUE"""),18.3)</f>
        <v>18.3</v>
      </c>
      <c r="L37" s="3">
        <f ca="1">IFERROR(__xludf.DUMMYFUNCTION("""COMPUTED_VALUE"""),17.6)</f>
        <v>17.600000000000001</v>
      </c>
      <c r="M37" s="3">
        <f ca="1">IFERROR(__xludf.DUMMYFUNCTION("""COMPUTED_VALUE"""),60)</f>
        <v>60</v>
      </c>
      <c r="N37" s="3">
        <f ca="1">IFERROR(__xludf.DUMMYFUNCTION("""COMPUTED_VALUE"""),36)</f>
        <v>36</v>
      </c>
      <c r="O37" s="3">
        <f ca="1">IFERROR(__xludf.DUMMYFUNCTION("""COMPUTED_VALUE"""),4.1)</f>
        <v>4.0999999999999996</v>
      </c>
      <c r="P37" s="3">
        <f ca="1">IFERROR(__xludf.DUMMYFUNCTION("split(Y37, "" | "")"),56.5)</f>
        <v>56.5</v>
      </c>
      <c r="Q37" s="3">
        <f ca="1">IFERROR(__xludf.DUMMYFUNCTION("""COMPUTED_VALUE"""),27.6)</f>
        <v>27.6</v>
      </c>
      <c r="R37" s="3">
        <f ca="1">IFERROR(__xludf.DUMMYFUNCTION("""COMPUTED_VALUE"""),7)</f>
        <v>7</v>
      </c>
      <c r="S37" s="3">
        <f ca="1">IFERROR(__xludf.DUMMYFUNCTION("""COMPUTED_VALUE"""),6.8)</f>
        <v>6.8</v>
      </c>
      <c r="T37" s="3">
        <f ca="1">IFERROR(__xludf.DUMMYFUNCTION("""COMPUTED_VALUE"""),84.1)</f>
        <v>84.1</v>
      </c>
      <c r="U37" s="3">
        <f ca="1">IFERROR(__xludf.DUMMYFUNCTION("""COMPUTED_VALUE"""),13.8)</f>
        <v>13.8</v>
      </c>
      <c r="V37" s="3">
        <f ca="1">IFERROR(__xludf.DUMMYFUNCTION("""COMPUTED_VALUE"""),2.1)</f>
        <v>2.1</v>
      </c>
      <c r="W37" s="5"/>
      <c r="X37" s="5"/>
      <c r="Y37" s="5"/>
    </row>
    <row r="38" spans="1:25" ht="13.8">
      <c r="A38" s="2">
        <v>43386</v>
      </c>
      <c r="B38" s="3">
        <f ca="1">IFERROR(__xludf.DUMMYFUNCTION("split(W38, "" | "")"),17)</f>
        <v>17</v>
      </c>
      <c r="C38" s="3">
        <f ca="1">IFERROR(__xludf.DUMMYFUNCTION("""COMPUTED_VALUE"""),15.6)</f>
        <v>15.6</v>
      </c>
      <c r="D38" s="3">
        <f ca="1">IFERROR(__xludf.DUMMYFUNCTION("""COMPUTED_VALUE"""),19.1)</f>
        <v>19.100000000000001</v>
      </c>
      <c r="E38" s="3">
        <f ca="1">IFERROR(__xludf.DUMMYFUNCTION("""COMPUTED_VALUE"""),43.3)</f>
        <v>43.3</v>
      </c>
      <c r="F38" s="3">
        <f ca="1">IFERROR(__xludf.DUMMYFUNCTION("""COMPUTED_VALUE"""),32.5)</f>
        <v>32.5</v>
      </c>
      <c r="G38" s="3">
        <f ca="1">IFERROR(__xludf.DUMMYFUNCTION("""COMPUTED_VALUE"""),62.5)</f>
        <v>62.5</v>
      </c>
      <c r="H38" s="3">
        <f ca="1">IFERROR(__xludf.DUMMYFUNCTION("""COMPUTED_VALUE"""),5)</f>
        <v>5</v>
      </c>
      <c r="I38" s="4">
        <f ca="1">IFERROR(__xludf.DUMMYFUNCTION("split(X38, "" | "")"),30.3)</f>
        <v>30.3</v>
      </c>
      <c r="J38" s="3">
        <f ca="1">IFERROR(__xludf.DUMMYFUNCTION("""COMPUTED_VALUE"""),29.3)</f>
        <v>29.3</v>
      </c>
      <c r="K38" s="3">
        <f ca="1">IFERROR(__xludf.DUMMYFUNCTION("""COMPUTED_VALUE"""),15.7)</f>
        <v>15.7</v>
      </c>
      <c r="L38" s="3">
        <f ca="1">IFERROR(__xludf.DUMMYFUNCTION("""COMPUTED_VALUE"""),19)</f>
        <v>19</v>
      </c>
      <c r="M38" s="3">
        <f ca="1">IFERROR(__xludf.DUMMYFUNCTION("""COMPUTED_VALUE"""),59.6)</f>
        <v>59.6</v>
      </c>
      <c r="N38" s="3">
        <f ca="1">IFERROR(__xludf.DUMMYFUNCTION("""COMPUTED_VALUE"""),34.7)</f>
        <v>34.700000000000003</v>
      </c>
      <c r="O38" s="3">
        <f ca="1">IFERROR(__xludf.DUMMYFUNCTION("""COMPUTED_VALUE"""),5.6)</f>
        <v>5.6</v>
      </c>
      <c r="P38" s="3">
        <f ca="1">IFERROR(__xludf.DUMMYFUNCTION("split(Y38, "" | "")"),58.6)</f>
        <v>58.6</v>
      </c>
      <c r="Q38" s="3">
        <f ca="1">IFERROR(__xludf.DUMMYFUNCTION("""COMPUTED_VALUE"""),27)</f>
        <v>27</v>
      </c>
      <c r="R38" s="3">
        <f ca="1">IFERROR(__xludf.DUMMYFUNCTION("""COMPUTED_VALUE"""),5.7)</f>
        <v>5.7</v>
      </c>
      <c r="S38" s="3">
        <f ca="1">IFERROR(__xludf.DUMMYFUNCTION("""COMPUTED_VALUE"""),6.4)</f>
        <v>6.4</v>
      </c>
      <c r="T38" s="3">
        <f ca="1">IFERROR(__xludf.DUMMYFUNCTION("""COMPUTED_VALUE"""),85.6)</f>
        <v>85.6</v>
      </c>
      <c r="U38" s="3">
        <f ca="1">IFERROR(__xludf.DUMMYFUNCTION("""COMPUTED_VALUE"""),12.1)</f>
        <v>12.1</v>
      </c>
      <c r="V38" s="3">
        <f ca="1">IFERROR(__xludf.DUMMYFUNCTION("""COMPUTED_VALUE"""),2.3)</f>
        <v>2.2999999999999998</v>
      </c>
      <c r="W38" s="5"/>
      <c r="X38" s="5"/>
      <c r="Y38" s="5"/>
    </row>
    <row r="39" spans="1:25" ht="13.8">
      <c r="A39" s="2">
        <v>43393</v>
      </c>
      <c r="B39" s="3">
        <f ca="1">IFERROR(__xludf.DUMMYFUNCTION("split(W39, "" | "")"),16.9)</f>
        <v>16.899999999999999</v>
      </c>
      <c r="C39" s="3">
        <f ca="1">IFERROR(__xludf.DUMMYFUNCTION("""COMPUTED_VALUE"""),13.3)</f>
        <v>13.3</v>
      </c>
      <c r="D39" s="3">
        <f ca="1">IFERROR(__xludf.DUMMYFUNCTION("""COMPUTED_VALUE"""),17.7)</f>
        <v>17.7</v>
      </c>
      <c r="E39" s="3">
        <f ca="1">IFERROR(__xludf.DUMMYFUNCTION("""COMPUTED_VALUE"""),46.8)</f>
        <v>46.8</v>
      </c>
      <c r="F39" s="3">
        <f ca="1">IFERROR(__xludf.DUMMYFUNCTION("""COMPUTED_VALUE"""),30.2)</f>
        <v>30.2</v>
      </c>
      <c r="G39" s="3">
        <f ca="1">IFERROR(__xludf.DUMMYFUNCTION("""COMPUTED_VALUE"""),64.6)</f>
        <v>64.599999999999994</v>
      </c>
      <c r="H39" s="3">
        <f ca="1">IFERROR(__xludf.DUMMYFUNCTION("""COMPUTED_VALUE"""),5.3)</f>
        <v>5.3</v>
      </c>
      <c r="I39" s="4">
        <f ca="1">IFERROR(__xludf.DUMMYFUNCTION("split(X39, "" | "")"),28)</f>
        <v>28</v>
      </c>
      <c r="J39" s="3">
        <f ca="1">IFERROR(__xludf.DUMMYFUNCTION("""COMPUTED_VALUE"""),29.6)</f>
        <v>29.6</v>
      </c>
      <c r="K39" s="3">
        <f ca="1">IFERROR(__xludf.DUMMYFUNCTION("""COMPUTED_VALUE"""),15.8)</f>
        <v>15.8</v>
      </c>
      <c r="L39" s="3">
        <f ca="1">IFERROR(__xludf.DUMMYFUNCTION("""COMPUTED_VALUE"""),23.9)</f>
        <v>23.9</v>
      </c>
      <c r="M39" s="3">
        <f ca="1">IFERROR(__xludf.DUMMYFUNCTION("""COMPUTED_VALUE"""),57.6)</f>
        <v>57.6</v>
      </c>
      <c r="N39" s="3">
        <f ca="1">IFERROR(__xludf.DUMMYFUNCTION("""COMPUTED_VALUE"""),39.7)</f>
        <v>39.700000000000003</v>
      </c>
      <c r="O39" s="3">
        <f ca="1">IFERROR(__xludf.DUMMYFUNCTION("""COMPUTED_VALUE"""),2.7)</f>
        <v>2.7</v>
      </c>
      <c r="P39" s="3">
        <f ca="1">IFERROR(__xludf.DUMMYFUNCTION("split(Y39, "" | "")"),51.1)</f>
        <v>51.1</v>
      </c>
      <c r="Q39" s="3">
        <f ca="1">IFERROR(__xludf.DUMMYFUNCTION("""COMPUTED_VALUE"""),29)</f>
        <v>29</v>
      </c>
      <c r="R39" s="3">
        <f ca="1">IFERROR(__xludf.DUMMYFUNCTION("""COMPUTED_VALUE"""),7.8)</f>
        <v>7.8</v>
      </c>
      <c r="S39" s="3">
        <f ca="1">IFERROR(__xludf.DUMMYFUNCTION("""COMPUTED_VALUE"""),7.4)</f>
        <v>7.4</v>
      </c>
      <c r="T39" s="3">
        <f ca="1">IFERROR(__xludf.DUMMYFUNCTION("""COMPUTED_VALUE"""),80.1)</f>
        <v>80.099999999999994</v>
      </c>
      <c r="U39" s="3">
        <f ca="1">IFERROR(__xludf.DUMMYFUNCTION("""COMPUTED_VALUE"""),15.3)</f>
        <v>15.3</v>
      </c>
      <c r="V39" s="3">
        <f ca="1">IFERROR(__xludf.DUMMYFUNCTION("""COMPUTED_VALUE"""),4.6)</f>
        <v>4.5999999999999996</v>
      </c>
      <c r="W39" s="5"/>
      <c r="X39" s="5"/>
      <c r="Y39" s="5"/>
    </row>
    <row r="40" spans="1:25" ht="13.8">
      <c r="A40" s="2">
        <v>43400</v>
      </c>
      <c r="B40" s="3">
        <f ca="1">IFERROR(__xludf.DUMMYFUNCTION("split(W40, "" | "")"),15.4)</f>
        <v>15.4</v>
      </c>
      <c r="C40" s="3">
        <f ca="1">IFERROR(__xludf.DUMMYFUNCTION("""COMPUTED_VALUE"""),11.1)</f>
        <v>11.1</v>
      </c>
      <c r="D40" s="3">
        <f ca="1">IFERROR(__xludf.DUMMYFUNCTION("""COMPUTED_VALUE"""),19.6)</f>
        <v>19.600000000000001</v>
      </c>
      <c r="E40" s="3">
        <f ca="1">IFERROR(__xludf.DUMMYFUNCTION("""COMPUTED_VALUE"""),50.1)</f>
        <v>50.1</v>
      </c>
      <c r="F40" s="3">
        <f ca="1">IFERROR(__xludf.DUMMYFUNCTION("""COMPUTED_VALUE"""),26.4)</f>
        <v>26.4</v>
      </c>
      <c r="G40" s="3">
        <f ca="1">IFERROR(__xludf.DUMMYFUNCTION("""COMPUTED_VALUE"""),69.8)</f>
        <v>69.8</v>
      </c>
      <c r="H40" s="3">
        <f ca="1">IFERROR(__xludf.DUMMYFUNCTION("""COMPUTED_VALUE"""),3.8)</f>
        <v>3.8</v>
      </c>
      <c r="I40" s="4">
        <f ca="1">IFERROR(__xludf.DUMMYFUNCTION("split(X40, "" | "")"),26)</f>
        <v>26</v>
      </c>
      <c r="J40" s="3">
        <f ca="1">IFERROR(__xludf.DUMMYFUNCTION("""COMPUTED_VALUE"""),26.9)</f>
        <v>26.9</v>
      </c>
      <c r="K40" s="3">
        <f ca="1">IFERROR(__xludf.DUMMYFUNCTION("""COMPUTED_VALUE"""),21.1)</f>
        <v>21.1</v>
      </c>
      <c r="L40" s="3">
        <f ca="1">IFERROR(__xludf.DUMMYFUNCTION("""COMPUTED_VALUE"""),21.3)</f>
        <v>21.3</v>
      </c>
      <c r="M40" s="3">
        <f ca="1">IFERROR(__xludf.DUMMYFUNCTION("""COMPUTED_VALUE"""),52.9)</f>
        <v>52.9</v>
      </c>
      <c r="N40" s="3">
        <f ca="1">IFERROR(__xludf.DUMMYFUNCTION("""COMPUTED_VALUE"""),42.3)</f>
        <v>42.3</v>
      </c>
      <c r="O40" s="3">
        <f ca="1">IFERROR(__xludf.DUMMYFUNCTION("""COMPUTED_VALUE"""),4.8)</f>
        <v>4.8</v>
      </c>
      <c r="P40" s="3">
        <f ca="1">IFERROR(__xludf.DUMMYFUNCTION("split(Y40, "" | "")"),49.7)</f>
        <v>49.7</v>
      </c>
      <c r="Q40" s="3">
        <f ca="1">IFERROR(__xludf.DUMMYFUNCTION("""COMPUTED_VALUE"""),31.7)</f>
        <v>31.7</v>
      </c>
      <c r="R40" s="3">
        <f ca="1">IFERROR(__xludf.DUMMYFUNCTION("""COMPUTED_VALUE"""),7.5)</f>
        <v>7.5</v>
      </c>
      <c r="S40" s="3">
        <f ca="1">IFERROR(__xludf.DUMMYFUNCTION("""COMPUTED_VALUE"""),8)</f>
        <v>8</v>
      </c>
      <c r="T40" s="3">
        <f ca="1">IFERROR(__xludf.DUMMYFUNCTION("""COMPUTED_VALUE"""),81.4)</f>
        <v>81.400000000000006</v>
      </c>
      <c r="U40" s="3">
        <f ca="1">IFERROR(__xludf.DUMMYFUNCTION("""COMPUTED_VALUE"""),15.5)</f>
        <v>15.5</v>
      </c>
      <c r="V40" s="3">
        <f ca="1">IFERROR(__xludf.DUMMYFUNCTION("""COMPUTED_VALUE"""),3.1)</f>
        <v>3.1</v>
      </c>
      <c r="W40" s="5"/>
      <c r="X40" s="5"/>
      <c r="Y40" s="5"/>
    </row>
    <row r="41" spans="1:25" ht="13.8">
      <c r="A41" s="2">
        <v>43407</v>
      </c>
      <c r="B41" s="3">
        <f ca="1">IFERROR(__xludf.DUMMYFUNCTION("split(W41, "" | "")"),10.4)</f>
        <v>10.4</v>
      </c>
      <c r="C41" s="3">
        <f ca="1">IFERROR(__xludf.DUMMYFUNCTION("""COMPUTED_VALUE"""),14)</f>
        <v>14</v>
      </c>
      <c r="D41" s="3">
        <f ca="1">IFERROR(__xludf.DUMMYFUNCTION("""COMPUTED_VALUE"""),19.7)</f>
        <v>19.7</v>
      </c>
      <c r="E41" s="3">
        <f ca="1">IFERROR(__xludf.DUMMYFUNCTION("""COMPUTED_VALUE"""),51.6)</f>
        <v>51.6</v>
      </c>
      <c r="F41" s="3">
        <f ca="1">IFERROR(__xludf.DUMMYFUNCTION("""COMPUTED_VALUE"""),24.4)</f>
        <v>24.4</v>
      </c>
      <c r="G41" s="3">
        <f ca="1">IFERROR(__xludf.DUMMYFUNCTION("""COMPUTED_VALUE"""),71.3)</f>
        <v>71.3</v>
      </c>
      <c r="H41" s="3">
        <f ca="1">IFERROR(__xludf.DUMMYFUNCTION("""COMPUTED_VALUE"""),4.3)</f>
        <v>4.3</v>
      </c>
      <c r="I41" s="4">
        <f ca="1">IFERROR(__xludf.DUMMYFUNCTION("split(X41, "" | "")"),25.4)</f>
        <v>25.4</v>
      </c>
      <c r="J41" s="3">
        <f ca="1">IFERROR(__xludf.DUMMYFUNCTION("""COMPUTED_VALUE"""),28)</f>
        <v>28</v>
      </c>
      <c r="K41" s="3">
        <f ca="1">IFERROR(__xludf.DUMMYFUNCTION("""COMPUTED_VALUE"""),18.3)</f>
        <v>18.3</v>
      </c>
      <c r="L41" s="3">
        <f ca="1">IFERROR(__xludf.DUMMYFUNCTION("""COMPUTED_VALUE"""),24.4)</f>
        <v>24.4</v>
      </c>
      <c r="M41" s="3">
        <f ca="1">IFERROR(__xludf.DUMMYFUNCTION("""COMPUTED_VALUE"""),53.4)</f>
        <v>53.4</v>
      </c>
      <c r="N41" s="3">
        <f ca="1">IFERROR(__xludf.DUMMYFUNCTION("""COMPUTED_VALUE"""),42.7)</f>
        <v>42.7</v>
      </c>
      <c r="O41" s="3">
        <f ca="1">IFERROR(__xludf.DUMMYFUNCTION("""COMPUTED_VALUE"""),3.9)</f>
        <v>3.9</v>
      </c>
      <c r="P41" s="3">
        <f ca="1">IFERROR(__xludf.DUMMYFUNCTION("split(Y41, "" | "")"),47.7)</f>
        <v>47.7</v>
      </c>
      <c r="Q41" s="3">
        <f ca="1">IFERROR(__xludf.DUMMYFUNCTION("""COMPUTED_VALUE"""),32.2)</f>
        <v>32.200000000000003</v>
      </c>
      <c r="R41" s="3">
        <f ca="1">IFERROR(__xludf.DUMMYFUNCTION("""COMPUTED_VALUE"""),9)</f>
        <v>9</v>
      </c>
      <c r="S41" s="3">
        <f ca="1">IFERROR(__xludf.DUMMYFUNCTION("""COMPUTED_VALUE"""),7.4)</f>
        <v>7.4</v>
      </c>
      <c r="T41" s="3">
        <f ca="1">IFERROR(__xludf.DUMMYFUNCTION("""COMPUTED_VALUE"""),79.9)</f>
        <v>79.900000000000006</v>
      </c>
      <c r="U41" s="3">
        <f ca="1">IFERROR(__xludf.DUMMYFUNCTION("""COMPUTED_VALUE"""),16.4)</f>
        <v>16.399999999999999</v>
      </c>
      <c r="V41" s="3">
        <f ca="1">IFERROR(__xludf.DUMMYFUNCTION("""COMPUTED_VALUE"""),3.6)</f>
        <v>3.6</v>
      </c>
      <c r="W41" s="5"/>
      <c r="X41" s="5"/>
      <c r="Y41" s="5"/>
    </row>
    <row r="42" spans="1:25" ht="13.8">
      <c r="A42" s="2">
        <v>43414</v>
      </c>
      <c r="B42" s="3"/>
      <c r="I42" s="4"/>
      <c r="P42" s="3"/>
    </row>
    <row r="43" spans="1:25" ht="13.8">
      <c r="A43" s="2">
        <v>43421</v>
      </c>
      <c r="B43" s="3">
        <f ca="1">IFERROR(__xludf.DUMMYFUNCTION("split(W43, "" | "")"),11.1)</f>
        <v>11.1</v>
      </c>
      <c r="C43" s="3">
        <f ca="1">IFERROR(__xludf.DUMMYFUNCTION("""COMPUTED_VALUE"""),12.6)</f>
        <v>12.6</v>
      </c>
      <c r="D43" s="3">
        <f ca="1">IFERROR(__xludf.DUMMYFUNCTION("""COMPUTED_VALUE"""),18.4)</f>
        <v>18.399999999999999</v>
      </c>
      <c r="E43" s="3">
        <f ca="1">IFERROR(__xludf.DUMMYFUNCTION("""COMPUTED_VALUE"""),54.9)</f>
        <v>54.9</v>
      </c>
      <c r="F43" s="3">
        <f ca="1">IFERROR(__xludf.DUMMYFUNCTION("""COMPUTED_VALUE"""),23.7)</f>
        <v>23.7</v>
      </c>
      <c r="G43" s="3">
        <f ca="1">IFERROR(__xludf.DUMMYFUNCTION("""COMPUTED_VALUE"""),73.4)</f>
        <v>73.400000000000006</v>
      </c>
      <c r="H43" s="3">
        <f ca="1">IFERROR(__xludf.DUMMYFUNCTION("""COMPUTED_VALUE"""),2.9)</f>
        <v>2.9</v>
      </c>
      <c r="I43" s="4">
        <f ca="1">IFERROR(__xludf.DUMMYFUNCTION("split(X43, "" | "")"),21.1)</f>
        <v>21.1</v>
      </c>
      <c r="J43" s="3">
        <f ca="1">IFERROR(__xludf.DUMMYFUNCTION("""COMPUTED_VALUE"""),28.6)</f>
        <v>28.6</v>
      </c>
      <c r="K43" s="3">
        <f ca="1">IFERROR(__xludf.DUMMYFUNCTION("""COMPUTED_VALUE"""),17.2)</f>
        <v>17.2</v>
      </c>
      <c r="L43" s="3">
        <f ca="1">IFERROR(__xludf.DUMMYFUNCTION("""COMPUTED_VALUE"""),28.2)</f>
        <v>28.2</v>
      </c>
      <c r="M43" s="3">
        <f ca="1">IFERROR(__xludf.DUMMYFUNCTION("""COMPUTED_VALUE"""),49.6)</f>
        <v>49.6</v>
      </c>
      <c r="N43" s="3">
        <f ca="1">IFERROR(__xludf.DUMMYFUNCTION("""COMPUTED_VALUE"""),45.3)</f>
        <v>45.3</v>
      </c>
      <c r="O43" s="3">
        <f ca="1">IFERROR(__xludf.DUMMYFUNCTION("""COMPUTED_VALUE"""),5)</f>
        <v>5</v>
      </c>
      <c r="P43" s="3">
        <f ca="1">IFERROR(__xludf.DUMMYFUNCTION("split(Y43, "" | "")"),47.3)</f>
        <v>47.3</v>
      </c>
      <c r="Q43" s="3">
        <f ca="1">IFERROR(__xludf.DUMMYFUNCTION("""COMPUTED_VALUE"""),30.2)</f>
        <v>30.2</v>
      </c>
      <c r="R43" s="3">
        <f ca="1">IFERROR(__xludf.DUMMYFUNCTION("""COMPUTED_VALUE"""),10.7)</f>
        <v>10.7</v>
      </c>
      <c r="S43" s="3">
        <f ca="1">IFERROR(__xludf.DUMMYFUNCTION("""COMPUTED_VALUE"""),9.5)</f>
        <v>9.5</v>
      </c>
      <c r="T43" s="3">
        <f ca="1">IFERROR(__xludf.DUMMYFUNCTION("""COMPUTED_VALUE"""),77.5)</f>
        <v>77.5</v>
      </c>
      <c r="U43" s="3">
        <f ca="1">IFERROR(__xludf.DUMMYFUNCTION("""COMPUTED_VALUE"""),20.2)</f>
        <v>20.2</v>
      </c>
      <c r="V43" s="3">
        <f ca="1">IFERROR(__xludf.DUMMYFUNCTION("""COMPUTED_VALUE"""),2.2)</f>
        <v>2.2000000000000002</v>
      </c>
      <c r="W43" s="5"/>
      <c r="X43" s="5"/>
      <c r="Y43" s="5"/>
    </row>
    <row r="44" spans="1:25" ht="13.8">
      <c r="A44" s="2">
        <v>43428</v>
      </c>
      <c r="B44" s="3">
        <f ca="1">IFERROR(__xludf.DUMMYFUNCTION("split(W44, "" | "")"),10.9)</f>
        <v>10.9</v>
      </c>
      <c r="C44" s="3">
        <f ca="1">IFERROR(__xludf.DUMMYFUNCTION("""COMPUTED_VALUE"""),9.8)</f>
        <v>9.8000000000000007</v>
      </c>
      <c r="D44" s="3">
        <f ca="1">IFERROR(__xludf.DUMMYFUNCTION("""COMPUTED_VALUE"""),19.5)</f>
        <v>19.5</v>
      </c>
      <c r="E44" s="3">
        <f ca="1">IFERROR(__xludf.DUMMYFUNCTION("""COMPUTED_VALUE"""),57.3)</f>
        <v>57.3</v>
      </c>
      <c r="F44" s="3">
        <f ca="1">IFERROR(__xludf.DUMMYFUNCTION("""COMPUTED_VALUE"""),20.8)</f>
        <v>20.8</v>
      </c>
      <c r="G44" s="3">
        <f ca="1">IFERROR(__xludf.DUMMYFUNCTION("""COMPUTED_VALUE"""),76.9)</f>
        <v>76.900000000000006</v>
      </c>
      <c r="H44" s="3">
        <f ca="1">IFERROR(__xludf.DUMMYFUNCTION("""COMPUTED_VALUE"""),2.4)</f>
        <v>2.4</v>
      </c>
      <c r="I44" s="4">
        <f ca="1">IFERROR(__xludf.DUMMYFUNCTION("split(X44, "" | "")"),18.2)</f>
        <v>18.2</v>
      </c>
      <c r="J44" s="3">
        <f ca="1">IFERROR(__xludf.DUMMYFUNCTION("""COMPUTED_VALUE"""),27.1)</f>
        <v>27.1</v>
      </c>
      <c r="K44" s="3">
        <f ca="1">IFERROR(__xludf.DUMMYFUNCTION("""COMPUTED_VALUE"""),18.7)</f>
        <v>18.7</v>
      </c>
      <c r="L44" s="3">
        <f ca="1">IFERROR(__xludf.DUMMYFUNCTION("""COMPUTED_VALUE"""),31.5)</f>
        <v>31.5</v>
      </c>
      <c r="M44" s="3">
        <f ca="1">IFERROR(__xludf.DUMMYFUNCTION("""COMPUTED_VALUE"""),45.3)</f>
        <v>45.3</v>
      </c>
      <c r="N44" s="3">
        <f ca="1">IFERROR(__xludf.DUMMYFUNCTION("""COMPUTED_VALUE"""),50.3)</f>
        <v>50.3</v>
      </c>
      <c r="O44" s="3">
        <f ca="1">IFERROR(__xludf.DUMMYFUNCTION("""COMPUTED_VALUE"""),4.4)</f>
        <v>4.4000000000000004</v>
      </c>
      <c r="P44" s="3">
        <f ca="1">IFERROR(__xludf.DUMMYFUNCTION("split(Y44, "" | "")"),45.4)</f>
        <v>45.4</v>
      </c>
      <c r="Q44" s="3">
        <f ca="1">IFERROR(__xludf.DUMMYFUNCTION("""COMPUTED_VALUE"""),31)</f>
        <v>31</v>
      </c>
      <c r="R44" s="3">
        <f ca="1">IFERROR(__xludf.DUMMYFUNCTION("""COMPUTED_VALUE"""),9.6)</f>
        <v>9.6</v>
      </c>
      <c r="S44" s="3">
        <f ca="1">IFERROR(__xludf.DUMMYFUNCTION("""COMPUTED_VALUE"""),10.7)</f>
        <v>10.7</v>
      </c>
      <c r="T44" s="3">
        <f ca="1">IFERROR(__xludf.DUMMYFUNCTION("""COMPUTED_VALUE"""),76.4)</f>
        <v>76.400000000000006</v>
      </c>
      <c r="U44" s="3">
        <f ca="1">IFERROR(__xludf.DUMMYFUNCTION("""COMPUTED_VALUE"""),20.3)</f>
        <v>20.3</v>
      </c>
      <c r="V44" s="3">
        <f ca="1">IFERROR(__xludf.DUMMYFUNCTION("""COMPUTED_VALUE"""),3.4)</f>
        <v>3.4</v>
      </c>
      <c r="W44" s="5"/>
      <c r="X44" s="5"/>
      <c r="Y44" s="5"/>
    </row>
    <row r="45" spans="1:25" ht="13.8">
      <c r="A45" s="2">
        <v>43435</v>
      </c>
      <c r="B45" s="3">
        <f ca="1">IFERROR(__xludf.DUMMYFUNCTION("split(W45, "" | "")"),13.9)</f>
        <v>13.9</v>
      </c>
      <c r="C45" s="3">
        <f ca="1">IFERROR(__xludf.DUMMYFUNCTION("""COMPUTED_VALUE"""),9.4)</f>
        <v>9.4</v>
      </c>
      <c r="D45" s="3">
        <f ca="1">IFERROR(__xludf.DUMMYFUNCTION("""COMPUTED_VALUE"""),20.3)</f>
        <v>20.3</v>
      </c>
      <c r="E45" s="3">
        <f ca="1">IFERROR(__xludf.DUMMYFUNCTION("""COMPUTED_VALUE"""),53.3)</f>
        <v>53.3</v>
      </c>
      <c r="F45" s="3">
        <f ca="1">IFERROR(__xludf.DUMMYFUNCTION("""COMPUTED_VALUE"""),23.3)</f>
        <v>23.3</v>
      </c>
      <c r="G45" s="3">
        <f ca="1">IFERROR(__xludf.DUMMYFUNCTION("""COMPUTED_VALUE"""),73.6)</f>
        <v>73.599999999999994</v>
      </c>
      <c r="H45" s="3">
        <f ca="1">IFERROR(__xludf.DUMMYFUNCTION("""COMPUTED_VALUE"""),3)</f>
        <v>3</v>
      </c>
      <c r="I45" s="4">
        <f ca="1">IFERROR(__xludf.DUMMYFUNCTION("split(X45, "" | "")"),22.9)</f>
        <v>22.9</v>
      </c>
      <c r="J45" s="3">
        <f ca="1">IFERROR(__xludf.DUMMYFUNCTION("""COMPUTED_VALUE"""),25.1)</f>
        <v>25.1</v>
      </c>
      <c r="K45" s="3">
        <f ca="1">IFERROR(__xludf.DUMMYFUNCTION("""COMPUTED_VALUE"""),20.7)</f>
        <v>20.7</v>
      </c>
      <c r="L45" s="3">
        <f ca="1">IFERROR(__xludf.DUMMYFUNCTION("""COMPUTED_VALUE"""),27.2)</f>
        <v>27.2</v>
      </c>
      <c r="M45" s="3">
        <f ca="1">IFERROR(__xludf.DUMMYFUNCTION("""COMPUTED_VALUE"""),48)</f>
        <v>48</v>
      </c>
      <c r="N45" s="3">
        <f ca="1">IFERROR(__xludf.DUMMYFUNCTION("""COMPUTED_VALUE"""),47.9)</f>
        <v>47.9</v>
      </c>
      <c r="O45" s="3">
        <f ca="1">IFERROR(__xludf.DUMMYFUNCTION("""COMPUTED_VALUE"""),4.1)</f>
        <v>4.0999999999999996</v>
      </c>
      <c r="P45" s="3">
        <f ca="1">IFERROR(__xludf.DUMMYFUNCTION("split(Y45, "" | "")"),44.2)</f>
        <v>44.2</v>
      </c>
      <c r="Q45" s="3">
        <f ca="1">IFERROR(__xludf.DUMMYFUNCTION("""COMPUTED_VALUE"""),30.6)</f>
        <v>30.6</v>
      </c>
      <c r="R45" s="3">
        <f ca="1">IFERROR(__xludf.DUMMYFUNCTION("""COMPUTED_VALUE"""),10.5)</f>
        <v>10.5</v>
      </c>
      <c r="S45" s="3">
        <f ca="1">IFERROR(__xludf.DUMMYFUNCTION("""COMPUTED_VALUE"""),11.3)</f>
        <v>11.3</v>
      </c>
      <c r="T45" s="3">
        <f ca="1">IFERROR(__xludf.DUMMYFUNCTION("""COMPUTED_VALUE"""),74.8)</f>
        <v>74.8</v>
      </c>
      <c r="U45" s="3">
        <f ca="1">IFERROR(__xludf.DUMMYFUNCTION("""COMPUTED_VALUE"""),21.8)</f>
        <v>21.8</v>
      </c>
      <c r="V45" s="3">
        <f ca="1">IFERROR(__xludf.DUMMYFUNCTION("""COMPUTED_VALUE"""),3.4)</f>
        <v>3.4</v>
      </c>
      <c r="W45" s="5"/>
      <c r="X45" s="5"/>
      <c r="Y45" s="5"/>
    </row>
    <row r="46" spans="1:25" ht="13.8">
      <c r="A46" s="2">
        <v>43442</v>
      </c>
      <c r="B46" s="3">
        <f ca="1">IFERROR(__xludf.DUMMYFUNCTION("split(W46, "" | "")"),10.1)</f>
        <v>10.1</v>
      </c>
      <c r="C46" s="3">
        <f ca="1">IFERROR(__xludf.DUMMYFUNCTION("""COMPUTED_VALUE"""),11.8)</f>
        <v>11.8</v>
      </c>
      <c r="D46" s="3">
        <f ca="1">IFERROR(__xludf.DUMMYFUNCTION("""COMPUTED_VALUE"""),19.6)</f>
        <v>19.600000000000001</v>
      </c>
      <c r="E46" s="3">
        <f ca="1">IFERROR(__xludf.DUMMYFUNCTION("""COMPUTED_VALUE"""),56)</f>
        <v>56</v>
      </c>
      <c r="F46" s="3">
        <f ca="1">IFERROR(__xludf.DUMMYFUNCTION("""COMPUTED_VALUE"""),21.8)</f>
        <v>21.8</v>
      </c>
      <c r="G46" s="3">
        <f ca="1">IFERROR(__xludf.DUMMYFUNCTION("""COMPUTED_VALUE"""),75.5)</f>
        <v>75.5</v>
      </c>
      <c r="H46" s="3">
        <f ca="1">IFERROR(__xludf.DUMMYFUNCTION("""COMPUTED_VALUE"""),2.6)</f>
        <v>2.6</v>
      </c>
      <c r="I46" s="4">
        <f ca="1">IFERROR(__xludf.DUMMYFUNCTION("split(X46, "" | "")"),20.2)</f>
        <v>20.2</v>
      </c>
      <c r="J46" s="3">
        <f ca="1">IFERROR(__xludf.DUMMYFUNCTION("""COMPUTED_VALUE"""),25.9)</f>
        <v>25.9</v>
      </c>
      <c r="K46" s="3">
        <f ca="1">IFERROR(__xludf.DUMMYFUNCTION("""COMPUTED_VALUE"""),17.9)</f>
        <v>17.899999999999999</v>
      </c>
      <c r="L46" s="3">
        <f ca="1">IFERROR(__xludf.DUMMYFUNCTION("""COMPUTED_VALUE"""),31.7)</f>
        <v>31.7</v>
      </c>
      <c r="M46" s="3">
        <f ca="1">IFERROR(__xludf.DUMMYFUNCTION("""COMPUTED_VALUE"""),46.1)</f>
        <v>46.1</v>
      </c>
      <c r="N46" s="3">
        <f ca="1">IFERROR(__xludf.DUMMYFUNCTION("""COMPUTED_VALUE"""),49.6)</f>
        <v>49.6</v>
      </c>
      <c r="O46" s="3">
        <f ca="1">IFERROR(__xludf.DUMMYFUNCTION("""COMPUTED_VALUE"""),4.3)</f>
        <v>4.3</v>
      </c>
      <c r="P46" s="3">
        <f ca="1">IFERROR(__xludf.DUMMYFUNCTION("split(Y46, "" | "")"),43.4)</f>
        <v>43.4</v>
      </c>
      <c r="Q46" s="3">
        <f ca="1">IFERROR(__xludf.DUMMYFUNCTION("""COMPUTED_VALUE"""),29.1)</f>
        <v>29.1</v>
      </c>
      <c r="R46" s="3">
        <f ca="1">IFERROR(__xludf.DUMMYFUNCTION("""COMPUTED_VALUE"""),11.4)</f>
        <v>11.4</v>
      </c>
      <c r="S46" s="3">
        <f ca="1">IFERROR(__xludf.DUMMYFUNCTION("""COMPUTED_VALUE"""),13.1)</f>
        <v>13.1</v>
      </c>
      <c r="T46" s="3">
        <f ca="1">IFERROR(__xludf.DUMMYFUNCTION("""COMPUTED_VALUE"""),72.6)</f>
        <v>72.599999999999994</v>
      </c>
      <c r="U46" s="3">
        <f ca="1">IFERROR(__xludf.DUMMYFUNCTION("""COMPUTED_VALUE"""),24.5)</f>
        <v>24.5</v>
      </c>
      <c r="V46" s="3">
        <f ca="1">IFERROR(__xludf.DUMMYFUNCTION("""COMPUTED_VALUE"""),2.9)</f>
        <v>2.9</v>
      </c>
      <c r="W46" s="7"/>
      <c r="X46" s="5"/>
      <c r="Y46" s="5"/>
    </row>
    <row r="47" spans="1:25" ht="13.8">
      <c r="A47" s="2">
        <v>43449</v>
      </c>
      <c r="B47" s="3">
        <f ca="1">IFERROR(__xludf.DUMMYFUNCTION("split(W47, "" | "")"),10.4)</f>
        <v>10.4</v>
      </c>
      <c r="C47" s="3">
        <f ca="1">IFERROR(__xludf.DUMMYFUNCTION("""COMPUTED_VALUE"""),7.8)</f>
        <v>7.8</v>
      </c>
      <c r="D47" s="3">
        <f ca="1">IFERROR(__xludf.DUMMYFUNCTION("""COMPUTED_VALUE"""),18.8)</f>
        <v>18.8</v>
      </c>
      <c r="E47" s="3">
        <f ca="1">IFERROR(__xludf.DUMMYFUNCTION("""COMPUTED_VALUE"""),60.3)</f>
        <v>60.3</v>
      </c>
      <c r="F47" s="3">
        <f ca="1">IFERROR(__xludf.DUMMYFUNCTION("""COMPUTED_VALUE"""),18.2)</f>
        <v>18.2</v>
      </c>
      <c r="G47" s="3">
        <f ca="1">IFERROR(__xludf.DUMMYFUNCTION("""COMPUTED_VALUE"""),79.1)</f>
        <v>79.099999999999994</v>
      </c>
      <c r="H47" s="3">
        <f ca="1">IFERROR(__xludf.DUMMYFUNCTION("""COMPUTED_VALUE"""),2.6)</f>
        <v>2.6</v>
      </c>
      <c r="I47" s="4">
        <f ca="1">IFERROR(__xludf.DUMMYFUNCTION("split(X47, "" | "")"),21.9)</f>
        <v>21.9</v>
      </c>
      <c r="J47" s="3">
        <f ca="1">IFERROR(__xludf.DUMMYFUNCTION("""COMPUTED_VALUE"""),26)</f>
        <v>26</v>
      </c>
      <c r="K47" s="3">
        <f ca="1">IFERROR(__xludf.DUMMYFUNCTION("""COMPUTED_VALUE"""),16.3)</f>
        <v>16.3</v>
      </c>
      <c r="L47" s="3">
        <f ca="1">IFERROR(__xludf.DUMMYFUNCTION("""COMPUTED_VALUE"""),30.2)</f>
        <v>30.2</v>
      </c>
      <c r="M47" s="3">
        <f ca="1">IFERROR(__xludf.DUMMYFUNCTION("""COMPUTED_VALUE"""),48)</f>
        <v>48</v>
      </c>
      <c r="N47" s="3">
        <f ca="1">IFERROR(__xludf.DUMMYFUNCTION("""COMPUTED_VALUE"""),46.6)</f>
        <v>46.6</v>
      </c>
      <c r="O47" s="3">
        <f ca="1">IFERROR(__xludf.DUMMYFUNCTION("""COMPUTED_VALUE"""),5.5)</f>
        <v>5.5</v>
      </c>
      <c r="P47" s="3">
        <f ca="1">IFERROR(__xludf.DUMMYFUNCTION("split(Y47, "" | "")"),39.5)</f>
        <v>39.5</v>
      </c>
      <c r="Q47" s="3">
        <f ca="1">IFERROR(__xludf.DUMMYFUNCTION("""COMPUTED_VALUE"""),32.6)</f>
        <v>32.6</v>
      </c>
      <c r="R47" s="3">
        <f ca="1">IFERROR(__xludf.DUMMYFUNCTION("""COMPUTED_VALUE"""),11.6)</f>
        <v>11.6</v>
      </c>
      <c r="S47" s="3">
        <f ca="1">IFERROR(__xludf.DUMMYFUNCTION("""COMPUTED_VALUE"""),12.4)</f>
        <v>12.4</v>
      </c>
      <c r="T47" s="3">
        <f ca="1">IFERROR(__xludf.DUMMYFUNCTION("""COMPUTED_VALUE"""),72.1)</f>
        <v>72.099999999999994</v>
      </c>
      <c r="U47" s="3">
        <f ca="1">IFERROR(__xludf.DUMMYFUNCTION("""COMPUTED_VALUE"""),24)</f>
        <v>24</v>
      </c>
      <c r="V47" s="3">
        <f ca="1">IFERROR(__xludf.DUMMYFUNCTION("""COMPUTED_VALUE"""),3.9)</f>
        <v>3.9</v>
      </c>
      <c r="W47" s="5"/>
      <c r="X47" s="5"/>
      <c r="Y47" s="5"/>
    </row>
    <row r="48" spans="1:25" ht="13.8">
      <c r="A48" s="2">
        <v>43456</v>
      </c>
      <c r="B48" s="3">
        <f ca="1">IFERROR(__xludf.DUMMYFUNCTION("split(W48, "" | "")"),13)</f>
        <v>13</v>
      </c>
      <c r="C48" s="3">
        <f ca="1">IFERROR(__xludf.DUMMYFUNCTION("""COMPUTED_VALUE"""),8.7)</f>
        <v>8.6999999999999993</v>
      </c>
      <c r="D48" s="3">
        <f ca="1">IFERROR(__xludf.DUMMYFUNCTION("""COMPUTED_VALUE"""),18.8)</f>
        <v>18.8</v>
      </c>
      <c r="E48" s="3">
        <f ca="1">IFERROR(__xludf.DUMMYFUNCTION("""COMPUTED_VALUE"""),57)</f>
        <v>57</v>
      </c>
      <c r="F48" s="3">
        <f ca="1">IFERROR(__xludf.DUMMYFUNCTION("""COMPUTED_VALUE"""),21.6)</f>
        <v>21.6</v>
      </c>
      <c r="G48" s="3">
        <f ca="1">IFERROR(__xludf.DUMMYFUNCTION("""COMPUTED_VALUE"""),75.8)</f>
        <v>75.8</v>
      </c>
      <c r="H48" s="3">
        <f ca="1">IFERROR(__xludf.DUMMYFUNCTION("""COMPUTED_VALUE"""),2.6)</f>
        <v>2.6</v>
      </c>
      <c r="I48" s="4">
        <f ca="1">IFERROR(__xludf.DUMMYFUNCTION("split(X48, "" | "")"),17.1)</f>
        <v>17.100000000000001</v>
      </c>
      <c r="J48" s="3">
        <f ca="1">IFERROR(__xludf.DUMMYFUNCTION("""COMPUTED_VALUE"""),25.6)</f>
        <v>25.6</v>
      </c>
      <c r="K48" s="3">
        <f ca="1">IFERROR(__xludf.DUMMYFUNCTION("""COMPUTED_VALUE"""),18.4)</f>
        <v>18.399999999999999</v>
      </c>
      <c r="L48" s="3">
        <f ca="1">IFERROR(__xludf.DUMMYFUNCTION("""COMPUTED_VALUE"""),35.9)</f>
        <v>35.9</v>
      </c>
      <c r="M48" s="3">
        <f ca="1">IFERROR(__xludf.DUMMYFUNCTION("""COMPUTED_VALUE"""),42.7)</f>
        <v>42.7</v>
      </c>
      <c r="N48" s="3">
        <f ca="1">IFERROR(__xludf.DUMMYFUNCTION("""COMPUTED_VALUE"""),54.3)</f>
        <v>54.3</v>
      </c>
      <c r="O48" s="3">
        <f ca="1">IFERROR(__xludf.DUMMYFUNCTION("""COMPUTED_VALUE"""),3)</f>
        <v>3</v>
      </c>
      <c r="P48" s="3">
        <f ca="1">IFERROR(__xludf.DUMMYFUNCTION("split(Y48, "" | "")"),39.7)</f>
        <v>39.700000000000003</v>
      </c>
      <c r="Q48" s="3">
        <f ca="1">IFERROR(__xludf.DUMMYFUNCTION("""COMPUTED_VALUE"""),34.5)</f>
        <v>34.5</v>
      </c>
      <c r="R48" s="3">
        <f ca="1">IFERROR(__xludf.DUMMYFUNCTION("""COMPUTED_VALUE"""),10.9)</f>
        <v>10.9</v>
      </c>
      <c r="S48" s="3">
        <f ca="1">IFERROR(__xludf.DUMMYFUNCTION("""COMPUTED_VALUE"""),12.2)</f>
        <v>12.2</v>
      </c>
      <c r="T48" s="3">
        <f ca="1">IFERROR(__xludf.DUMMYFUNCTION("""COMPUTED_VALUE"""),74.3)</f>
        <v>74.3</v>
      </c>
      <c r="U48" s="3">
        <f ca="1">IFERROR(__xludf.DUMMYFUNCTION("""COMPUTED_VALUE"""),23.1)</f>
        <v>23.1</v>
      </c>
      <c r="V48" s="3">
        <f ca="1">IFERROR(__xludf.DUMMYFUNCTION("""COMPUTED_VALUE"""),2.6)</f>
        <v>2.6</v>
      </c>
      <c r="W48" s="5"/>
      <c r="X48" s="5"/>
      <c r="Y48" s="5"/>
    </row>
    <row r="49" spans="1:25" ht="13.8">
      <c r="A49" s="2">
        <v>43463</v>
      </c>
      <c r="B49" s="3">
        <f ca="1">IFERROR(__xludf.DUMMYFUNCTION("split(W49, "" | "")"),12.4)</f>
        <v>12.4</v>
      </c>
      <c r="C49" s="3">
        <f ca="1">IFERROR(__xludf.DUMMYFUNCTION("""COMPUTED_VALUE"""),9.9)</f>
        <v>9.9</v>
      </c>
      <c r="D49" s="3">
        <f ca="1">IFERROR(__xludf.DUMMYFUNCTION("""COMPUTED_VALUE"""),19)</f>
        <v>19</v>
      </c>
      <c r="E49" s="3">
        <f ca="1">IFERROR(__xludf.DUMMYFUNCTION("""COMPUTED_VALUE"""),55.7)</f>
        <v>55.7</v>
      </c>
      <c r="F49" s="3">
        <f ca="1">IFERROR(__xludf.DUMMYFUNCTION("""COMPUTED_VALUE"""),22.3)</f>
        <v>22.3</v>
      </c>
      <c r="G49" s="3">
        <f ca="1">IFERROR(__xludf.DUMMYFUNCTION("""COMPUTED_VALUE"""),74.6)</f>
        <v>74.599999999999994</v>
      </c>
      <c r="H49" s="3">
        <f ca="1">IFERROR(__xludf.DUMMYFUNCTION("""COMPUTED_VALUE"""),3)</f>
        <v>3</v>
      </c>
      <c r="I49" s="4">
        <f ca="1">IFERROR(__xludf.DUMMYFUNCTION("split(X49, "" | "")"),20.1)</f>
        <v>20.100000000000001</v>
      </c>
      <c r="J49" s="3">
        <f ca="1">IFERROR(__xludf.DUMMYFUNCTION("""COMPUTED_VALUE"""),24.2)</f>
        <v>24.2</v>
      </c>
      <c r="K49" s="3">
        <f ca="1">IFERROR(__xludf.DUMMYFUNCTION("""COMPUTED_VALUE"""),22)</f>
        <v>22</v>
      </c>
      <c r="L49" s="3">
        <f ca="1">IFERROR(__xludf.DUMMYFUNCTION("""COMPUTED_VALUE"""),28.8)</f>
        <v>28.8</v>
      </c>
      <c r="M49" s="3">
        <f ca="1">IFERROR(__xludf.DUMMYFUNCTION("""COMPUTED_VALUE"""),44.2)</f>
        <v>44.2</v>
      </c>
      <c r="N49" s="3">
        <f ca="1">IFERROR(__xludf.DUMMYFUNCTION("""COMPUTED_VALUE"""),50.8)</f>
        <v>50.8</v>
      </c>
      <c r="O49" s="3">
        <f ca="1">IFERROR(__xludf.DUMMYFUNCTION("""COMPUTED_VALUE"""),5)</f>
        <v>5</v>
      </c>
      <c r="P49" s="3">
        <f ca="1">IFERROR(__xludf.DUMMYFUNCTION("split(Y49, "" | "")"),38.4)</f>
        <v>38.4</v>
      </c>
      <c r="Q49" s="3">
        <f ca="1">IFERROR(__xludf.DUMMYFUNCTION("""COMPUTED_VALUE"""),30.3)</f>
        <v>30.3</v>
      </c>
      <c r="R49" s="3">
        <f ca="1">IFERROR(__xludf.DUMMYFUNCTION("""COMPUTED_VALUE"""),14.1)</f>
        <v>14.1</v>
      </c>
      <c r="S49" s="3">
        <f ca="1">IFERROR(__xludf.DUMMYFUNCTION("""COMPUTED_VALUE"""),13.5)</f>
        <v>13.5</v>
      </c>
      <c r="T49" s="3">
        <f ca="1">IFERROR(__xludf.DUMMYFUNCTION("""COMPUTED_VALUE"""),68.7)</f>
        <v>68.7</v>
      </c>
      <c r="U49" s="3">
        <f ca="1">IFERROR(__xludf.DUMMYFUNCTION("""COMPUTED_VALUE"""),27.6)</f>
        <v>27.6</v>
      </c>
      <c r="V49" s="3">
        <f ca="1">IFERROR(__xludf.DUMMYFUNCTION("""COMPUTED_VALUE"""),3.6)</f>
        <v>3.6</v>
      </c>
      <c r="W49" s="5"/>
      <c r="X49" s="5"/>
      <c r="Y49" s="5"/>
    </row>
    <row r="50" spans="1:25" ht="13.8">
      <c r="A50" s="2">
        <v>43470</v>
      </c>
      <c r="B50" s="3">
        <f ca="1">IFERROR(__xludf.DUMMYFUNCTION("split(W50, "" | "")"),11.3)</f>
        <v>11.3</v>
      </c>
      <c r="C50" s="3">
        <f ca="1">IFERROR(__xludf.DUMMYFUNCTION("""COMPUTED_VALUE"""),9.5)</f>
        <v>9.5</v>
      </c>
      <c r="D50" s="3">
        <f ca="1">IFERROR(__xludf.DUMMYFUNCTION("""COMPUTED_VALUE"""),17.4)</f>
        <v>17.399999999999999</v>
      </c>
      <c r="E50" s="3">
        <f ca="1">IFERROR(__xludf.DUMMYFUNCTION("""COMPUTED_VALUE"""),59.2)</f>
        <v>59.2</v>
      </c>
      <c r="F50" s="3">
        <f ca="1">IFERROR(__xludf.DUMMYFUNCTION("""COMPUTED_VALUE"""),20.9)</f>
        <v>20.9</v>
      </c>
      <c r="G50" s="3">
        <f ca="1">IFERROR(__xludf.DUMMYFUNCTION("""COMPUTED_VALUE"""),76.6)</f>
        <v>76.599999999999994</v>
      </c>
      <c r="H50" s="3">
        <f ca="1">IFERROR(__xludf.DUMMYFUNCTION("""COMPUTED_VALUE"""),2.6)</f>
        <v>2.6</v>
      </c>
      <c r="I50" s="4">
        <f ca="1">IFERROR(__xludf.DUMMYFUNCTION("split(X50, "" | "")"),19.1)</f>
        <v>19.100000000000001</v>
      </c>
      <c r="J50" s="3">
        <f ca="1">IFERROR(__xludf.DUMMYFUNCTION("""COMPUTED_VALUE"""),28.6)</f>
        <v>28.6</v>
      </c>
      <c r="K50" s="3">
        <f ca="1">IFERROR(__xludf.DUMMYFUNCTION("""COMPUTED_VALUE"""),19)</f>
        <v>19</v>
      </c>
      <c r="L50" s="3">
        <f ca="1">IFERROR(__xludf.DUMMYFUNCTION("""COMPUTED_VALUE"""),26.8)</f>
        <v>26.8</v>
      </c>
      <c r="M50" s="3">
        <f ca="1">IFERROR(__xludf.DUMMYFUNCTION("""COMPUTED_VALUE"""),47.8)</f>
        <v>47.8</v>
      </c>
      <c r="N50" s="3">
        <f ca="1">IFERROR(__xludf.DUMMYFUNCTION("""COMPUTED_VALUE"""),45.8)</f>
        <v>45.8</v>
      </c>
      <c r="O50" s="3">
        <f ca="1">IFERROR(__xludf.DUMMYFUNCTION("""COMPUTED_VALUE"""),6.4)</f>
        <v>6.4</v>
      </c>
      <c r="P50" s="3">
        <f ca="1">IFERROR(__xludf.DUMMYFUNCTION("split(Y50, "" | "")"),39.1)</f>
        <v>39.1</v>
      </c>
      <c r="Q50" s="3">
        <f ca="1">IFERROR(__xludf.DUMMYFUNCTION("""COMPUTED_VALUE"""),34.6)</f>
        <v>34.6</v>
      </c>
      <c r="R50" s="3">
        <f ca="1">IFERROR(__xludf.DUMMYFUNCTION("""COMPUTED_VALUE"""),11.1)</f>
        <v>11.1</v>
      </c>
      <c r="S50" s="3">
        <f ca="1">IFERROR(__xludf.DUMMYFUNCTION("""COMPUTED_VALUE"""),12.8)</f>
        <v>12.8</v>
      </c>
      <c r="T50" s="3">
        <f ca="1">IFERROR(__xludf.DUMMYFUNCTION("""COMPUTED_VALUE"""),73.7)</f>
        <v>73.7</v>
      </c>
      <c r="U50" s="3">
        <f ca="1">IFERROR(__xludf.DUMMYFUNCTION("""COMPUTED_VALUE"""),23.9)</f>
        <v>23.9</v>
      </c>
      <c r="V50" s="3">
        <f ca="1">IFERROR(__xludf.DUMMYFUNCTION("""COMPUTED_VALUE"""),2.4)</f>
        <v>2.4</v>
      </c>
      <c r="W50" s="5"/>
      <c r="X50" s="5"/>
      <c r="Y50" s="5"/>
    </row>
    <row r="51" spans="1:25" ht="13.8">
      <c r="A51" s="2">
        <v>43477</v>
      </c>
      <c r="B51" s="3">
        <f ca="1">IFERROR(__xludf.DUMMYFUNCTION("split(W51, "" | "")"),11.5)</f>
        <v>11.5</v>
      </c>
      <c r="C51" s="3">
        <f ca="1">IFERROR(__xludf.DUMMYFUNCTION("""COMPUTED_VALUE"""),9.5)</f>
        <v>9.5</v>
      </c>
      <c r="D51" s="3">
        <f ca="1">IFERROR(__xludf.DUMMYFUNCTION("""COMPUTED_VALUE"""),17.8)</f>
        <v>17.8</v>
      </c>
      <c r="E51" s="3">
        <f ca="1">IFERROR(__xludf.DUMMYFUNCTION("""COMPUTED_VALUE"""),58.1)</f>
        <v>58.1</v>
      </c>
      <c r="F51" s="3">
        <f ca="1">IFERROR(__xludf.DUMMYFUNCTION("""COMPUTED_VALUE"""),21)</f>
        <v>21</v>
      </c>
      <c r="G51" s="3">
        <f ca="1">IFERROR(__xludf.DUMMYFUNCTION("""COMPUTED_VALUE"""),75.9)</f>
        <v>75.900000000000006</v>
      </c>
      <c r="H51" s="3">
        <f ca="1">IFERROR(__xludf.DUMMYFUNCTION("""COMPUTED_VALUE"""),3.1)</f>
        <v>3.1</v>
      </c>
      <c r="I51" s="4">
        <f ca="1">IFERROR(__xludf.DUMMYFUNCTION("split(X51, "" | "")"),21.1)</f>
        <v>21.1</v>
      </c>
      <c r="J51" s="3">
        <f ca="1">IFERROR(__xludf.DUMMYFUNCTION("""COMPUTED_VALUE"""),26.2)</f>
        <v>26.2</v>
      </c>
      <c r="K51" s="3">
        <f ca="1">IFERROR(__xludf.DUMMYFUNCTION("""COMPUTED_VALUE"""),20.3)</f>
        <v>20.3</v>
      </c>
      <c r="L51" s="3">
        <f ca="1">IFERROR(__xludf.DUMMYFUNCTION("""COMPUTED_VALUE"""),28.4)</f>
        <v>28.4</v>
      </c>
      <c r="M51" s="3">
        <f ca="1">IFERROR(__xludf.DUMMYFUNCTION("""COMPUTED_VALUE"""),47.3)</f>
        <v>47.3</v>
      </c>
      <c r="N51" s="3">
        <f ca="1">IFERROR(__xludf.DUMMYFUNCTION("""COMPUTED_VALUE"""),48.7)</f>
        <v>48.7</v>
      </c>
      <c r="O51" s="3">
        <f ca="1">IFERROR(__xludf.DUMMYFUNCTION("""COMPUTED_VALUE"""),4)</f>
        <v>4</v>
      </c>
      <c r="P51" s="3">
        <f ca="1">IFERROR(__xludf.DUMMYFUNCTION("split(Y51, "" | "")"),42.4)</f>
        <v>42.4</v>
      </c>
      <c r="Q51" s="3">
        <f ca="1">IFERROR(__xludf.DUMMYFUNCTION("""COMPUTED_VALUE"""),31.7)</f>
        <v>31.7</v>
      </c>
      <c r="R51" s="3">
        <f ca="1">IFERROR(__xludf.DUMMYFUNCTION("""COMPUTED_VALUE"""),9.2)</f>
        <v>9.1999999999999993</v>
      </c>
      <c r="S51" s="3">
        <f ca="1">IFERROR(__xludf.DUMMYFUNCTION("""COMPUTED_VALUE"""),12.2)</f>
        <v>12.2</v>
      </c>
      <c r="T51" s="3">
        <f ca="1">IFERROR(__xludf.DUMMYFUNCTION("""COMPUTED_VALUE"""),74.1)</f>
        <v>74.099999999999994</v>
      </c>
      <c r="U51" s="3">
        <f ca="1">IFERROR(__xludf.DUMMYFUNCTION("""COMPUTED_VALUE"""),21.4)</f>
        <v>21.4</v>
      </c>
      <c r="V51" s="3">
        <f ca="1">IFERROR(__xludf.DUMMYFUNCTION("""COMPUTED_VALUE"""),4.5)</f>
        <v>4.5</v>
      </c>
      <c r="W51" s="5"/>
      <c r="X51" s="5"/>
      <c r="Y51" s="5"/>
    </row>
    <row r="52" spans="1:25" ht="13.8">
      <c r="A52" s="2">
        <v>43484</v>
      </c>
      <c r="B52" s="3">
        <f ca="1">IFERROR(__xludf.DUMMYFUNCTION("split(W52, "" | "")"),8.1)</f>
        <v>8.1</v>
      </c>
      <c r="C52" s="3">
        <f ca="1">IFERROR(__xludf.DUMMYFUNCTION("""COMPUTED_VALUE"""),10)</f>
        <v>10</v>
      </c>
      <c r="D52" s="3">
        <f ca="1">IFERROR(__xludf.DUMMYFUNCTION("""COMPUTED_VALUE"""),20.3)</f>
        <v>20.3</v>
      </c>
      <c r="E52" s="3">
        <f ca="1">IFERROR(__xludf.DUMMYFUNCTION("""COMPUTED_VALUE"""),57.2)</f>
        <v>57.2</v>
      </c>
      <c r="F52" s="3">
        <f ca="1">IFERROR(__xludf.DUMMYFUNCTION("""COMPUTED_VALUE"""),18.2)</f>
        <v>18.2</v>
      </c>
      <c r="G52" s="3">
        <f ca="1">IFERROR(__xludf.DUMMYFUNCTION("""COMPUTED_VALUE"""),77.5)</f>
        <v>77.5</v>
      </c>
      <c r="H52" s="3">
        <f ca="1">IFERROR(__xludf.DUMMYFUNCTION("""COMPUTED_VALUE"""),4.3)</f>
        <v>4.3</v>
      </c>
      <c r="I52" s="4">
        <f ca="1">IFERROR(__xludf.DUMMYFUNCTION("split(X52, "" | "")"),19.8)</f>
        <v>19.8</v>
      </c>
      <c r="J52" s="3">
        <f ca="1">IFERROR(__xludf.DUMMYFUNCTION("""COMPUTED_VALUE"""),27.2)</f>
        <v>27.2</v>
      </c>
      <c r="K52" s="3">
        <f ca="1">IFERROR(__xludf.DUMMYFUNCTION("""COMPUTED_VALUE"""),18.9)</f>
        <v>18.899999999999999</v>
      </c>
      <c r="L52" s="3">
        <f ca="1">IFERROR(__xludf.DUMMYFUNCTION("""COMPUTED_VALUE"""),29.3)</f>
        <v>29.3</v>
      </c>
      <c r="M52" s="3">
        <f ca="1">IFERROR(__xludf.DUMMYFUNCTION("""COMPUTED_VALUE"""),47)</f>
        <v>47</v>
      </c>
      <c r="N52" s="3">
        <f ca="1">IFERROR(__xludf.DUMMYFUNCTION("""COMPUTED_VALUE"""),48.2)</f>
        <v>48.2</v>
      </c>
      <c r="O52" s="3">
        <f ca="1">IFERROR(__xludf.DUMMYFUNCTION("""COMPUTED_VALUE"""),4.8)</f>
        <v>4.8</v>
      </c>
      <c r="P52" s="3">
        <f ca="1">IFERROR(__xludf.DUMMYFUNCTION("split(Y52, "" | "")"),42.5)</f>
        <v>42.5</v>
      </c>
      <c r="Q52" s="3">
        <f ca="1">IFERROR(__xludf.DUMMYFUNCTION("""COMPUTED_VALUE"""),33.2)</f>
        <v>33.200000000000003</v>
      </c>
      <c r="R52" s="3">
        <f ca="1">IFERROR(__xludf.DUMMYFUNCTION("""COMPUTED_VALUE"""),9.9)</f>
        <v>9.9</v>
      </c>
      <c r="S52" s="3">
        <f ca="1">IFERROR(__xludf.DUMMYFUNCTION("""COMPUTED_VALUE"""),9.3)</f>
        <v>9.3000000000000007</v>
      </c>
      <c r="T52" s="3">
        <f ca="1">IFERROR(__xludf.DUMMYFUNCTION("""COMPUTED_VALUE"""),75.7)</f>
        <v>75.7</v>
      </c>
      <c r="U52" s="3">
        <f ca="1">IFERROR(__xludf.DUMMYFUNCTION("""COMPUTED_VALUE"""),19.2)</f>
        <v>19.2</v>
      </c>
      <c r="V52" s="3">
        <f ca="1">IFERROR(__xludf.DUMMYFUNCTION("""COMPUTED_VALUE"""),5.1)</f>
        <v>5.0999999999999996</v>
      </c>
      <c r="W52" s="5"/>
      <c r="X52" s="5"/>
      <c r="Y52" s="5"/>
    </row>
    <row r="53" spans="1:25" ht="13.8">
      <c r="A53" s="2">
        <v>43491</v>
      </c>
      <c r="B53" s="3"/>
      <c r="I53" s="4"/>
      <c r="P53" s="3"/>
    </row>
    <row r="54" spans="1:25" ht="13.8">
      <c r="A54" s="2">
        <v>43498</v>
      </c>
      <c r="B54" s="3">
        <f ca="1">IFERROR(__xludf.DUMMYFUNCTION("split(W54, "" | "")"),20.3)</f>
        <v>20.3</v>
      </c>
      <c r="C54" s="3">
        <f ca="1">IFERROR(__xludf.DUMMYFUNCTION("""COMPUTED_VALUE"""),7.1)</f>
        <v>7.1</v>
      </c>
      <c r="D54" s="3">
        <f ca="1">IFERROR(__xludf.DUMMYFUNCTION("""COMPUTED_VALUE"""),17.2)</f>
        <v>17.2</v>
      </c>
      <c r="E54" s="3">
        <f ca="1">IFERROR(__xludf.DUMMYFUNCTION("""COMPUTED_VALUE"""),53.8)</f>
        <v>53.8</v>
      </c>
      <c r="F54" s="3">
        <f ca="1">IFERROR(__xludf.DUMMYFUNCTION("""COMPUTED_VALUE"""),27.4)</f>
        <v>27.4</v>
      </c>
      <c r="G54" s="3">
        <f ca="1">IFERROR(__xludf.DUMMYFUNCTION("""COMPUTED_VALUE"""),71)</f>
        <v>71</v>
      </c>
      <c r="H54" s="3">
        <f ca="1">IFERROR(__xludf.DUMMYFUNCTION("""COMPUTED_VALUE"""),1.6)</f>
        <v>1.6</v>
      </c>
      <c r="I54" s="4">
        <f ca="1">IFERROR(__xludf.DUMMYFUNCTION("split(X54, "" | "")"),23.5)</f>
        <v>23.5</v>
      </c>
      <c r="J54" s="3">
        <f ca="1">IFERROR(__xludf.DUMMYFUNCTION("""COMPUTED_VALUE"""),25.5)</f>
        <v>25.5</v>
      </c>
      <c r="K54" s="3">
        <f ca="1">IFERROR(__xludf.DUMMYFUNCTION("""COMPUTED_VALUE"""),17.9)</f>
        <v>17.899999999999999</v>
      </c>
      <c r="L54" s="3">
        <f ca="1">IFERROR(__xludf.DUMMYFUNCTION("""COMPUTED_VALUE"""),28.9)</f>
        <v>28.9</v>
      </c>
      <c r="M54" s="3">
        <f ca="1">IFERROR(__xludf.DUMMYFUNCTION("""COMPUTED_VALUE"""),49)</f>
        <v>49</v>
      </c>
      <c r="N54" s="3">
        <f ca="1">IFERROR(__xludf.DUMMYFUNCTION("""COMPUTED_VALUE"""),46.8)</f>
        <v>46.8</v>
      </c>
      <c r="O54" s="3">
        <f ca="1">IFERROR(__xludf.DUMMYFUNCTION("""COMPUTED_VALUE"""),4.2)</f>
        <v>4.2</v>
      </c>
      <c r="P54" s="3">
        <f ca="1">IFERROR(__xludf.DUMMYFUNCTION("split(Y54, "" | "")"),44.1)</f>
        <v>44.1</v>
      </c>
      <c r="Q54" s="3">
        <f ca="1">IFERROR(__xludf.DUMMYFUNCTION("""COMPUTED_VALUE"""),33.3)</f>
        <v>33.299999999999997</v>
      </c>
      <c r="R54" s="3">
        <f ca="1">IFERROR(__xludf.DUMMYFUNCTION("""COMPUTED_VALUE"""),12.1)</f>
        <v>12.1</v>
      </c>
      <c r="S54" s="3">
        <f ca="1">IFERROR(__xludf.DUMMYFUNCTION("""COMPUTED_VALUE"""),9.2)</f>
        <v>9.1999999999999993</v>
      </c>
      <c r="T54" s="3">
        <f ca="1">IFERROR(__xludf.DUMMYFUNCTION("""COMPUTED_VALUE"""),77.3)</f>
        <v>77.3</v>
      </c>
      <c r="U54" s="3">
        <f ca="1">IFERROR(__xludf.DUMMYFUNCTION("""COMPUTED_VALUE"""),21.3)</f>
        <v>21.3</v>
      </c>
      <c r="V54" s="3">
        <f ca="1">IFERROR(__xludf.DUMMYFUNCTION("""COMPUTED_VALUE"""),1.4)</f>
        <v>1.4</v>
      </c>
      <c r="W54" s="7"/>
      <c r="X54" s="7"/>
      <c r="Y54" s="7"/>
    </row>
    <row r="55" spans="1:25" ht="13.8">
      <c r="A55" s="2">
        <v>43505</v>
      </c>
      <c r="B55" s="3">
        <f ca="1">IFERROR(__xludf.DUMMYFUNCTION("split(W55, "" | "")"),12.9)</f>
        <v>12.9</v>
      </c>
      <c r="C55" s="3">
        <f ca="1">IFERROR(__xludf.DUMMYFUNCTION("""COMPUTED_VALUE"""),9.5)</f>
        <v>9.5</v>
      </c>
      <c r="D55" s="3">
        <f ca="1">IFERROR(__xludf.DUMMYFUNCTION("""COMPUTED_VALUE"""),16.6)</f>
        <v>16.600000000000001</v>
      </c>
      <c r="E55" s="3">
        <f ca="1">IFERROR(__xludf.DUMMYFUNCTION("""COMPUTED_VALUE"""),54.8)</f>
        <v>54.8</v>
      </c>
      <c r="F55" s="3">
        <f ca="1">IFERROR(__xludf.DUMMYFUNCTION("""COMPUTED_VALUE"""),22.4)</f>
        <v>22.4</v>
      </c>
      <c r="G55" s="3">
        <f ca="1">IFERROR(__xludf.DUMMYFUNCTION("""COMPUTED_VALUE"""),71.4)</f>
        <v>71.400000000000006</v>
      </c>
      <c r="H55" s="3">
        <f ca="1">IFERROR(__xludf.DUMMYFUNCTION("""COMPUTED_VALUE"""),6.2)</f>
        <v>6.2</v>
      </c>
      <c r="I55" s="4">
        <f ca="1">IFERROR(__xludf.DUMMYFUNCTION("split(X55, "" | "")"),21.3)</f>
        <v>21.3</v>
      </c>
      <c r="J55" s="3">
        <f ca="1">IFERROR(__xludf.DUMMYFUNCTION("""COMPUTED_VALUE"""),28.3)</f>
        <v>28.3</v>
      </c>
      <c r="K55" s="3">
        <f ca="1">IFERROR(__xludf.DUMMYFUNCTION("""COMPUTED_VALUE"""),20)</f>
        <v>20</v>
      </c>
      <c r="L55" s="3">
        <f ca="1">IFERROR(__xludf.DUMMYFUNCTION("""COMPUTED_VALUE"""),25.1)</f>
        <v>25.1</v>
      </c>
      <c r="M55" s="3">
        <f ca="1">IFERROR(__xludf.DUMMYFUNCTION("""COMPUTED_VALUE"""),49.7)</f>
        <v>49.7</v>
      </c>
      <c r="N55" s="3">
        <f ca="1">IFERROR(__xludf.DUMMYFUNCTION("""COMPUTED_VALUE"""),45.2)</f>
        <v>45.2</v>
      </c>
      <c r="O55" s="3">
        <f ca="1">IFERROR(__xludf.DUMMYFUNCTION("""COMPUTED_VALUE"""),5.2)</f>
        <v>5.2</v>
      </c>
      <c r="P55" s="3">
        <f ca="1">IFERROR(__xludf.DUMMYFUNCTION("split(Y55, "" | "")"),39.9)</f>
        <v>39.9</v>
      </c>
      <c r="Q55" s="3">
        <f ca="1">IFERROR(__xludf.DUMMYFUNCTION("""COMPUTED_VALUE"""),35)</f>
        <v>35</v>
      </c>
      <c r="R55" s="3">
        <f ca="1">IFERROR(__xludf.DUMMYFUNCTION("""COMPUTED_VALUE"""),9.6)</f>
        <v>9.6</v>
      </c>
      <c r="S55" s="3">
        <f ca="1">IFERROR(__xludf.DUMMYFUNCTION("""COMPUTED_VALUE"""),12)</f>
        <v>12</v>
      </c>
      <c r="T55" s="3">
        <f ca="1">IFERROR(__xludf.DUMMYFUNCTION("""COMPUTED_VALUE"""),74.9)</f>
        <v>74.900000000000006</v>
      </c>
      <c r="U55" s="3">
        <f ca="1">IFERROR(__xludf.DUMMYFUNCTION("""COMPUTED_VALUE"""),21.6)</f>
        <v>21.6</v>
      </c>
      <c r="V55" s="3">
        <f ca="1">IFERROR(__xludf.DUMMYFUNCTION("""COMPUTED_VALUE"""),3.4)</f>
        <v>3.4</v>
      </c>
      <c r="W55" s="7"/>
      <c r="X55" s="7"/>
      <c r="Y55" s="7"/>
    </row>
    <row r="56" spans="1:25" ht="13.8">
      <c r="A56" s="2">
        <v>43512</v>
      </c>
      <c r="B56" s="3">
        <f ca="1">IFERROR(__xludf.DUMMYFUNCTION("split(W56, "" | "")"),8.9)</f>
        <v>8.9</v>
      </c>
      <c r="C56" s="3">
        <f ca="1">IFERROR(__xludf.DUMMYFUNCTION("""COMPUTED_VALUE"""),10)</f>
        <v>10</v>
      </c>
      <c r="D56" s="3">
        <f ca="1">IFERROR(__xludf.DUMMYFUNCTION("""COMPUTED_VALUE"""),18.8)</f>
        <v>18.8</v>
      </c>
      <c r="E56" s="3">
        <f ca="1">IFERROR(__xludf.DUMMYFUNCTION("""COMPUTED_VALUE"""),57.4)</f>
        <v>57.4</v>
      </c>
      <c r="F56" s="3">
        <f ca="1">IFERROR(__xludf.DUMMYFUNCTION("""COMPUTED_VALUE"""),18.9)</f>
        <v>18.899999999999999</v>
      </c>
      <c r="G56" s="3">
        <f ca="1">IFERROR(__xludf.DUMMYFUNCTION("""COMPUTED_VALUE"""),76.2)</f>
        <v>76.2</v>
      </c>
      <c r="H56" s="3">
        <f ca="1">IFERROR(__xludf.DUMMYFUNCTION("""COMPUTED_VALUE"""),4.9)</f>
        <v>4.9000000000000004</v>
      </c>
      <c r="I56" s="4">
        <f ca="1">IFERROR(__xludf.DUMMYFUNCTION("split(X56, "" | "")"),25)</f>
        <v>25</v>
      </c>
      <c r="J56" s="3">
        <f ca="1">IFERROR(__xludf.DUMMYFUNCTION("""COMPUTED_VALUE"""),26.1)</f>
        <v>26.1</v>
      </c>
      <c r="K56" s="3">
        <f ca="1">IFERROR(__xludf.DUMMYFUNCTION("""COMPUTED_VALUE"""),20.2)</f>
        <v>20.2</v>
      </c>
      <c r="L56" s="3">
        <f ca="1">IFERROR(__xludf.DUMMYFUNCTION("""COMPUTED_VALUE"""),25)</f>
        <v>25</v>
      </c>
      <c r="M56" s="3">
        <f ca="1">IFERROR(__xludf.DUMMYFUNCTION("""COMPUTED_VALUE"""),51.1)</f>
        <v>51.1</v>
      </c>
      <c r="N56" s="3">
        <f ca="1">IFERROR(__xludf.DUMMYFUNCTION("""COMPUTED_VALUE"""),45.2)</f>
        <v>45.2</v>
      </c>
      <c r="O56" s="3">
        <f ca="1">IFERROR(__xludf.DUMMYFUNCTION("""COMPUTED_VALUE"""),3.8)</f>
        <v>3.8</v>
      </c>
      <c r="P56" s="3">
        <f ca="1">IFERROR(__xludf.DUMMYFUNCTION("split(Y56, "" | "")"),45)</f>
        <v>45</v>
      </c>
      <c r="Q56" s="3">
        <f ca="1">IFERROR(__xludf.DUMMYFUNCTION("""COMPUTED_VALUE"""),33.4)</f>
        <v>33.4</v>
      </c>
      <c r="R56" s="3">
        <f ca="1">IFERROR(__xludf.DUMMYFUNCTION("""COMPUTED_VALUE"""),9.1)</f>
        <v>9.1</v>
      </c>
      <c r="S56" s="3">
        <f ca="1">IFERROR(__xludf.DUMMYFUNCTION("""COMPUTED_VALUE"""),10.2)</f>
        <v>10.199999999999999</v>
      </c>
      <c r="T56" s="3">
        <f ca="1">IFERROR(__xludf.DUMMYFUNCTION("""COMPUTED_VALUE"""),78.4)</f>
        <v>78.400000000000006</v>
      </c>
      <c r="U56" s="3">
        <f ca="1">IFERROR(__xludf.DUMMYFUNCTION("""COMPUTED_VALUE"""),19.3)</f>
        <v>19.3</v>
      </c>
      <c r="V56" s="3">
        <f ca="1">IFERROR(__xludf.DUMMYFUNCTION("""COMPUTED_VALUE"""),2.3)</f>
        <v>2.2999999999999998</v>
      </c>
      <c r="W56" s="7"/>
      <c r="X56" s="7"/>
      <c r="Y56" s="7"/>
    </row>
    <row r="57" spans="1:25" ht="13.8">
      <c r="A57" s="2">
        <v>43519</v>
      </c>
      <c r="B57" s="3">
        <f ca="1">IFERROR(__xludf.DUMMYFUNCTION("split(W57, "" | "")"),13.6)</f>
        <v>13.6</v>
      </c>
      <c r="C57" s="3">
        <f ca="1">IFERROR(__xludf.DUMMYFUNCTION("""COMPUTED_VALUE"""),8.5)</f>
        <v>8.5</v>
      </c>
      <c r="D57" s="3">
        <f ca="1">IFERROR(__xludf.DUMMYFUNCTION("""COMPUTED_VALUE"""),18.9)</f>
        <v>18.899999999999999</v>
      </c>
      <c r="E57" s="3">
        <f ca="1">IFERROR(__xludf.DUMMYFUNCTION("""COMPUTED_VALUE"""),54.7)</f>
        <v>54.7</v>
      </c>
      <c r="F57" s="3">
        <f ca="1">IFERROR(__xludf.DUMMYFUNCTION("""COMPUTED_VALUE"""),22.2)</f>
        <v>22.2</v>
      </c>
      <c r="G57" s="3">
        <f ca="1">IFERROR(__xludf.DUMMYFUNCTION("""COMPUTED_VALUE"""),73.6)</f>
        <v>73.599999999999994</v>
      </c>
      <c r="H57" s="3">
        <f ca="1">IFERROR(__xludf.DUMMYFUNCTION("""COMPUTED_VALUE"""),4.2)</f>
        <v>4.2</v>
      </c>
      <c r="I57" s="4">
        <f ca="1">IFERROR(__xludf.DUMMYFUNCTION("split(X57, "" | "")"),24)</f>
        <v>24</v>
      </c>
      <c r="J57" s="3">
        <f ca="1">IFERROR(__xludf.DUMMYFUNCTION("""COMPUTED_VALUE"""),26.6)</f>
        <v>26.6</v>
      </c>
      <c r="K57" s="3">
        <f ca="1">IFERROR(__xludf.DUMMYFUNCTION("""COMPUTED_VALUE"""),17.4)</f>
        <v>17.399999999999999</v>
      </c>
      <c r="L57" s="3">
        <f ca="1">IFERROR(__xludf.DUMMYFUNCTION("""COMPUTED_VALUE"""),28.6)</f>
        <v>28.6</v>
      </c>
      <c r="M57" s="3">
        <f ca="1">IFERROR(__xludf.DUMMYFUNCTION("""COMPUTED_VALUE"""),50.6)</f>
        <v>50.6</v>
      </c>
      <c r="N57" s="3">
        <f ca="1">IFERROR(__xludf.DUMMYFUNCTION("""COMPUTED_VALUE"""),46)</f>
        <v>46</v>
      </c>
      <c r="O57" s="3">
        <f ca="1">IFERROR(__xludf.DUMMYFUNCTION("""COMPUTED_VALUE"""),3.3)</f>
        <v>3.3</v>
      </c>
      <c r="P57" s="3">
        <f ca="1">IFERROR(__xludf.DUMMYFUNCTION("split(Y57, "" | "")"),40.4)</f>
        <v>40.4</v>
      </c>
      <c r="Q57" s="3">
        <f ca="1">IFERROR(__xludf.DUMMYFUNCTION("""COMPUTED_VALUE"""),32.5)</f>
        <v>32.5</v>
      </c>
      <c r="R57" s="3">
        <f ca="1">IFERROR(__xludf.DUMMYFUNCTION("""COMPUTED_VALUE"""),11.7)</f>
        <v>11.7</v>
      </c>
      <c r="S57" s="3">
        <f ca="1">IFERROR(__xludf.DUMMYFUNCTION("""COMPUTED_VALUE"""),11)</f>
        <v>11</v>
      </c>
      <c r="T57" s="3">
        <f ca="1">IFERROR(__xludf.DUMMYFUNCTION("""COMPUTED_VALUE"""),72.9)</f>
        <v>72.900000000000006</v>
      </c>
      <c r="U57" s="3">
        <f ca="1">IFERROR(__xludf.DUMMYFUNCTION("""COMPUTED_VALUE"""),22.8)</f>
        <v>22.8</v>
      </c>
      <c r="V57" s="3">
        <f ca="1">IFERROR(__xludf.DUMMYFUNCTION("""COMPUTED_VALUE"""),4.3)</f>
        <v>4.3</v>
      </c>
      <c r="W57" s="7"/>
      <c r="X57" s="7"/>
      <c r="Y57" s="7"/>
    </row>
    <row r="58" spans="1:25" ht="13.8">
      <c r="A58" s="2">
        <v>43526</v>
      </c>
      <c r="B58" s="3">
        <f ca="1">IFERROR(__xludf.DUMMYFUNCTION("split(W58, "" | "")"),11.8)</f>
        <v>11.8</v>
      </c>
      <c r="C58" s="3">
        <f ca="1">IFERROR(__xludf.DUMMYFUNCTION("""COMPUTED_VALUE"""),10.7)</f>
        <v>10.7</v>
      </c>
      <c r="D58" s="3">
        <f ca="1">IFERROR(__xludf.DUMMYFUNCTION("""COMPUTED_VALUE"""),18)</f>
        <v>18</v>
      </c>
      <c r="E58" s="3">
        <f ca="1">IFERROR(__xludf.DUMMYFUNCTION("""COMPUTED_VALUE"""),56.4)</f>
        <v>56.4</v>
      </c>
      <c r="F58" s="3">
        <f ca="1">IFERROR(__xludf.DUMMYFUNCTION("""COMPUTED_VALUE"""),22.5)</f>
        <v>22.5</v>
      </c>
      <c r="G58" s="3">
        <f ca="1">IFERROR(__xludf.DUMMYFUNCTION("""COMPUTED_VALUE"""),74.4)</f>
        <v>74.400000000000006</v>
      </c>
      <c r="H58" s="3">
        <f ca="1">IFERROR(__xludf.DUMMYFUNCTION("""COMPUTED_VALUE"""),3.1)</f>
        <v>3.1</v>
      </c>
      <c r="I58" s="4">
        <f ca="1">IFERROR(__xludf.DUMMYFUNCTION("split(X58, "" | "")"),19.4)</f>
        <v>19.399999999999999</v>
      </c>
      <c r="J58" s="3">
        <f ca="1">IFERROR(__xludf.DUMMYFUNCTION("""COMPUTED_VALUE"""),23)</f>
        <v>23</v>
      </c>
      <c r="K58" s="3">
        <f ca="1">IFERROR(__xludf.DUMMYFUNCTION("""COMPUTED_VALUE"""),20.2)</f>
        <v>20.2</v>
      </c>
      <c r="L58" s="3">
        <f ca="1">IFERROR(__xludf.DUMMYFUNCTION("""COMPUTED_VALUE"""),31.9)</f>
        <v>31.9</v>
      </c>
      <c r="M58" s="3">
        <f ca="1">IFERROR(__xludf.DUMMYFUNCTION("""COMPUTED_VALUE"""),42.4)</f>
        <v>42.4</v>
      </c>
      <c r="N58" s="3">
        <f ca="1">IFERROR(__xludf.DUMMYFUNCTION("""COMPUTED_VALUE"""),52.1)</f>
        <v>52.1</v>
      </c>
      <c r="O58" s="3">
        <f ca="1">IFERROR(__xludf.DUMMYFUNCTION("""COMPUTED_VALUE"""),5.4)</f>
        <v>5.4</v>
      </c>
      <c r="P58" s="3">
        <f ca="1">IFERROR(__xludf.DUMMYFUNCTION("split(Y58, "" | "")"),39.4)</f>
        <v>39.4</v>
      </c>
      <c r="Q58" s="3">
        <f ca="1">IFERROR(__xludf.DUMMYFUNCTION("""COMPUTED_VALUE"""),35.4)</f>
        <v>35.4</v>
      </c>
      <c r="R58" s="3">
        <f ca="1">IFERROR(__xludf.DUMMYFUNCTION("""COMPUTED_VALUE"""),10.4)</f>
        <v>10.4</v>
      </c>
      <c r="S58" s="3">
        <f ca="1">IFERROR(__xludf.DUMMYFUNCTION("""COMPUTED_VALUE"""),10.1)</f>
        <v>10.1</v>
      </c>
      <c r="T58" s="3">
        <f ca="1">IFERROR(__xludf.DUMMYFUNCTION("""COMPUTED_VALUE"""),74.8)</f>
        <v>74.8</v>
      </c>
      <c r="U58" s="3">
        <f ca="1">IFERROR(__xludf.DUMMYFUNCTION("""COMPUTED_VALUE"""),20.5)</f>
        <v>20.5</v>
      </c>
      <c r="V58" s="3">
        <f ca="1">IFERROR(__xludf.DUMMYFUNCTION("""COMPUTED_VALUE"""),4.7)</f>
        <v>4.7</v>
      </c>
      <c r="W58" s="7"/>
      <c r="X58" s="7"/>
      <c r="Y58" s="7"/>
    </row>
    <row r="59" spans="1:25" ht="13.8">
      <c r="A59" s="2">
        <v>43533</v>
      </c>
      <c r="B59" s="3">
        <f ca="1">IFERROR(__xludf.DUMMYFUNCTION("split(W59, "" | "")"),11.7)</f>
        <v>11.7</v>
      </c>
      <c r="C59" s="3">
        <f ca="1">IFERROR(__xludf.DUMMYFUNCTION("""COMPUTED_VALUE"""),6.5)</f>
        <v>6.5</v>
      </c>
      <c r="D59" s="3">
        <f ca="1">IFERROR(__xludf.DUMMYFUNCTION("""COMPUTED_VALUE"""),16.4)</f>
        <v>16.399999999999999</v>
      </c>
      <c r="E59" s="3">
        <f ca="1">IFERROR(__xludf.DUMMYFUNCTION("""COMPUTED_VALUE"""),63.2)</f>
        <v>63.2</v>
      </c>
      <c r="F59" s="3">
        <f ca="1">IFERROR(__xludf.DUMMYFUNCTION("""COMPUTED_VALUE"""),18.2)</f>
        <v>18.2</v>
      </c>
      <c r="G59" s="3">
        <f ca="1">IFERROR(__xludf.DUMMYFUNCTION("""COMPUTED_VALUE"""),79.6)</f>
        <v>79.599999999999994</v>
      </c>
      <c r="H59" s="3">
        <f ca="1">IFERROR(__xludf.DUMMYFUNCTION("""COMPUTED_VALUE"""),2.2)</f>
        <v>2.2000000000000002</v>
      </c>
      <c r="I59" s="4">
        <f ca="1">IFERROR(__xludf.DUMMYFUNCTION("split(X59, "" | "")"),19.8)</f>
        <v>19.8</v>
      </c>
      <c r="J59" s="3">
        <f ca="1">IFERROR(__xludf.DUMMYFUNCTION("""COMPUTED_VALUE"""),23.7)</f>
        <v>23.7</v>
      </c>
      <c r="K59" s="3">
        <f ca="1">IFERROR(__xludf.DUMMYFUNCTION("""COMPUTED_VALUE"""),20.9)</f>
        <v>20.9</v>
      </c>
      <c r="L59" s="3">
        <f ca="1">IFERROR(__xludf.DUMMYFUNCTION("""COMPUTED_VALUE"""),31.7)</f>
        <v>31.7</v>
      </c>
      <c r="M59" s="3">
        <f ca="1">IFERROR(__xludf.DUMMYFUNCTION("""COMPUTED_VALUE"""),43.5)</f>
        <v>43.5</v>
      </c>
      <c r="N59" s="3">
        <f ca="1">IFERROR(__xludf.DUMMYFUNCTION("""COMPUTED_VALUE"""),52.6)</f>
        <v>52.6</v>
      </c>
      <c r="O59" s="3">
        <f ca="1">IFERROR(__xludf.DUMMYFUNCTION("""COMPUTED_VALUE"""),3.9)</f>
        <v>3.9</v>
      </c>
      <c r="P59" s="3">
        <f ca="1">IFERROR(__xludf.DUMMYFUNCTION("split(Y59, "" | "")"),38.9)</f>
        <v>38.9</v>
      </c>
      <c r="Q59" s="3">
        <f ca="1">IFERROR(__xludf.DUMMYFUNCTION("""COMPUTED_VALUE"""),33.3)</f>
        <v>33.299999999999997</v>
      </c>
      <c r="R59" s="3">
        <f ca="1">IFERROR(__xludf.DUMMYFUNCTION("""COMPUTED_VALUE"""),11)</f>
        <v>11</v>
      </c>
      <c r="S59" s="3">
        <f ca="1">IFERROR(__xludf.DUMMYFUNCTION("""COMPUTED_VALUE"""),13.6)</f>
        <v>13.6</v>
      </c>
      <c r="T59" s="3">
        <f ca="1">IFERROR(__xludf.DUMMYFUNCTION("""COMPUTED_VALUE"""),72.2)</f>
        <v>72.2</v>
      </c>
      <c r="U59" s="3">
        <f ca="1">IFERROR(__xludf.DUMMYFUNCTION("""COMPUTED_VALUE"""),24.6)</f>
        <v>24.6</v>
      </c>
      <c r="V59" s="3">
        <f ca="1">IFERROR(__xludf.DUMMYFUNCTION("""COMPUTED_VALUE"""),3.2)</f>
        <v>3.2</v>
      </c>
      <c r="W59" s="5"/>
      <c r="X59" s="5"/>
      <c r="Y59" s="5"/>
    </row>
    <row r="60" spans="1:25" ht="13.8">
      <c r="A60" s="2">
        <v>43540</v>
      </c>
      <c r="B60" s="3">
        <f ca="1">IFERROR(__xludf.DUMMYFUNCTION("split(W60, "" | "")"),14.1)</f>
        <v>14.1</v>
      </c>
      <c r="C60" s="3">
        <f ca="1">IFERROR(__xludf.DUMMYFUNCTION("""COMPUTED_VALUE"""),9.7)</f>
        <v>9.6999999999999993</v>
      </c>
      <c r="D60" s="3">
        <f ca="1">IFERROR(__xludf.DUMMYFUNCTION("""COMPUTED_VALUE"""),15)</f>
        <v>15</v>
      </c>
      <c r="E60" s="3">
        <f ca="1">IFERROR(__xludf.DUMMYFUNCTION("""COMPUTED_VALUE"""),57.7)</f>
        <v>57.7</v>
      </c>
      <c r="F60" s="3">
        <f ca="1">IFERROR(__xludf.DUMMYFUNCTION("""COMPUTED_VALUE"""),23.7)</f>
        <v>23.7</v>
      </c>
      <c r="G60" s="3">
        <f ca="1">IFERROR(__xludf.DUMMYFUNCTION("""COMPUTED_VALUE"""),72.7)</f>
        <v>72.7</v>
      </c>
      <c r="H60" s="3">
        <f ca="1">IFERROR(__xludf.DUMMYFUNCTION("""COMPUTED_VALUE"""),3.5)</f>
        <v>3.5</v>
      </c>
      <c r="I60" s="4">
        <f ca="1">IFERROR(__xludf.DUMMYFUNCTION("split(X60, "" | "")"),24.2)</f>
        <v>24.2</v>
      </c>
      <c r="J60" s="3">
        <f ca="1">IFERROR(__xludf.DUMMYFUNCTION("""COMPUTED_VALUE"""),23.6)</f>
        <v>23.6</v>
      </c>
      <c r="K60" s="3">
        <f ca="1">IFERROR(__xludf.DUMMYFUNCTION("""COMPUTED_VALUE"""),18.6)</f>
        <v>18.600000000000001</v>
      </c>
      <c r="L60" s="3">
        <f ca="1">IFERROR(__xludf.DUMMYFUNCTION("""COMPUTED_VALUE"""),30.1)</f>
        <v>30.1</v>
      </c>
      <c r="M60" s="3">
        <f ca="1">IFERROR(__xludf.DUMMYFUNCTION("""COMPUTED_VALUE"""),47.8)</f>
        <v>47.8</v>
      </c>
      <c r="N60" s="3">
        <f ca="1">IFERROR(__xludf.DUMMYFUNCTION("""COMPUTED_VALUE"""),48.7)</f>
        <v>48.7</v>
      </c>
      <c r="O60" s="3">
        <f ca="1">IFERROR(__xludf.DUMMYFUNCTION("""COMPUTED_VALUE"""),3.6)</f>
        <v>3.6</v>
      </c>
      <c r="P60" s="3">
        <f ca="1">IFERROR(__xludf.DUMMYFUNCTION("split(Y60, "" | "")"),40)</f>
        <v>40</v>
      </c>
      <c r="Q60" s="3">
        <f ca="1">IFERROR(__xludf.DUMMYFUNCTION("""COMPUTED_VALUE"""),31.1)</f>
        <v>31.1</v>
      </c>
      <c r="R60" s="3">
        <f ca="1">IFERROR(__xludf.DUMMYFUNCTION("""COMPUTED_VALUE"""),12.5)</f>
        <v>12.5</v>
      </c>
      <c r="S60" s="3">
        <f ca="1">IFERROR(__xludf.DUMMYFUNCTION("""COMPUTED_VALUE"""),12.5)</f>
        <v>12.5</v>
      </c>
      <c r="T60" s="3">
        <f ca="1">IFERROR(__xludf.DUMMYFUNCTION("""COMPUTED_VALUE"""),71.1)</f>
        <v>71.099999999999994</v>
      </c>
      <c r="U60" s="3">
        <f ca="1">IFERROR(__xludf.DUMMYFUNCTION("""COMPUTED_VALUE"""),25.1)</f>
        <v>25.1</v>
      </c>
      <c r="V60" s="3">
        <f ca="1">IFERROR(__xludf.DUMMYFUNCTION("""COMPUTED_VALUE"""),3.8)</f>
        <v>3.8</v>
      </c>
      <c r="W60" s="5"/>
      <c r="X60" s="5"/>
      <c r="Y60" s="5"/>
    </row>
    <row r="61" spans="1:25" ht="13.8">
      <c r="A61" s="2">
        <v>43547</v>
      </c>
      <c r="B61" s="3">
        <f ca="1">IFERROR(__xludf.DUMMYFUNCTION("split(W61, "" | "")"),8.6)</f>
        <v>8.6</v>
      </c>
      <c r="C61" s="3">
        <f ca="1">IFERROR(__xludf.DUMMYFUNCTION("""COMPUTED_VALUE"""),6.9)</f>
        <v>6.9</v>
      </c>
      <c r="D61" s="3">
        <f ca="1">IFERROR(__xludf.DUMMYFUNCTION("""COMPUTED_VALUE"""),17.1)</f>
        <v>17.100000000000001</v>
      </c>
      <c r="E61" s="3">
        <f ca="1">IFERROR(__xludf.DUMMYFUNCTION("""COMPUTED_VALUE"""),64.2)</f>
        <v>64.2</v>
      </c>
      <c r="F61" s="3">
        <f ca="1">IFERROR(__xludf.DUMMYFUNCTION("""COMPUTED_VALUE"""),15.6)</f>
        <v>15.6</v>
      </c>
      <c r="G61" s="3">
        <f ca="1">IFERROR(__xludf.DUMMYFUNCTION("""COMPUTED_VALUE"""),81.2)</f>
        <v>81.2</v>
      </c>
      <c r="H61" s="3">
        <f ca="1">IFERROR(__xludf.DUMMYFUNCTION("""COMPUTED_VALUE"""),3.2)</f>
        <v>3.2</v>
      </c>
      <c r="I61" s="4">
        <f ca="1">IFERROR(__xludf.DUMMYFUNCTION("split(X61, "" | "")"),22.6)</f>
        <v>22.6</v>
      </c>
      <c r="J61" s="3">
        <f ca="1">IFERROR(__xludf.DUMMYFUNCTION("""COMPUTED_VALUE"""),25.3)</f>
        <v>25.3</v>
      </c>
      <c r="K61" s="3">
        <f ca="1">IFERROR(__xludf.DUMMYFUNCTION("""COMPUTED_VALUE"""),15.4)</f>
        <v>15.4</v>
      </c>
      <c r="L61" s="3">
        <f ca="1">IFERROR(__xludf.DUMMYFUNCTION("""COMPUTED_VALUE"""),31.7)</f>
        <v>31.7</v>
      </c>
      <c r="M61" s="3">
        <f ca="1">IFERROR(__xludf.DUMMYFUNCTION("""COMPUTED_VALUE"""),47.9)</f>
        <v>47.9</v>
      </c>
      <c r="N61" s="3">
        <f ca="1">IFERROR(__xludf.DUMMYFUNCTION("""COMPUTED_VALUE"""),47.2)</f>
        <v>47.2</v>
      </c>
      <c r="O61" s="3">
        <f ca="1">IFERROR(__xludf.DUMMYFUNCTION("""COMPUTED_VALUE"""),4.9)</f>
        <v>4.9000000000000004</v>
      </c>
      <c r="P61" s="3">
        <f ca="1">IFERROR(__xludf.DUMMYFUNCTION("split(Y61, "" | "")"),42.8)</f>
        <v>42.8</v>
      </c>
      <c r="Q61" s="3">
        <f ca="1">IFERROR(__xludf.DUMMYFUNCTION("""COMPUTED_VALUE"""),32.4)</f>
        <v>32.4</v>
      </c>
      <c r="R61" s="3">
        <f ca="1">IFERROR(__xludf.DUMMYFUNCTION("""COMPUTED_VALUE"""),12.1)</f>
        <v>12.1</v>
      </c>
      <c r="S61" s="3">
        <f ca="1">IFERROR(__xludf.DUMMYFUNCTION("""COMPUTED_VALUE"""),9)</f>
        <v>9</v>
      </c>
      <c r="T61" s="3">
        <f ca="1">IFERROR(__xludf.DUMMYFUNCTION("""COMPUTED_VALUE"""),75.2)</f>
        <v>75.2</v>
      </c>
      <c r="U61" s="3">
        <f ca="1">IFERROR(__xludf.DUMMYFUNCTION("""COMPUTED_VALUE"""),21.1)</f>
        <v>21.1</v>
      </c>
      <c r="V61" s="3">
        <f ca="1">IFERROR(__xludf.DUMMYFUNCTION("""COMPUTED_VALUE"""),3.7)</f>
        <v>3.7</v>
      </c>
      <c r="W61" s="5"/>
      <c r="X61" s="5"/>
      <c r="Y61" s="5"/>
    </row>
    <row r="62" spans="1:25" ht="13.8">
      <c r="A62" s="2">
        <v>43554</v>
      </c>
      <c r="B62" s="3">
        <f ca="1">IFERROR(__xludf.DUMMYFUNCTION("split(W62, "" | "")"),11.2)</f>
        <v>11.2</v>
      </c>
      <c r="C62" s="3">
        <f ca="1">IFERROR(__xludf.DUMMYFUNCTION("""COMPUTED_VALUE"""),9.2)</f>
        <v>9.1999999999999993</v>
      </c>
      <c r="D62" s="3">
        <f ca="1">IFERROR(__xludf.DUMMYFUNCTION("""COMPUTED_VALUE"""),16.1)</f>
        <v>16.100000000000001</v>
      </c>
      <c r="E62" s="3">
        <f ca="1">IFERROR(__xludf.DUMMYFUNCTION("""COMPUTED_VALUE"""),60.2)</f>
        <v>60.2</v>
      </c>
      <c r="F62" s="3">
        <f ca="1">IFERROR(__xludf.DUMMYFUNCTION("""COMPUTED_VALUE"""),20.4)</f>
        <v>20.399999999999999</v>
      </c>
      <c r="G62" s="3">
        <f ca="1">IFERROR(__xludf.DUMMYFUNCTION("""COMPUTED_VALUE"""),76.4)</f>
        <v>76.400000000000006</v>
      </c>
      <c r="H62" s="3">
        <f ca="1">IFERROR(__xludf.DUMMYFUNCTION("""COMPUTED_VALUE"""),3.2)</f>
        <v>3.2</v>
      </c>
      <c r="I62" s="4">
        <f ca="1">IFERROR(__xludf.DUMMYFUNCTION("split(X62, "" | "")"),19.7)</f>
        <v>19.7</v>
      </c>
      <c r="J62" s="3">
        <f ca="1">IFERROR(__xludf.DUMMYFUNCTION("""COMPUTED_VALUE"""),24.4)</f>
        <v>24.4</v>
      </c>
      <c r="K62" s="3">
        <f ca="1">IFERROR(__xludf.DUMMYFUNCTION("""COMPUTED_VALUE"""),17)</f>
        <v>17</v>
      </c>
      <c r="L62" s="3">
        <f ca="1">IFERROR(__xludf.DUMMYFUNCTION("""COMPUTED_VALUE"""),34.7)</f>
        <v>34.700000000000003</v>
      </c>
      <c r="M62" s="3">
        <f ca="1">IFERROR(__xludf.DUMMYFUNCTION("""COMPUTED_VALUE"""),44.1)</f>
        <v>44.1</v>
      </c>
      <c r="N62" s="3">
        <f ca="1">IFERROR(__xludf.DUMMYFUNCTION("""COMPUTED_VALUE"""),51.7)</f>
        <v>51.7</v>
      </c>
      <c r="O62" s="3">
        <f ca="1">IFERROR(__xludf.DUMMYFUNCTION("""COMPUTED_VALUE"""),4.2)</f>
        <v>4.2</v>
      </c>
      <c r="P62" s="3">
        <f ca="1">IFERROR(__xludf.DUMMYFUNCTION("split(Y62, "" | "")"),42.1)</f>
        <v>42.1</v>
      </c>
      <c r="Q62" s="3">
        <f ca="1">IFERROR(__xludf.DUMMYFUNCTION("""COMPUTED_VALUE"""),34.2)</f>
        <v>34.200000000000003</v>
      </c>
      <c r="R62" s="3">
        <f ca="1">IFERROR(__xludf.DUMMYFUNCTION("""COMPUTED_VALUE"""),9.4)</f>
        <v>9.4</v>
      </c>
      <c r="S62" s="3">
        <f ca="1">IFERROR(__xludf.DUMMYFUNCTION("""COMPUTED_VALUE"""),11.5)</f>
        <v>11.5</v>
      </c>
      <c r="T62" s="3">
        <f ca="1">IFERROR(__xludf.DUMMYFUNCTION("""COMPUTED_VALUE"""),76.3)</f>
        <v>76.3</v>
      </c>
      <c r="U62" s="3">
        <f ca="1">IFERROR(__xludf.DUMMYFUNCTION("""COMPUTED_VALUE"""),20.9)</f>
        <v>20.9</v>
      </c>
      <c r="V62" s="3">
        <f ca="1">IFERROR(__xludf.DUMMYFUNCTION("""COMPUTED_VALUE"""),2.8)</f>
        <v>2.8</v>
      </c>
      <c r="W62" s="5"/>
      <c r="X62" s="5"/>
      <c r="Y62" s="5"/>
    </row>
    <row r="63" spans="1:25" ht="13.8">
      <c r="A63" s="2">
        <v>43561</v>
      </c>
      <c r="B63" s="3">
        <f ca="1">IFERROR(__xludf.DUMMYFUNCTION("split(W63, "" | "")"),15)</f>
        <v>15</v>
      </c>
      <c r="C63" s="3">
        <f ca="1">IFERROR(__xludf.DUMMYFUNCTION("""COMPUTED_VALUE"""),7.6)</f>
        <v>7.6</v>
      </c>
      <c r="D63" s="3">
        <f ca="1">IFERROR(__xludf.DUMMYFUNCTION("""COMPUTED_VALUE"""),15)</f>
        <v>15</v>
      </c>
      <c r="E63" s="3">
        <f ca="1">IFERROR(__xludf.DUMMYFUNCTION("""COMPUTED_VALUE"""),58.1)</f>
        <v>58.1</v>
      </c>
      <c r="F63" s="3">
        <f ca="1">IFERROR(__xludf.DUMMYFUNCTION("""COMPUTED_VALUE"""),22.6)</f>
        <v>22.6</v>
      </c>
      <c r="G63" s="3">
        <f ca="1">IFERROR(__xludf.DUMMYFUNCTION("""COMPUTED_VALUE"""),73.1)</f>
        <v>73.099999999999994</v>
      </c>
      <c r="H63" s="3">
        <f ca="1">IFERROR(__xludf.DUMMYFUNCTION("""COMPUTED_VALUE"""),4.2)</f>
        <v>4.2</v>
      </c>
      <c r="I63" s="4">
        <f ca="1">IFERROR(__xludf.DUMMYFUNCTION("split(X63, "" | "")"),21.8)</f>
        <v>21.8</v>
      </c>
      <c r="J63" s="3">
        <f ca="1">IFERROR(__xludf.DUMMYFUNCTION("""COMPUTED_VALUE"""),23)</f>
        <v>23</v>
      </c>
      <c r="K63" s="3">
        <f ca="1">IFERROR(__xludf.DUMMYFUNCTION("""COMPUTED_VALUE"""),19.4)</f>
        <v>19.399999999999999</v>
      </c>
      <c r="L63" s="3">
        <f ca="1">IFERROR(__xludf.DUMMYFUNCTION("""COMPUTED_VALUE"""),32.4)</f>
        <v>32.4</v>
      </c>
      <c r="M63" s="3">
        <f ca="1">IFERROR(__xludf.DUMMYFUNCTION("""COMPUTED_VALUE"""),44.8)</f>
        <v>44.8</v>
      </c>
      <c r="N63" s="3">
        <f ca="1">IFERROR(__xludf.DUMMYFUNCTION("""COMPUTED_VALUE"""),51.8)</f>
        <v>51.8</v>
      </c>
      <c r="O63" s="3">
        <f ca="1">IFERROR(__xludf.DUMMYFUNCTION("""COMPUTED_VALUE"""),3.5)</f>
        <v>3.5</v>
      </c>
      <c r="P63" s="3">
        <f ca="1">IFERROR(__xludf.DUMMYFUNCTION("split(Y63, "" | "")"),40.9)</f>
        <v>40.9</v>
      </c>
      <c r="Q63" s="3">
        <f ca="1">IFERROR(__xludf.DUMMYFUNCTION("""COMPUTED_VALUE"""),31.8)</f>
        <v>31.8</v>
      </c>
      <c r="R63" s="3">
        <f ca="1">IFERROR(__xludf.DUMMYFUNCTION("""COMPUTED_VALUE"""),11.8)</f>
        <v>11.8</v>
      </c>
      <c r="S63" s="3">
        <f ca="1">IFERROR(__xludf.DUMMYFUNCTION("""COMPUTED_VALUE"""),12.6)</f>
        <v>12.6</v>
      </c>
      <c r="T63" s="3">
        <f ca="1">IFERROR(__xludf.DUMMYFUNCTION("""COMPUTED_VALUE"""),72.7)</f>
        <v>72.7</v>
      </c>
      <c r="U63" s="3">
        <f ca="1">IFERROR(__xludf.DUMMYFUNCTION("""COMPUTED_VALUE"""),24.4)</f>
        <v>24.4</v>
      </c>
      <c r="V63" s="3">
        <f ca="1">IFERROR(__xludf.DUMMYFUNCTION("""COMPUTED_VALUE"""),2.9)</f>
        <v>2.9</v>
      </c>
      <c r="W63" s="5"/>
      <c r="X63" s="5"/>
      <c r="Y63" s="5"/>
    </row>
    <row r="64" spans="1:25" ht="13.8">
      <c r="A64" s="2">
        <v>43568</v>
      </c>
      <c r="B64" s="3">
        <f ca="1">IFERROR(__xludf.DUMMYFUNCTION("split(W64, "" | "")"),13.4)</f>
        <v>13.4</v>
      </c>
      <c r="C64" s="3">
        <f ca="1">IFERROR(__xludf.DUMMYFUNCTION("""COMPUTED_VALUE"""),6.5)</f>
        <v>6.5</v>
      </c>
      <c r="D64" s="3">
        <f ca="1">IFERROR(__xludf.DUMMYFUNCTION("""COMPUTED_VALUE"""),17.5)</f>
        <v>17.5</v>
      </c>
      <c r="E64" s="3">
        <f ca="1">IFERROR(__xludf.DUMMYFUNCTION("""COMPUTED_VALUE"""),58.7)</f>
        <v>58.7</v>
      </c>
      <c r="F64" s="3">
        <f ca="1">IFERROR(__xludf.DUMMYFUNCTION("""COMPUTED_VALUE"""),20)</f>
        <v>20</v>
      </c>
      <c r="G64" s="3">
        <f ca="1">IFERROR(__xludf.DUMMYFUNCTION("""COMPUTED_VALUE"""),76.2)</f>
        <v>76.2</v>
      </c>
      <c r="H64" s="3">
        <f ca="1">IFERROR(__xludf.DUMMYFUNCTION("""COMPUTED_VALUE"""),3.9)</f>
        <v>3.9</v>
      </c>
      <c r="I64" s="4">
        <f ca="1">IFERROR(__xludf.DUMMYFUNCTION("split(X64, "" | "")"),17.6)</f>
        <v>17.600000000000001</v>
      </c>
      <c r="J64" s="3">
        <f ca="1">IFERROR(__xludf.DUMMYFUNCTION("""COMPUTED_VALUE"""),27.4)</f>
        <v>27.4</v>
      </c>
      <c r="K64" s="3">
        <f ca="1">IFERROR(__xludf.DUMMYFUNCTION("""COMPUTED_VALUE"""),18)</f>
        <v>18</v>
      </c>
      <c r="L64" s="3">
        <f ca="1">IFERROR(__xludf.DUMMYFUNCTION("""COMPUTED_VALUE"""),32.6)</f>
        <v>32.6</v>
      </c>
      <c r="M64" s="3">
        <f ca="1">IFERROR(__xludf.DUMMYFUNCTION("""COMPUTED_VALUE"""),45)</f>
        <v>45</v>
      </c>
      <c r="N64" s="3">
        <f ca="1">IFERROR(__xludf.DUMMYFUNCTION("""COMPUTED_VALUE"""),50.6)</f>
        <v>50.6</v>
      </c>
      <c r="O64" s="3">
        <f ca="1">IFERROR(__xludf.DUMMYFUNCTION("""COMPUTED_VALUE"""),4.4)</f>
        <v>4.4000000000000004</v>
      </c>
      <c r="P64" s="3">
        <f ca="1">IFERROR(__xludf.DUMMYFUNCTION("split(Y64, "" | "")"),44.5)</f>
        <v>44.5</v>
      </c>
      <c r="Q64" s="3">
        <f ca="1">IFERROR(__xludf.DUMMYFUNCTION("""COMPUTED_VALUE"""),31.1)</f>
        <v>31.1</v>
      </c>
      <c r="R64" s="3">
        <f ca="1">IFERROR(__xludf.DUMMYFUNCTION("""COMPUTED_VALUE"""),8.5)</f>
        <v>8.5</v>
      </c>
      <c r="S64" s="3">
        <f ca="1">IFERROR(__xludf.DUMMYFUNCTION("""COMPUTED_VALUE"""),11.3)</f>
        <v>11.3</v>
      </c>
      <c r="T64" s="3">
        <f ca="1">IFERROR(__xludf.DUMMYFUNCTION("""COMPUTED_VALUE"""),75.6)</f>
        <v>75.599999999999994</v>
      </c>
      <c r="U64" s="3">
        <f ca="1">IFERROR(__xludf.DUMMYFUNCTION("""COMPUTED_VALUE"""),19.8)</f>
        <v>19.8</v>
      </c>
      <c r="V64" s="3">
        <f ca="1">IFERROR(__xludf.DUMMYFUNCTION("""COMPUTED_VALUE"""),4.5)</f>
        <v>4.5</v>
      </c>
      <c r="W64" s="5"/>
      <c r="X64" s="5"/>
      <c r="Y64" s="5"/>
    </row>
    <row r="65" spans="1:25" ht="13.8">
      <c r="A65" s="2">
        <v>43575</v>
      </c>
      <c r="B65" s="3">
        <f ca="1">IFERROR(__xludf.DUMMYFUNCTION("split(W65, "" | "")"),12.2)</f>
        <v>12.2</v>
      </c>
      <c r="C65" s="3">
        <f ca="1">IFERROR(__xludf.DUMMYFUNCTION("""COMPUTED_VALUE"""),7.2)</f>
        <v>7.2</v>
      </c>
      <c r="D65" s="3">
        <f ca="1">IFERROR(__xludf.DUMMYFUNCTION("""COMPUTED_VALUE"""),13.9)</f>
        <v>13.9</v>
      </c>
      <c r="E65" s="3">
        <f ca="1">IFERROR(__xludf.DUMMYFUNCTION("""COMPUTED_VALUE"""),64.4)</f>
        <v>64.400000000000006</v>
      </c>
      <c r="F65" s="3">
        <f ca="1">IFERROR(__xludf.DUMMYFUNCTION("""COMPUTED_VALUE"""),19.4)</f>
        <v>19.399999999999999</v>
      </c>
      <c r="G65" s="3">
        <f ca="1">IFERROR(__xludf.DUMMYFUNCTION("""COMPUTED_VALUE"""),78.3)</f>
        <v>78.3</v>
      </c>
      <c r="H65" s="3">
        <f ca="1">IFERROR(__xludf.DUMMYFUNCTION("""COMPUTED_VALUE"""),2.3)</f>
        <v>2.2999999999999998</v>
      </c>
      <c r="I65" s="4">
        <f ca="1">IFERROR(__xludf.DUMMYFUNCTION("split(X65, "" | "")"),21.9)</f>
        <v>21.9</v>
      </c>
      <c r="J65" s="3">
        <f ca="1">IFERROR(__xludf.DUMMYFUNCTION("""COMPUTED_VALUE"""),21.4)</f>
        <v>21.4</v>
      </c>
      <c r="K65" s="3">
        <f ca="1">IFERROR(__xludf.DUMMYFUNCTION("""COMPUTED_VALUE"""),15.6)</f>
        <v>15.6</v>
      </c>
      <c r="L65" s="3">
        <f ca="1">IFERROR(__xludf.DUMMYFUNCTION("""COMPUTED_VALUE"""),37)</f>
        <v>37</v>
      </c>
      <c r="M65" s="3">
        <f ca="1">IFERROR(__xludf.DUMMYFUNCTION("""COMPUTED_VALUE"""),43.3)</f>
        <v>43.3</v>
      </c>
      <c r="N65" s="3">
        <f ca="1">IFERROR(__xludf.DUMMYFUNCTION("""COMPUTED_VALUE"""),52.6)</f>
        <v>52.6</v>
      </c>
      <c r="O65" s="3">
        <f ca="1">IFERROR(__xludf.DUMMYFUNCTION("""COMPUTED_VALUE"""),4.1)</f>
        <v>4.0999999999999996</v>
      </c>
      <c r="P65" s="3">
        <f ca="1">IFERROR(__xludf.DUMMYFUNCTION("split(Y65, "" | "")"),46)</f>
        <v>46</v>
      </c>
      <c r="Q65" s="3">
        <f ca="1">IFERROR(__xludf.DUMMYFUNCTION("""COMPUTED_VALUE"""),31.7)</f>
        <v>31.7</v>
      </c>
      <c r="R65" s="3">
        <f ca="1">IFERROR(__xludf.DUMMYFUNCTION("""COMPUTED_VALUE"""),9.6)</f>
        <v>9.6</v>
      </c>
      <c r="S65" s="3">
        <f ca="1">IFERROR(__xludf.DUMMYFUNCTION("""COMPUTED_VALUE"""),10.1)</f>
        <v>10.1</v>
      </c>
      <c r="T65" s="3">
        <f ca="1">IFERROR(__xludf.DUMMYFUNCTION("""COMPUTED_VALUE"""),77.7)</f>
        <v>77.7</v>
      </c>
      <c r="U65" s="3">
        <f ca="1">IFERROR(__xludf.DUMMYFUNCTION("""COMPUTED_VALUE"""),19.7)</f>
        <v>19.7</v>
      </c>
      <c r="V65" s="3">
        <f ca="1">IFERROR(__xludf.DUMMYFUNCTION("""COMPUTED_VALUE"""),2.6)</f>
        <v>2.6</v>
      </c>
      <c r="W65" s="5"/>
      <c r="X65" s="5"/>
      <c r="Y65" s="5"/>
    </row>
    <row r="66" spans="1:25" ht="13.8">
      <c r="A66" s="2">
        <v>43582</v>
      </c>
      <c r="B66" s="3"/>
      <c r="I66" s="4"/>
      <c r="P66" s="3"/>
    </row>
    <row r="67" spans="1:25" ht="13.8">
      <c r="A67" s="2">
        <v>43589</v>
      </c>
      <c r="B67" s="3">
        <f ca="1">IFERROR(__xludf.DUMMYFUNCTION("split(W67, "" | "")"),12.9)</f>
        <v>12.9</v>
      </c>
      <c r="C67" s="3">
        <f ca="1">IFERROR(__xludf.DUMMYFUNCTION("""COMPUTED_VALUE"""),9.5)</f>
        <v>9.5</v>
      </c>
      <c r="D67" s="3">
        <f ca="1">IFERROR(__xludf.DUMMYFUNCTION("""COMPUTED_VALUE"""),12.3)</f>
        <v>12.3</v>
      </c>
      <c r="E67" s="3">
        <f ca="1">IFERROR(__xludf.DUMMYFUNCTION("""COMPUTED_VALUE"""),62.7)</f>
        <v>62.7</v>
      </c>
      <c r="F67" s="3">
        <f ca="1">IFERROR(__xludf.DUMMYFUNCTION("""COMPUTED_VALUE"""),22.4)</f>
        <v>22.4</v>
      </c>
      <c r="G67" s="3">
        <f ca="1">IFERROR(__xludf.DUMMYFUNCTION("""COMPUTED_VALUE"""),75)</f>
        <v>75</v>
      </c>
      <c r="H67" s="3">
        <f ca="1">IFERROR(__xludf.DUMMYFUNCTION("""COMPUTED_VALUE"""),2.6)</f>
        <v>2.6</v>
      </c>
      <c r="I67" s="4">
        <f ca="1">IFERROR(__xludf.DUMMYFUNCTION("split(X67, "" | "")"),24)</f>
        <v>24</v>
      </c>
      <c r="J67" s="3">
        <f ca="1">IFERROR(__xludf.DUMMYFUNCTION("""COMPUTED_VALUE"""),24.5)</f>
        <v>24.5</v>
      </c>
      <c r="K67" s="3">
        <f ca="1">IFERROR(__xludf.DUMMYFUNCTION("""COMPUTED_VALUE"""),13.6)</f>
        <v>13.6</v>
      </c>
      <c r="L67" s="3">
        <f ca="1">IFERROR(__xludf.DUMMYFUNCTION("""COMPUTED_VALUE"""),34.4)</f>
        <v>34.4</v>
      </c>
      <c r="M67" s="3">
        <f ca="1">IFERROR(__xludf.DUMMYFUNCTION("""COMPUTED_VALUE"""),48.5)</f>
        <v>48.5</v>
      </c>
      <c r="N67" s="3">
        <f ca="1">IFERROR(__xludf.DUMMYFUNCTION("""COMPUTED_VALUE"""),48.1)</f>
        <v>48.1</v>
      </c>
      <c r="O67" s="3">
        <f ca="1">IFERROR(__xludf.DUMMYFUNCTION("""COMPUTED_VALUE"""),3.5)</f>
        <v>3.5</v>
      </c>
      <c r="P67" s="3">
        <f ca="1">IFERROR(__xludf.DUMMYFUNCTION("split(Y67, "" | "")"),40.2)</f>
        <v>40.200000000000003</v>
      </c>
      <c r="Q67" s="3">
        <f ca="1">IFERROR(__xludf.DUMMYFUNCTION("""COMPUTED_VALUE"""),32.9)</f>
        <v>32.9</v>
      </c>
      <c r="R67" s="3">
        <f ca="1">IFERROR(__xludf.DUMMYFUNCTION("""COMPUTED_VALUE"""),8.7)</f>
        <v>8.6999999999999993</v>
      </c>
      <c r="S67" s="3">
        <f ca="1">IFERROR(__xludf.DUMMYFUNCTION("""COMPUTED_VALUE"""),15.3)</f>
        <v>15.3</v>
      </c>
      <c r="T67" s="3">
        <f ca="1">IFERROR(__xludf.DUMMYFUNCTION("""COMPUTED_VALUE"""),73.1)</f>
        <v>73.099999999999994</v>
      </c>
      <c r="U67" s="3">
        <f ca="1">IFERROR(__xludf.DUMMYFUNCTION("""COMPUTED_VALUE"""),24)</f>
        <v>24</v>
      </c>
      <c r="V67" s="3">
        <f ca="1">IFERROR(__xludf.DUMMYFUNCTION("""COMPUTED_VALUE"""),2.9)</f>
        <v>2.9</v>
      </c>
      <c r="W67" s="5"/>
      <c r="X67" s="5"/>
      <c r="Y67" s="5"/>
    </row>
    <row r="68" spans="1:25" ht="13.8">
      <c r="A68" s="2">
        <v>43596</v>
      </c>
      <c r="B68" s="3">
        <f ca="1">IFERROR(__xludf.DUMMYFUNCTION("split(W68, "" | "")"),13.4)</f>
        <v>13.4</v>
      </c>
      <c r="C68" s="3">
        <f ca="1">IFERROR(__xludf.DUMMYFUNCTION("""COMPUTED_VALUE"""),8.7)</f>
        <v>8.6999999999999993</v>
      </c>
      <c r="D68" s="3">
        <f ca="1">IFERROR(__xludf.DUMMYFUNCTION("""COMPUTED_VALUE"""),13.2)</f>
        <v>13.2</v>
      </c>
      <c r="E68" s="3">
        <f ca="1">IFERROR(__xludf.DUMMYFUNCTION("""COMPUTED_VALUE"""),62.1)</f>
        <v>62.1</v>
      </c>
      <c r="F68" s="3">
        <f ca="1">IFERROR(__xludf.DUMMYFUNCTION("""COMPUTED_VALUE"""),22.1)</f>
        <v>22.1</v>
      </c>
      <c r="G68" s="3">
        <f ca="1">IFERROR(__xludf.DUMMYFUNCTION("""COMPUTED_VALUE"""),75.3)</f>
        <v>75.3</v>
      </c>
      <c r="H68" s="3">
        <f ca="1">IFERROR(__xludf.DUMMYFUNCTION("""COMPUTED_VALUE"""),2.5)</f>
        <v>2.5</v>
      </c>
      <c r="I68" s="4">
        <f ca="1">IFERROR(__xludf.DUMMYFUNCTION("split(X68, "" | "")"),23.1)</f>
        <v>23.1</v>
      </c>
      <c r="J68" s="3">
        <f ca="1">IFERROR(__xludf.DUMMYFUNCTION("""COMPUTED_VALUE"""),24.1)</f>
        <v>24.1</v>
      </c>
      <c r="K68" s="3">
        <f ca="1">IFERROR(__xludf.DUMMYFUNCTION("""COMPUTED_VALUE"""),17.9)</f>
        <v>17.899999999999999</v>
      </c>
      <c r="L68" s="3">
        <f ca="1">IFERROR(__xludf.DUMMYFUNCTION("""COMPUTED_VALUE"""),31.7)</f>
        <v>31.7</v>
      </c>
      <c r="M68" s="3">
        <f ca="1">IFERROR(__xludf.DUMMYFUNCTION("""COMPUTED_VALUE"""),47.1)</f>
        <v>47.1</v>
      </c>
      <c r="N68" s="3">
        <f ca="1">IFERROR(__xludf.DUMMYFUNCTION("""COMPUTED_VALUE"""),49.6)</f>
        <v>49.6</v>
      </c>
      <c r="O68" s="3">
        <f ca="1">IFERROR(__xludf.DUMMYFUNCTION("""COMPUTED_VALUE"""),3.3)</f>
        <v>3.3</v>
      </c>
      <c r="P68" s="3">
        <f ca="1">IFERROR(__xludf.DUMMYFUNCTION("split(Y68, "" | "")"),44.5)</f>
        <v>44.5</v>
      </c>
      <c r="Q68" s="3">
        <f ca="1">IFERROR(__xludf.DUMMYFUNCTION("""COMPUTED_VALUE"""),34.2)</f>
        <v>34.200000000000003</v>
      </c>
      <c r="R68" s="3">
        <f ca="1">IFERROR(__xludf.DUMMYFUNCTION("""COMPUTED_VALUE"""),8.7)</f>
        <v>8.6999999999999993</v>
      </c>
      <c r="S68" s="3">
        <f ca="1">IFERROR(__xludf.DUMMYFUNCTION("""COMPUTED_VALUE"""),9.8)</f>
        <v>9.8000000000000007</v>
      </c>
      <c r="T68" s="3">
        <f ca="1">IFERROR(__xludf.DUMMYFUNCTION("""COMPUTED_VALUE"""),78.8)</f>
        <v>78.8</v>
      </c>
      <c r="U68" s="3">
        <f ca="1">IFERROR(__xludf.DUMMYFUNCTION("""COMPUTED_VALUE"""),18.5)</f>
        <v>18.5</v>
      </c>
      <c r="V68" s="3">
        <f ca="1">IFERROR(__xludf.DUMMYFUNCTION("""COMPUTED_VALUE"""),2.8)</f>
        <v>2.8</v>
      </c>
      <c r="W68" s="5"/>
      <c r="X68" s="5"/>
      <c r="Y68" s="5"/>
    </row>
    <row r="69" spans="1:25" ht="13.8">
      <c r="A69" s="2">
        <v>43603</v>
      </c>
      <c r="B69" s="3">
        <f ca="1">IFERROR(__xludf.DUMMYFUNCTION("split(W69, "" | "")"),14.1)</f>
        <v>14.1</v>
      </c>
      <c r="C69" s="3">
        <f ca="1">IFERROR(__xludf.DUMMYFUNCTION("""COMPUTED_VALUE"""),10.5)</f>
        <v>10.5</v>
      </c>
      <c r="D69" s="3">
        <f ca="1">IFERROR(__xludf.DUMMYFUNCTION("""COMPUTED_VALUE"""),14.9)</f>
        <v>14.9</v>
      </c>
      <c r="E69" s="3">
        <f ca="1">IFERROR(__xludf.DUMMYFUNCTION("""COMPUTED_VALUE"""),56.7)</f>
        <v>56.7</v>
      </c>
      <c r="F69" s="3">
        <f ca="1">IFERROR(__xludf.DUMMYFUNCTION("""COMPUTED_VALUE"""),24.7)</f>
        <v>24.7</v>
      </c>
      <c r="G69" s="3">
        <f ca="1">IFERROR(__xludf.DUMMYFUNCTION("""COMPUTED_VALUE"""),71.6)</f>
        <v>71.599999999999994</v>
      </c>
      <c r="H69" s="3">
        <f ca="1">IFERROR(__xludf.DUMMYFUNCTION("""COMPUTED_VALUE"""),3.7)</f>
        <v>3.7</v>
      </c>
      <c r="I69" s="4">
        <f ca="1">IFERROR(__xludf.DUMMYFUNCTION("split(X69, "" | "")"),24.4)</f>
        <v>24.4</v>
      </c>
      <c r="J69" s="3">
        <f ca="1">IFERROR(__xludf.DUMMYFUNCTION("""COMPUTED_VALUE"""),23)</f>
        <v>23</v>
      </c>
      <c r="K69" s="3">
        <f ca="1">IFERROR(__xludf.DUMMYFUNCTION("""COMPUTED_VALUE"""),16.3)</f>
        <v>16.3</v>
      </c>
      <c r="L69" s="3">
        <f ca="1">IFERROR(__xludf.DUMMYFUNCTION("""COMPUTED_VALUE"""),32.7)</f>
        <v>32.700000000000003</v>
      </c>
      <c r="M69" s="3">
        <f ca="1">IFERROR(__xludf.DUMMYFUNCTION("""COMPUTED_VALUE"""),47.4)</f>
        <v>47.4</v>
      </c>
      <c r="N69" s="3">
        <f ca="1">IFERROR(__xludf.DUMMYFUNCTION("""COMPUTED_VALUE"""),49)</f>
        <v>49</v>
      </c>
      <c r="O69" s="3">
        <f ca="1">IFERROR(__xludf.DUMMYFUNCTION("""COMPUTED_VALUE"""),3.6)</f>
        <v>3.6</v>
      </c>
      <c r="P69" s="3">
        <f ca="1">IFERROR(__xludf.DUMMYFUNCTION("split(Y69, "" | "")"),47.6)</f>
        <v>47.6</v>
      </c>
      <c r="Q69" s="3">
        <f ca="1">IFERROR(__xludf.DUMMYFUNCTION("""COMPUTED_VALUE"""),29.9)</f>
        <v>29.9</v>
      </c>
      <c r="R69" s="3">
        <f ca="1">IFERROR(__xludf.DUMMYFUNCTION("""COMPUTED_VALUE"""),8.2)</f>
        <v>8.1999999999999993</v>
      </c>
      <c r="S69" s="3">
        <f ca="1">IFERROR(__xludf.DUMMYFUNCTION("""COMPUTED_VALUE"""),11.3)</f>
        <v>11.3</v>
      </c>
      <c r="T69" s="3">
        <f ca="1">IFERROR(__xludf.DUMMYFUNCTION("""COMPUTED_VALUE"""),77.4)</f>
        <v>77.400000000000006</v>
      </c>
      <c r="U69" s="3">
        <f ca="1">IFERROR(__xludf.DUMMYFUNCTION("""COMPUTED_VALUE"""),19.5)</f>
        <v>19.5</v>
      </c>
      <c r="V69" s="3">
        <f ca="1">IFERROR(__xludf.DUMMYFUNCTION("""COMPUTED_VALUE"""),3.1)</f>
        <v>3.1</v>
      </c>
      <c r="W69" s="5"/>
      <c r="X69" s="5"/>
      <c r="Y69" s="5"/>
    </row>
    <row r="70" spans="1:25" ht="13.8">
      <c r="A70" s="2">
        <v>43610</v>
      </c>
      <c r="B70" s="3">
        <f ca="1">IFERROR(__xludf.DUMMYFUNCTION("split(W70, "" | "")"),13.5)</f>
        <v>13.5</v>
      </c>
      <c r="C70" s="3">
        <f ca="1">IFERROR(__xludf.DUMMYFUNCTION("""COMPUTED_VALUE"""),9.8)</f>
        <v>9.8000000000000007</v>
      </c>
      <c r="D70" s="3">
        <f ca="1">IFERROR(__xludf.DUMMYFUNCTION("""COMPUTED_VALUE"""),15.6)</f>
        <v>15.6</v>
      </c>
      <c r="E70" s="3">
        <f ca="1">IFERROR(__xludf.DUMMYFUNCTION("""COMPUTED_VALUE"""),59.3)</f>
        <v>59.3</v>
      </c>
      <c r="F70" s="3">
        <f ca="1">IFERROR(__xludf.DUMMYFUNCTION("""COMPUTED_VALUE"""),23.3)</f>
        <v>23.3</v>
      </c>
      <c r="G70" s="3">
        <f ca="1">IFERROR(__xludf.DUMMYFUNCTION("""COMPUTED_VALUE"""),74.8)</f>
        <v>74.8</v>
      </c>
      <c r="H70" s="3">
        <f ca="1">IFERROR(__xludf.DUMMYFUNCTION("""COMPUTED_VALUE"""),1.9)</f>
        <v>1.9</v>
      </c>
      <c r="I70" s="4">
        <f ca="1">IFERROR(__xludf.DUMMYFUNCTION("split(X70, "" | "")"),23.2)</f>
        <v>23.2</v>
      </c>
      <c r="J70" s="3">
        <f ca="1">IFERROR(__xludf.DUMMYFUNCTION("""COMPUTED_VALUE"""),24.1)</f>
        <v>24.1</v>
      </c>
      <c r="K70" s="3">
        <f ca="1">IFERROR(__xludf.DUMMYFUNCTION("""COMPUTED_VALUE"""),15.8)</f>
        <v>15.8</v>
      </c>
      <c r="L70" s="3">
        <f ca="1">IFERROR(__xludf.DUMMYFUNCTION("""COMPUTED_VALUE"""),33.3)</f>
        <v>33.299999999999997</v>
      </c>
      <c r="M70" s="3">
        <f ca="1">IFERROR(__xludf.DUMMYFUNCTION("""COMPUTED_VALUE"""),47.3)</f>
        <v>47.3</v>
      </c>
      <c r="N70" s="3">
        <f ca="1">IFERROR(__xludf.DUMMYFUNCTION("""COMPUTED_VALUE"""),49.2)</f>
        <v>49.2</v>
      </c>
      <c r="O70" s="3">
        <f ca="1">IFERROR(__xludf.DUMMYFUNCTION("""COMPUTED_VALUE"""),3.5)</f>
        <v>3.5</v>
      </c>
      <c r="P70" s="3">
        <f ca="1">IFERROR(__xludf.DUMMYFUNCTION("split(Y70, "" | "")"),45.9)</f>
        <v>45.9</v>
      </c>
      <c r="Q70" s="3">
        <f ca="1">IFERROR(__xludf.DUMMYFUNCTION("""COMPUTED_VALUE"""),28.6)</f>
        <v>28.6</v>
      </c>
      <c r="R70" s="3">
        <f ca="1">IFERROR(__xludf.DUMMYFUNCTION("""COMPUTED_VALUE"""),11.9)</f>
        <v>11.9</v>
      </c>
      <c r="S70" s="3">
        <f ca="1">IFERROR(__xludf.DUMMYFUNCTION("""COMPUTED_VALUE"""),11.1)</f>
        <v>11.1</v>
      </c>
      <c r="T70" s="3">
        <f ca="1">IFERROR(__xludf.DUMMYFUNCTION("""COMPUTED_VALUE"""),74.5)</f>
        <v>74.5</v>
      </c>
      <c r="U70" s="3">
        <f ca="1">IFERROR(__xludf.DUMMYFUNCTION("""COMPUTED_VALUE"""),23)</f>
        <v>23</v>
      </c>
      <c r="V70" s="3">
        <f ca="1">IFERROR(__xludf.DUMMYFUNCTION("""COMPUTED_VALUE"""),2.4)</f>
        <v>2.4</v>
      </c>
      <c r="W70" s="5"/>
      <c r="X70" s="5"/>
      <c r="Y70" s="5"/>
    </row>
    <row r="71" spans="1:25" ht="13.8">
      <c r="A71" s="2">
        <v>43617</v>
      </c>
      <c r="B71" s="3">
        <f ca="1">IFERROR(__xludf.DUMMYFUNCTION("split(W71, "" | "")"),9.7)</f>
        <v>9.6999999999999993</v>
      </c>
      <c r="C71" s="3">
        <f ca="1">IFERROR(__xludf.DUMMYFUNCTION("""COMPUTED_VALUE"""),13.1)</f>
        <v>13.1</v>
      </c>
      <c r="D71" s="3">
        <f ca="1">IFERROR(__xludf.DUMMYFUNCTION("""COMPUTED_VALUE"""),18.6)</f>
        <v>18.600000000000001</v>
      </c>
      <c r="E71" s="3">
        <f ca="1">IFERROR(__xludf.DUMMYFUNCTION("""COMPUTED_VALUE"""),56)</f>
        <v>56</v>
      </c>
      <c r="F71" s="3">
        <f ca="1">IFERROR(__xludf.DUMMYFUNCTION("""COMPUTED_VALUE"""),22.9)</f>
        <v>22.9</v>
      </c>
      <c r="G71" s="3">
        <f ca="1">IFERROR(__xludf.DUMMYFUNCTION("""COMPUTED_VALUE"""),74.6)</f>
        <v>74.599999999999994</v>
      </c>
      <c r="H71" s="3">
        <f ca="1">IFERROR(__xludf.DUMMYFUNCTION("""COMPUTED_VALUE"""),2.5)</f>
        <v>2.5</v>
      </c>
      <c r="I71" s="4">
        <f ca="1">IFERROR(__xludf.DUMMYFUNCTION("split(X71, "" | "")"),24.6)</f>
        <v>24.6</v>
      </c>
      <c r="J71" s="3">
        <f ca="1">IFERROR(__xludf.DUMMYFUNCTION("""COMPUTED_VALUE"""),23.5)</f>
        <v>23.5</v>
      </c>
      <c r="K71" s="3">
        <f ca="1">IFERROR(__xludf.DUMMYFUNCTION("""COMPUTED_VALUE"""),15.7)</f>
        <v>15.7</v>
      </c>
      <c r="L71" s="3">
        <f ca="1">IFERROR(__xludf.DUMMYFUNCTION("""COMPUTED_VALUE"""),32.1)</f>
        <v>32.1</v>
      </c>
      <c r="M71" s="3">
        <f ca="1">IFERROR(__xludf.DUMMYFUNCTION("""COMPUTED_VALUE"""),48.1)</f>
        <v>48.1</v>
      </c>
      <c r="N71" s="3">
        <f ca="1">IFERROR(__xludf.DUMMYFUNCTION("""COMPUTED_VALUE"""),47.8)</f>
        <v>47.8</v>
      </c>
      <c r="O71" s="3">
        <f ca="1">IFERROR(__xludf.DUMMYFUNCTION("""COMPUTED_VALUE"""),4.2)</f>
        <v>4.2</v>
      </c>
      <c r="P71" s="3">
        <f ca="1">IFERROR(__xludf.DUMMYFUNCTION("split(Y71, "" | "")"),46.3)</f>
        <v>46.3</v>
      </c>
      <c r="Q71" s="3">
        <f ca="1">IFERROR(__xludf.DUMMYFUNCTION("""COMPUTED_VALUE"""),28.5)</f>
        <v>28.5</v>
      </c>
      <c r="R71" s="3">
        <f ca="1">IFERROR(__xludf.DUMMYFUNCTION("""COMPUTED_VALUE"""),9)</f>
        <v>9</v>
      </c>
      <c r="S71" s="3">
        <f ca="1">IFERROR(__xludf.DUMMYFUNCTION("""COMPUTED_VALUE"""),12.7)</f>
        <v>12.7</v>
      </c>
      <c r="T71" s="3">
        <f ca="1">IFERROR(__xludf.DUMMYFUNCTION("""COMPUTED_VALUE"""),74.7)</f>
        <v>74.7</v>
      </c>
      <c r="U71" s="3">
        <f ca="1">IFERROR(__xludf.DUMMYFUNCTION("""COMPUTED_VALUE"""),21.7)</f>
        <v>21.7</v>
      </c>
      <c r="V71" s="3">
        <f ca="1">IFERROR(__xludf.DUMMYFUNCTION("""COMPUTED_VALUE"""),3.6)</f>
        <v>3.6</v>
      </c>
      <c r="W71" s="5"/>
      <c r="X71" s="5"/>
      <c r="Y71" s="5"/>
    </row>
    <row r="72" spans="1:25" ht="13.8">
      <c r="A72" s="2">
        <v>43624</v>
      </c>
      <c r="B72" s="3">
        <f ca="1">IFERROR(__xludf.DUMMYFUNCTION("split(W72, "" | "")"),12.1)</f>
        <v>12.1</v>
      </c>
      <c r="C72" s="3">
        <f ca="1">IFERROR(__xludf.DUMMYFUNCTION("""COMPUTED_VALUE"""),10)</f>
        <v>10</v>
      </c>
      <c r="D72" s="3">
        <f ca="1">IFERROR(__xludf.DUMMYFUNCTION("""COMPUTED_VALUE"""),14.2)</f>
        <v>14.2</v>
      </c>
      <c r="E72" s="3">
        <f ca="1">IFERROR(__xludf.DUMMYFUNCTION("""COMPUTED_VALUE"""),61.7)</f>
        <v>61.7</v>
      </c>
      <c r="F72" s="3">
        <f ca="1">IFERROR(__xludf.DUMMYFUNCTION("""COMPUTED_VALUE"""),22.1)</f>
        <v>22.1</v>
      </c>
      <c r="G72" s="3">
        <f ca="1">IFERROR(__xludf.DUMMYFUNCTION("""COMPUTED_VALUE"""),75.9)</f>
        <v>75.900000000000006</v>
      </c>
      <c r="H72" s="3">
        <f ca="1">IFERROR(__xludf.DUMMYFUNCTION("""COMPUTED_VALUE"""),2.1)</f>
        <v>2.1</v>
      </c>
      <c r="I72" s="4">
        <f ca="1">IFERROR(__xludf.DUMMYFUNCTION("split(X72, "" | "")"),24.8)</f>
        <v>24.8</v>
      </c>
      <c r="J72" s="3">
        <f ca="1">IFERROR(__xludf.DUMMYFUNCTION("""COMPUTED_VALUE"""),25)</f>
        <v>25</v>
      </c>
      <c r="K72" s="3">
        <f ca="1">IFERROR(__xludf.DUMMYFUNCTION("""COMPUTED_VALUE"""),14.1)</f>
        <v>14.1</v>
      </c>
      <c r="L72" s="3">
        <f ca="1">IFERROR(__xludf.DUMMYFUNCTION("""COMPUTED_VALUE"""),31.5)</f>
        <v>31.5</v>
      </c>
      <c r="M72" s="3">
        <f ca="1">IFERROR(__xludf.DUMMYFUNCTION("""COMPUTED_VALUE"""),49.8)</f>
        <v>49.8</v>
      </c>
      <c r="N72" s="3">
        <f ca="1">IFERROR(__xludf.DUMMYFUNCTION("""COMPUTED_VALUE"""),45.7)</f>
        <v>45.7</v>
      </c>
      <c r="O72" s="3">
        <f ca="1">IFERROR(__xludf.DUMMYFUNCTION("""COMPUTED_VALUE"""),4.5)</f>
        <v>4.5</v>
      </c>
      <c r="P72" s="3">
        <f ca="1">IFERROR(__xludf.DUMMYFUNCTION("split(Y72, "" | "")"),46.1)</f>
        <v>46.1</v>
      </c>
      <c r="Q72" s="3">
        <f ca="1">IFERROR(__xludf.DUMMYFUNCTION("""COMPUTED_VALUE"""),30.6)</f>
        <v>30.6</v>
      </c>
      <c r="R72" s="3">
        <f ca="1">IFERROR(__xludf.DUMMYFUNCTION("""COMPUTED_VALUE"""),9.8)</f>
        <v>9.8000000000000007</v>
      </c>
      <c r="S72" s="3">
        <f ca="1">IFERROR(__xludf.DUMMYFUNCTION("""COMPUTED_VALUE"""),10.3)</f>
        <v>10.3</v>
      </c>
      <c r="T72" s="3">
        <f ca="1">IFERROR(__xludf.DUMMYFUNCTION("""COMPUTED_VALUE"""),76.7)</f>
        <v>76.7</v>
      </c>
      <c r="U72" s="3">
        <f ca="1">IFERROR(__xludf.DUMMYFUNCTION("""COMPUTED_VALUE"""),20.2)</f>
        <v>20.2</v>
      </c>
      <c r="V72" s="3">
        <f ca="1">IFERROR(__xludf.DUMMYFUNCTION("""COMPUTED_VALUE"""),3.1)</f>
        <v>3.1</v>
      </c>
      <c r="W72" s="5"/>
      <c r="X72" s="5"/>
      <c r="Y72" s="5"/>
    </row>
    <row r="73" spans="1:25" ht="13.8">
      <c r="A73" s="2">
        <v>43631</v>
      </c>
      <c r="B73" s="3">
        <f ca="1">IFERROR(__xludf.DUMMYFUNCTION("split(W73, "" | "")"),11.8)</f>
        <v>11.8</v>
      </c>
      <c r="C73" s="3">
        <f ca="1">IFERROR(__xludf.DUMMYFUNCTION("""COMPUTED_VALUE"""),8.5)</f>
        <v>8.5</v>
      </c>
      <c r="D73" s="3">
        <f ca="1">IFERROR(__xludf.DUMMYFUNCTION("""COMPUTED_VALUE"""),12.9)</f>
        <v>12.9</v>
      </c>
      <c r="E73" s="3">
        <f ca="1">IFERROR(__xludf.DUMMYFUNCTION("""COMPUTED_VALUE"""),65.6)</f>
        <v>65.599999999999994</v>
      </c>
      <c r="F73" s="3">
        <f ca="1">IFERROR(__xludf.DUMMYFUNCTION("""COMPUTED_VALUE"""),20.3)</f>
        <v>20.3</v>
      </c>
      <c r="G73" s="3">
        <f ca="1">IFERROR(__xludf.DUMMYFUNCTION("""COMPUTED_VALUE"""),78.5)</f>
        <v>78.5</v>
      </c>
      <c r="H73" s="3">
        <f ca="1">IFERROR(__xludf.DUMMYFUNCTION("""COMPUTED_VALUE"""),1.2)</f>
        <v>1.2</v>
      </c>
      <c r="I73" s="4">
        <f ca="1">IFERROR(__xludf.DUMMYFUNCTION("split(X73, "" | "")"),19)</f>
        <v>19</v>
      </c>
      <c r="J73" s="3">
        <f ca="1">IFERROR(__xludf.DUMMYFUNCTION("""COMPUTED_VALUE"""),22.8)</f>
        <v>22.8</v>
      </c>
      <c r="K73" s="3">
        <f ca="1">IFERROR(__xludf.DUMMYFUNCTION("""COMPUTED_VALUE"""),19.6)</f>
        <v>19.600000000000001</v>
      </c>
      <c r="L73" s="3">
        <f ca="1">IFERROR(__xludf.DUMMYFUNCTION("""COMPUTED_VALUE"""),33.6)</f>
        <v>33.6</v>
      </c>
      <c r="M73" s="3">
        <f ca="1">IFERROR(__xludf.DUMMYFUNCTION("""COMPUTED_VALUE"""),41.8)</f>
        <v>41.8</v>
      </c>
      <c r="N73" s="3">
        <f ca="1">IFERROR(__xludf.DUMMYFUNCTION("""COMPUTED_VALUE"""),53.1)</f>
        <v>53.1</v>
      </c>
      <c r="O73" s="3">
        <f ca="1">IFERROR(__xludf.DUMMYFUNCTION("""COMPUTED_VALUE"""),5)</f>
        <v>5</v>
      </c>
      <c r="P73" s="3">
        <f ca="1">IFERROR(__xludf.DUMMYFUNCTION("split(Y73, "" | "")"),37.9)</f>
        <v>37.9</v>
      </c>
      <c r="Q73" s="3">
        <f ca="1">IFERROR(__xludf.DUMMYFUNCTION("""COMPUTED_VALUE"""),36.6)</f>
        <v>36.6</v>
      </c>
      <c r="R73" s="3">
        <f ca="1">IFERROR(__xludf.DUMMYFUNCTION("""COMPUTED_VALUE"""),7.4)</f>
        <v>7.4</v>
      </c>
      <c r="S73" s="3">
        <f ca="1">IFERROR(__xludf.DUMMYFUNCTION("""COMPUTED_VALUE"""),14)</f>
        <v>14</v>
      </c>
      <c r="T73" s="3">
        <f ca="1">IFERROR(__xludf.DUMMYFUNCTION("""COMPUTED_VALUE"""),74.5)</f>
        <v>74.5</v>
      </c>
      <c r="U73" s="3">
        <f ca="1">IFERROR(__xludf.DUMMYFUNCTION("""COMPUTED_VALUE"""),21.4)</f>
        <v>21.4</v>
      </c>
      <c r="V73" s="3">
        <f ca="1">IFERROR(__xludf.DUMMYFUNCTION("""COMPUTED_VALUE"""),4.1)</f>
        <v>4.0999999999999996</v>
      </c>
      <c r="W73" s="5"/>
      <c r="X73" s="5"/>
      <c r="Y73" s="5"/>
    </row>
    <row r="74" spans="1:25" ht="13.8">
      <c r="A74" s="2">
        <v>43638</v>
      </c>
      <c r="B74" s="3">
        <f ca="1">IFERROR(__xludf.DUMMYFUNCTION("split(W74, "" | "")"),12.1)</f>
        <v>12.1</v>
      </c>
      <c r="C74" s="3">
        <f ca="1">IFERROR(__xludf.DUMMYFUNCTION("""COMPUTED_VALUE"""),6.8)</f>
        <v>6.8</v>
      </c>
      <c r="D74" s="3">
        <f ca="1">IFERROR(__xludf.DUMMYFUNCTION("""COMPUTED_VALUE"""),17.1)</f>
        <v>17.100000000000001</v>
      </c>
      <c r="E74" s="3">
        <f ca="1">IFERROR(__xludf.DUMMYFUNCTION("""COMPUTED_VALUE"""),61.4)</f>
        <v>61.4</v>
      </c>
      <c r="F74" s="3">
        <f ca="1">IFERROR(__xludf.DUMMYFUNCTION("""COMPUTED_VALUE"""),18.8)</f>
        <v>18.8</v>
      </c>
      <c r="G74" s="3">
        <f ca="1">IFERROR(__xludf.DUMMYFUNCTION("""COMPUTED_VALUE"""),78.5)</f>
        <v>78.5</v>
      </c>
      <c r="H74" s="3">
        <f ca="1">IFERROR(__xludf.DUMMYFUNCTION("""COMPUTED_VALUE"""),2.6)</f>
        <v>2.6</v>
      </c>
      <c r="I74" s="4">
        <f ca="1">IFERROR(__xludf.DUMMYFUNCTION("split(X74, "" | "")"),20.6)</f>
        <v>20.6</v>
      </c>
      <c r="J74" s="3">
        <f ca="1">IFERROR(__xludf.DUMMYFUNCTION("""COMPUTED_VALUE"""),26.1)</f>
        <v>26.1</v>
      </c>
      <c r="K74" s="3">
        <f ca="1">IFERROR(__xludf.DUMMYFUNCTION("""COMPUTED_VALUE"""),17.5)</f>
        <v>17.5</v>
      </c>
      <c r="L74" s="3">
        <f ca="1">IFERROR(__xludf.DUMMYFUNCTION("""COMPUTED_VALUE"""),30.8)</f>
        <v>30.8</v>
      </c>
      <c r="M74" s="3">
        <f ca="1">IFERROR(__xludf.DUMMYFUNCTION("""COMPUTED_VALUE"""),46.7)</f>
        <v>46.7</v>
      </c>
      <c r="N74" s="3">
        <f ca="1">IFERROR(__xludf.DUMMYFUNCTION("""COMPUTED_VALUE"""),48.3)</f>
        <v>48.3</v>
      </c>
      <c r="O74" s="3">
        <f ca="1">IFERROR(__xludf.DUMMYFUNCTION("""COMPUTED_VALUE"""),5)</f>
        <v>5</v>
      </c>
      <c r="P74" s="3">
        <f ca="1">IFERROR(__xludf.DUMMYFUNCTION("split(Y74, "" | "")"),44.8)</f>
        <v>44.8</v>
      </c>
      <c r="Q74" s="3">
        <f ca="1">IFERROR(__xludf.DUMMYFUNCTION("""COMPUTED_VALUE"""),30.4)</f>
        <v>30.4</v>
      </c>
      <c r="R74" s="3">
        <f ca="1">IFERROR(__xludf.DUMMYFUNCTION("""COMPUTED_VALUE"""),10.5)</f>
        <v>10.5</v>
      </c>
      <c r="S74" s="3">
        <f ca="1">IFERROR(__xludf.DUMMYFUNCTION("""COMPUTED_VALUE"""),10.8)</f>
        <v>10.8</v>
      </c>
      <c r="T74" s="3">
        <f ca="1">IFERROR(__xludf.DUMMYFUNCTION("""COMPUTED_VALUE"""),75.1)</f>
        <v>75.099999999999994</v>
      </c>
      <c r="U74" s="3">
        <f ca="1">IFERROR(__xludf.DUMMYFUNCTION("""COMPUTED_VALUE"""),21.4)</f>
        <v>21.4</v>
      </c>
      <c r="V74" s="3">
        <f ca="1">IFERROR(__xludf.DUMMYFUNCTION("""COMPUTED_VALUE"""),3.5)</f>
        <v>3.5</v>
      </c>
      <c r="W74" s="5"/>
      <c r="X74" s="5"/>
      <c r="Y74" s="5"/>
    </row>
    <row r="75" spans="1:25" ht="13.8">
      <c r="A75" s="2">
        <v>43645</v>
      </c>
      <c r="B75" s="3">
        <f ca="1">IFERROR(__xludf.DUMMYFUNCTION("split(W75, "" | "")"),14.3)</f>
        <v>14.3</v>
      </c>
      <c r="C75" s="3">
        <f ca="1">IFERROR(__xludf.DUMMYFUNCTION("""COMPUTED_VALUE"""),6.9)</f>
        <v>6.9</v>
      </c>
      <c r="D75" s="3">
        <f ca="1">IFERROR(__xludf.DUMMYFUNCTION("""COMPUTED_VALUE"""),19.4)</f>
        <v>19.399999999999999</v>
      </c>
      <c r="E75" s="3">
        <f ca="1">IFERROR(__xludf.DUMMYFUNCTION("""COMPUTED_VALUE"""),56.8)</f>
        <v>56.8</v>
      </c>
      <c r="F75" s="3">
        <f ca="1">IFERROR(__xludf.DUMMYFUNCTION("""COMPUTED_VALUE"""),21.3)</f>
        <v>21.3</v>
      </c>
      <c r="G75" s="3">
        <f ca="1">IFERROR(__xludf.DUMMYFUNCTION("""COMPUTED_VALUE"""),76.2)</f>
        <v>76.2</v>
      </c>
      <c r="H75" s="3">
        <f ca="1">IFERROR(__xludf.DUMMYFUNCTION("""COMPUTED_VALUE"""),2.5)</f>
        <v>2.5</v>
      </c>
      <c r="I75" s="4">
        <f ca="1">IFERROR(__xludf.DUMMYFUNCTION("split(X75, "" | "")"),27.1)</f>
        <v>27.1</v>
      </c>
      <c r="J75" s="3">
        <f ca="1">IFERROR(__xludf.DUMMYFUNCTION("""COMPUTED_VALUE"""),23)</f>
        <v>23</v>
      </c>
      <c r="K75" s="3">
        <f ca="1">IFERROR(__xludf.DUMMYFUNCTION("""COMPUTED_VALUE"""),17.8)</f>
        <v>17.8</v>
      </c>
      <c r="L75" s="3">
        <f ca="1">IFERROR(__xludf.DUMMYFUNCTION("""COMPUTED_VALUE"""),27.5)</f>
        <v>27.5</v>
      </c>
      <c r="M75" s="3">
        <f ca="1">IFERROR(__xludf.DUMMYFUNCTION("""COMPUTED_VALUE"""),50.1)</f>
        <v>50.1</v>
      </c>
      <c r="N75" s="3">
        <f ca="1">IFERROR(__xludf.DUMMYFUNCTION("""COMPUTED_VALUE"""),45.2)</f>
        <v>45.2</v>
      </c>
      <c r="O75" s="3">
        <f ca="1">IFERROR(__xludf.DUMMYFUNCTION("""COMPUTED_VALUE"""),4.7)</f>
        <v>4.7</v>
      </c>
      <c r="P75" s="3">
        <f ca="1">IFERROR(__xludf.DUMMYFUNCTION("split(Y75, "" | "")"),48.8)</f>
        <v>48.8</v>
      </c>
      <c r="Q75" s="3">
        <f ca="1">IFERROR(__xludf.DUMMYFUNCTION("""COMPUTED_VALUE"""),29)</f>
        <v>29</v>
      </c>
      <c r="R75" s="3">
        <f ca="1">IFERROR(__xludf.DUMMYFUNCTION("""COMPUTED_VALUE"""),6.2)</f>
        <v>6.2</v>
      </c>
      <c r="S75" s="3">
        <f ca="1">IFERROR(__xludf.DUMMYFUNCTION("""COMPUTED_VALUE"""),13.1)</f>
        <v>13.1</v>
      </c>
      <c r="T75" s="3">
        <f ca="1">IFERROR(__xludf.DUMMYFUNCTION("""COMPUTED_VALUE"""),77.9)</f>
        <v>77.900000000000006</v>
      </c>
      <c r="U75" s="3">
        <f ca="1">IFERROR(__xludf.DUMMYFUNCTION("""COMPUTED_VALUE"""),19.4)</f>
        <v>19.399999999999999</v>
      </c>
      <c r="V75" s="3">
        <f ca="1">IFERROR(__xludf.DUMMYFUNCTION("""COMPUTED_VALUE"""),2.7)</f>
        <v>2.7</v>
      </c>
      <c r="W75" s="5"/>
      <c r="X75" s="5"/>
      <c r="Y75" s="5"/>
    </row>
    <row r="76" spans="1:25" ht="13.8">
      <c r="A76" s="2">
        <v>43652</v>
      </c>
      <c r="B76" s="3">
        <f ca="1">IFERROR(__xludf.DUMMYFUNCTION("split(W76, "" | "")"),13.7)</f>
        <v>13.7</v>
      </c>
      <c r="C76" s="3">
        <f ca="1">IFERROR(__xludf.DUMMYFUNCTION("""COMPUTED_VALUE"""),7.8)</f>
        <v>7.8</v>
      </c>
      <c r="D76" s="3">
        <f ca="1">IFERROR(__xludf.DUMMYFUNCTION("""COMPUTED_VALUE"""),13.9)</f>
        <v>13.9</v>
      </c>
      <c r="E76" s="3">
        <f ca="1">IFERROR(__xludf.DUMMYFUNCTION("""COMPUTED_VALUE"""),61.7)</f>
        <v>61.7</v>
      </c>
      <c r="F76" s="3">
        <f ca="1">IFERROR(__xludf.DUMMYFUNCTION("""COMPUTED_VALUE"""),21.5)</f>
        <v>21.5</v>
      </c>
      <c r="G76" s="3">
        <f ca="1">IFERROR(__xludf.DUMMYFUNCTION("""COMPUTED_VALUE"""),75.6)</f>
        <v>75.599999999999994</v>
      </c>
      <c r="H76" s="3">
        <f ca="1">IFERROR(__xludf.DUMMYFUNCTION("""COMPUTED_VALUE"""),2.9)</f>
        <v>2.9</v>
      </c>
      <c r="I76" s="4">
        <f ca="1">IFERROR(__xludf.DUMMYFUNCTION("split(X76, "" | "")"),23.6)</f>
        <v>23.6</v>
      </c>
      <c r="J76" s="3">
        <f ca="1">IFERROR(__xludf.DUMMYFUNCTION("""COMPUTED_VALUE"""),24.5)</f>
        <v>24.5</v>
      </c>
      <c r="K76" s="3">
        <f ca="1">IFERROR(__xludf.DUMMYFUNCTION("""COMPUTED_VALUE"""),14.2)</f>
        <v>14.2</v>
      </c>
      <c r="L76" s="3">
        <f ca="1">IFERROR(__xludf.DUMMYFUNCTION("""COMPUTED_VALUE"""),33.8)</f>
        <v>33.799999999999997</v>
      </c>
      <c r="M76" s="3">
        <f ca="1">IFERROR(__xludf.DUMMYFUNCTION("""COMPUTED_VALUE"""),48)</f>
        <v>48</v>
      </c>
      <c r="N76" s="3">
        <f ca="1">IFERROR(__xludf.DUMMYFUNCTION("""COMPUTED_VALUE"""),48)</f>
        <v>48</v>
      </c>
      <c r="O76" s="3">
        <f ca="1">IFERROR(__xludf.DUMMYFUNCTION("""COMPUTED_VALUE"""),4)</f>
        <v>4</v>
      </c>
      <c r="P76" s="3">
        <f ca="1">IFERROR(__xludf.DUMMYFUNCTION("split(Y76, "" | "")"),43.8)</f>
        <v>43.8</v>
      </c>
      <c r="Q76" s="3">
        <f ca="1">IFERROR(__xludf.DUMMYFUNCTION("""COMPUTED_VALUE"""),30.7)</f>
        <v>30.7</v>
      </c>
      <c r="R76" s="3">
        <f ca="1">IFERROR(__xludf.DUMMYFUNCTION("""COMPUTED_VALUE"""),10.7)</f>
        <v>10.7</v>
      </c>
      <c r="S76" s="3">
        <f ca="1">IFERROR(__xludf.DUMMYFUNCTION("""COMPUTED_VALUE"""),11.6)</f>
        <v>11.6</v>
      </c>
      <c r="T76" s="3">
        <f ca="1">IFERROR(__xludf.DUMMYFUNCTION("""COMPUTED_VALUE"""),74.5)</f>
        <v>74.5</v>
      </c>
      <c r="U76" s="3">
        <f ca="1">IFERROR(__xludf.DUMMYFUNCTION("""COMPUTED_VALUE"""),22.3)</f>
        <v>22.3</v>
      </c>
      <c r="V76" s="3">
        <f ca="1">IFERROR(__xludf.DUMMYFUNCTION("""COMPUTED_VALUE"""),3.2)</f>
        <v>3.2</v>
      </c>
      <c r="W76" s="5"/>
      <c r="X76" s="5"/>
      <c r="Y76" s="5"/>
    </row>
    <row r="77" spans="1:25" ht="13.8">
      <c r="A77" s="2">
        <v>43659</v>
      </c>
      <c r="B77" s="3">
        <f ca="1">IFERROR(__xludf.DUMMYFUNCTION("split(W77, "" | "")"),9.9)</f>
        <v>9.9</v>
      </c>
      <c r="C77" s="3">
        <f ca="1">IFERROR(__xludf.DUMMYFUNCTION("""COMPUTED_VALUE"""),7.9)</f>
        <v>7.9</v>
      </c>
      <c r="D77" s="3">
        <f ca="1">IFERROR(__xludf.DUMMYFUNCTION("""COMPUTED_VALUE"""),14.6)</f>
        <v>14.6</v>
      </c>
      <c r="E77" s="3">
        <f ca="1">IFERROR(__xludf.DUMMYFUNCTION("""COMPUTED_VALUE"""),63.9)</f>
        <v>63.9</v>
      </c>
      <c r="F77" s="3">
        <f ca="1">IFERROR(__xludf.DUMMYFUNCTION("""COMPUTED_VALUE"""),17.8)</f>
        <v>17.8</v>
      </c>
      <c r="G77" s="3">
        <f ca="1">IFERROR(__xludf.DUMMYFUNCTION("""COMPUTED_VALUE"""),78.5)</f>
        <v>78.5</v>
      </c>
      <c r="H77" s="3">
        <f ca="1">IFERROR(__xludf.DUMMYFUNCTION("""COMPUTED_VALUE"""),3.6)</f>
        <v>3.6</v>
      </c>
      <c r="I77" s="4">
        <f ca="1">IFERROR(__xludf.DUMMYFUNCTION("split(X77, "" | "")"),26.7)</f>
        <v>26.7</v>
      </c>
      <c r="J77" s="3">
        <f ca="1">IFERROR(__xludf.DUMMYFUNCTION("""COMPUTED_VALUE"""),25.2)</f>
        <v>25.2</v>
      </c>
      <c r="K77" s="3">
        <f ca="1">IFERROR(__xludf.DUMMYFUNCTION("""COMPUTED_VALUE"""),15.4)</f>
        <v>15.4</v>
      </c>
      <c r="L77" s="3">
        <f ca="1">IFERROR(__xludf.DUMMYFUNCTION("""COMPUTED_VALUE"""),28.8)</f>
        <v>28.8</v>
      </c>
      <c r="M77" s="3">
        <f ca="1">IFERROR(__xludf.DUMMYFUNCTION("""COMPUTED_VALUE"""),51.9)</f>
        <v>51.9</v>
      </c>
      <c r="N77" s="3">
        <f ca="1">IFERROR(__xludf.DUMMYFUNCTION("""COMPUTED_VALUE"""),44.3)</f>
        <v>44.3</v>
      </c>
      <c r="O77" s="3">
        <f ca="1">IFERROR(__xludf.DUMMYFUNCTION("""COMPUTED_VALUE"""),3.8)</f>
        <v>3.8</v>
      </c>
      <c r="P77" s="3">
        <f ca="1">IFERROR(__xludf.DUMMYFUNCTION("split(Y77, "" | "")"),51.3)</f>
        <v>51.3</v>
      </c>
      <c r="Q77" s="3">
        <f ca="1">IFERROR(__xludf.DUMMYFUNCTION("""COMPUTED_VALUE"""),27.1)</f>
        <v>27.1</v>
      </c>
      <c r="R77" s="3">
        <f ca="1">IFERROR(__xludf.DUMMYFUNCTION("""COMPUTED_VALUE"""),8)</f>
        <v>8</v>
      </c>
      <c r="S77" s="3">
        <f ca="1">IFERROR(__xludf.DUMMYFUNCTION("""COMPUTED_VALUE"""),10.6)</f>
        <v>10.6</v>
      </c>
      <c r="T77" s="3">
        <f ca="1">IFERROR(__xludf.DUMMYFUNCTION("""COMPUTED_VALUE"""),78.4)</f>
        <v>78.400000000000006</v>
      </c>
      <c r="U77" s="3">
        <f ca="1">IFERROR(__xludf.DUMMYFUNCTION("""COMPUTED_VALUE"""),18.6)</f>
        <v>18.600000000000001</v>
      </c>
      <c r="V77" s="3">
        <f ca="1">IFERROR(__xludf.DUMMYFUNCTION("""COMPUTED_VALUE"""),3)</f>
        <v>3</v>
      </c>
      <c r="W77" s="5"/>
      <c r="X77" s="5"/>
      <c r="Y77" s="5"/>
    </row>
    <row r="78" spans="1:25" ht="13.8">
      <c r="A78" s="2">
        <v>43666</v>
      </c>
      <c r="B78" s="3">
        <f ca="1">IFERROR(__xludf.DUMMYFUNCTION("split(W78, "" | "")"),14.3)</f>
        <v>14.3</v>
      </c>
      <c r="C78" s="3">
        <f ca="1">IFERROR(__xludf.DUMMYFUNCTION("""COMPUTED_VALUE"""),9.5)</f>
        <v>9.5</v>
      </c>
      <c r="D78" s="3">
        <f ca="1">IFERROR(__xludf.DUMMYFUNCTION("""COMPUTED_VALUE"""),18.3)</f>
        <v>18.3</v>
      </c>
      <c r="E78" s="3">
        <f ca="1">IFERROR(__xludf.DUMMYFUNCTION("""COMPUTED_VALUE"""),55.1)</f>
        <v>55.1</v>
      </c>
      <c r="F78" s="3">
        <f ca="1">IFERROR(__xludf.DUMMYFUNCTION("""COMPUTED_VALUE"""),23.8)</f>
        <v>23.8</v>
      </c>
      <c r="G78" s="3">
        <f ca="1">IFERROR(__xludf.DUMMYFUNCTION("""COMPUTED_VALUE"""),73.3)</f>
        <v>73.3</v>
      </c>
      <c r="H78" s="3">
        <f ca="1">IFERROR(__xludf.DUMMYFUNCTION("""COMPUTED_VALUE"""),2.8)</f>
        <v>2.8</v>
      </c>
      <c r="I78" s="4">
        <f ca="1">IFERROR(__xludf.DUMMYFUNCTION("split(X78, "" | "")"),27.8)</f>
        <v>27.8</v>
      </c>
      <c r="J78" s="3">
        <f ca="1">IFERROR(__xludf.DUMMYFUNCTION("""COMPUTED_VALUE"""),23.1)</f>
        <v>23.1</v>
      </c>
      <c r="K78" s="3">
        <f ca="1">IFERROR(__xludf.DUMMYFUNCTION("""COMPUTED_VALUE"""),18.1)</f>
        <v>18.100000000000001</v>
      </c>
      <c r="L78" s="3">
        <f ca="1">IFERROR(__xludf.DUMMYFUNCTION("""COMPUTED_VALUE"""),28.3)</f>
        <v>28.3</v>
      </c>
      <c r="M78" s="3">
        <f ca="1">IFERROR(__xludf.DUMMYFUNCTION("""COMPUTED_VALUE"""),50.9)</f>
        <v>50.9</v>
      </c>
      <c r="N78" s="3">
        <f ca="1">IFERROR(__xludf.DUMMYFUNCTION("""COMPUTED_VALUE"""),46.4)</f>
        <v>46.4</v>
      </c>
      <c r="O78" s="3">
        <f ca="1">IFERROR(__xludf.DUMMYFUNCTION("""COMPUTED_VALUE"""),2.7)</f>
        <v>2.7</v>
      </c>
      <c r="P78" s="3">
        <f ca="1">IFERROR(__xludf.DUMMYFUNCTION("split(Y78, "" | "")"),52.3)</f>
        <v>52.3</v>
      </c>
      <c r="Q78" s="3">
        <f ca="1">IFERROR(__xludf.DUMMYFUNCTION("""COMPUTED_VALUE"""),26)</f>
        <v>26</v>
      </c>
      <c r="R78" s="3">
        <f ca="1">IFERROR(__xludf.DUMMYFUNCTION("""COMPUTED_VALUE"""),9.1)</f>
        <v>9.1</v>
      </c>
      <c r="S78" s="3">
        <f ca="1">IFERROR(__xludf.DUMMYFUNCTION("""COMPUTED_VALUE"""),8.8)</f>
        <v>8.8000000000000007</v>
      </c>
      <c r="T78" s="3">
        <f ca="1">IFERROR(__xludf.DUMMYFUNCTION("""COMPUTED_VALUE"""),78.3)</f>
        <v>78.3</v>
      </c>
      <c r="U78" s="3">
        <f ca="1">IFERROR(__xludf.DUMMYFUNCTION("""COMPUTED_VALUE"""),17.9)</f>
        <v>17.899999999999999</v>
      </c>
      <c r="V78" s="3">
        <f ca="1">IFERROR(__xludf.DUMMYFUNCTION("""COMPUTED_VALUE"""),3.8)</f>
        <v>3.8</v>
      </c>
      <c r="W78" s="5"/>
      <c r="X78" s="5"/>
      <c r="Y78" s="5"/>
    </row>
    <row r="79" spans="1:25" ht="13.8">
      <c r="A79" s="2">
        <v>43673</v>
      </c>
      <c r="B79" s="3"/>
      <c r="I79" s="4"/>
      <c r="P79" s="3"/>
    </row>
    <row r="80" spans="1:25" ht="13.8">
      <c r="A80" s="2">
        <v>43680</v>
      </c>
      <c r="B80" s="3">
        <f ca="1">IFERROR(__xludf.DUMMYFUNCTION("split(W80, "" | "")"),13.6)</f>
        <v>13.6</v>
      </c>
      <c r="C80" s="3">
        <f ca="1">IFERROR(__xludf.DUMMYFUNCTION("""COMPUTED_VALUE"""),7.3)</f>
        <v>7.3</v>
      </c>
      <c r="D80" s="3">
        <f ca="1">IFERROR(__xludf.DUMMYFUNCTION("""COMPUTED_VALUE"""),10.7)</f>
        <v>10.7</v>
      </c>
      <c r="E80" s="3">
        <f ca="1">IFERROR(__xludf.DUMMYFUNCTION("""COMPUTED_VALUE"""),64.6)</f>
        <v>64.599999999999994</v>
      </c>
      <c r="F80" s="3">
        <f ca="1">IFERROR(__xludf.DUMMYFUNCTION("""COMPUTED_VALUE"""),20.9)</f>
        <v>20.9</v>
      </c>
      <c r="G80" s="3">
        <f ca="1">IFERROR(__xludf.DUMMYFUNCTION("""COMPUTED_VALUE"""),75.3)</f>
        <v>75.3</v>
      </c>
      <c r="H80" s="3">
        <f ca="1">IFERROR(__xludf.DUMMYFUNCTION("""COMPUTED_VALUE"""),3.8)</f>
        <v>3.8</v>
      </c>
      <c r="I80" s="4">
        <f ca="1">IFERROR(__xludf.DUMMYFUNCTION("split(X80, "" | "")"),26.5)</f>
        <v>26.5</v>
      </c>
      <c r="J80" s="3">
        <f ca="1">IFERROR(__xludf.DUMMYFUNCTION("""COMPUTED_VALUE"""),22.6)</f>
        <v>22.6</v>
      </c>
      <c r="K80" s="3">
        <f ca="1">IFERROR(__xludf.DUMMYFUNCTION("""COMPUTED_VALUE"""),14.1)</f>
        <v>14.1</v>
      </c>
      <c r="L80" s="3">
        <f ca="1">IFERROR(__xludf.DUMMYFUNCTION("""COMPUTED_VALUE"""),32.7)</f>
        <v>32.700000000000003</v>
      </c>
      <c r="M80" s="3">
        <f ca="1">IFERROR(__xludf.DUMMYFUNCTION("""COMPUTED_VALUE"""),49.1)</f>
        <v>49.1</v>
      </c>
      <c r="N80" s="3">
        <f ca="1">IFERROR(__xludf.DUMMYFUNCTION("""COMPUTED_VALUE"""),46.8)</f>
        <v>46.8</v>
      </c>
      <c r="O80" s="3">
        <f ca="1">IFERROR(__xludf.DUMMYFUNCTION("""COMPUTED_VALUE"""),4.1)</f>
        <v>4.0999999999999996</v>
      </c>
      <c r="P80" s="3">
        <f ca="1">IFERROR(__xludf.DUMMYFUNCTION("split(Y80, "" | "")"),51.2)</f>
        <v>51.2</v>
      </c>
      <c r="Q80" s="3">
        <f ca="1">IFERROR(__xludf.DUMMYFUNCTION("""COMPUTED_VALUE"""),27)</f>
        <v>27</v>
      </c>
      <c r="R80" s="3">
        <f ca="1">IFERROR(__xludf.DUMMYFUNCTION("""COMPUTED_VALUE"""),7.4)</f>
        <v>7.4</v>
      </c>
      <c r="S80" s="3">
        <f ca="1">IFERROR(__xludf.DUMMYFUNCTION("""COMPUTED_VALUE"""),11.9)</f>
        <v>11.9</v>
      </c>
      <c r="T80" s="3">
        <f ca="1">IFERROR(__xludf.DUMMYFUNCTION("""COMPUTED_VALUE"""),78.2)</f>
        <v>78.2</v>
      </c>
      <c r="U80" s="3">
        <f ca="1">IFERROR(__xludf.DUMMYFUNCTION("""COMPUTED_VALUE"""),19.3)</f>
        <v>19.3</v>
      </c>
      <c r="V80" s="3">
        <f ca="1">IFERROR(__xludf.DUMMYFUNCTION("""COMPUTED_VALUE"""),2.6)</f>
        <v>2.6</v>
      </c>
      <c r="W80" s="5"/>
      <c r="X80" s="5"/>
      <c r="Y80" s="5"/>
    </row>
    <row r="81" spans="1:25" ht="13.8">
      <c r="A81" s="2">
        <v>43687</v>
      </c>
      <c r="B81" s="3">
        <f ca="1">IFERROR(__xludf.DUMMYFUNCTION("split(W81, "" | "")"),12.4)</f>
        <v>12.4</v>
      </c>
      <c r="C81" s="3">
        <f ca="1">IFERROR(__xludf.DUMMYFUNCTION("""COMPUTED_VALUE"""),9.4)</f>
        <v>9.4</v>
      </c>
      <c r="D81" s="3">
        <f ca="1">IFERROR(__xludf.DUMMYFUNCTION("""COMPUTED_VALUE"""),14.8)</f>
        <v>14.8</v>
      </c>
      <c r="E81" s="3">
        <f ca="1">IFERROR(__xludf.DUMMYFUNCTION("""COMPUTED_VALUE"""),60.5)</f>
        <v>60.5</v>
      </c>
      <c r="F81" s="3">
        <f ca="1">IFERROR(__xludf.DUMMYFUNCTION("""COMPUTED_VALUE"""),21.8)</f>
        <v>21.8</v>
      </c>
      <c r="G81" s="3">
        <f ca="1">IFERROR(__xludf.DUMMYFUNCTION("""COMPUTED_VALUE"""),75.3)</f>
        <v>75.3</v>
      </c>
      <c r="H81" s="3">
        <f ca="1">IFERROR(__xludf.DUMMYFUNCTION("""COMPUTED_VALUE"""),2.9)</f>
        <v>2.9</v>
      </c>
      <c r="I81" s="4">
        <f ca="1">IFERROR(__xludf.DUMMYFUNCTION("split(X81, "" | "")"),25.9)</f>
        <v>25.9</v>
      </c>
      <c r="J81" s="3">
        <f ca="1">IFERROR(__xludf.DUMMYFUNCTION("""COMPUTED_VALUE"""),22.9)</f>
        <v>22.9</v>
      </c>
      <c r="K81" s="3">
        <f ca="1">IFERROR(__xludf.DUMMYFUNCTION("""COMPUTED_VALUE"""),14.9)</f>
        <v>14.9</v>
      </c>
      <c r="L81" s="3">
        <f ca="1">IFERROR(__xludf.DUMMYFUNCTION("""COMPUTED_VALUE"""),32.7)</f>
        <v>32.700000000000003</v>
      </c>
      <c r="M81" s="3">
        <f ca="1">IFERROR(__xludf.DUMMYFUNCTION("""COMPUTED_VALUE"""),48.8)</f>
        <v>48.8</v>
      </c>
      <c r="N81" s="3">
        <f ca="1">IFERROR(__xludf.DUMMYFUNCTION("""COMPUTED_VALUE"""),47.6)</f>
        <v>47.6</v>
      </c>
      <c r="O81" s="3">
        <f ca="1">IFERROR(__xludf.DUMMYFUNCTION("""COMPUTED_VALUE"""),3.6)</f>
        <v>3.6</v>
      </c>
      <c r="P81" s="3">
        <f ca="1">IFERROR(__xludf.DUMMYFUNCTION("split(Y81, "" | "")"),51)</f>
        <v>51</v>
      </c>
      <c r="Q81" s="3">
        <f ca="1">IFERROR(__xludf.DUMMYFUNCTION("""COMPUTED_VALUE"""),28.3)</f>
        <v>28.3</v>
      </c>
      <c r="R81" s="3">
        <f ca="1">IFERROR(__xludf.DUMMYFUNCTION("""COMPUTED_VALUE"""),6.2)</f>
        <v>6.2</v>
      </c>
      <c r="S81" s="3">
        <f ca="1">IFERROR(__xludf.DUMMYFUNCTION("""COMPUTED_VALUE"""),12.8)</f>
        <v>12.8</v>
      </c>
      <c r="T81" s="3">
        <f ca="1">IFERROR(__xludf.DUMMYFUNCTION("""COMPUTED_VALUE"""),79.3)</f>
        <v>79.3</v>
      </c>
      <c r="U81" s="3">
        <f ca="1">IFERROR(__xludf.DUMMYFUNCTION("""COMPUTED_VALUE"""),19)</f>
        <v>19</v>
      </c>
      <c r="V81" s="3">
        <f ca="1">IFERROR(__xludf.DUMMYFUNCTION("""COMPUTED_VALUE"""),1.7)</f>
        <v>1.7</v>
      </c>
      <c r="W81" s="5"/>
      <c r="X81" s="5"/>
      <c r="Y81" s="5"/>
    </row>
    <row r="82" spans="1:25" ht="13.8">
      <c r="A82" s="2">
        <v>43694</v>
      </c>
      <c r="B82" s="3">
        <f ca="1">IFERROR(__xludf.DUMMYFUNCTION("split(W82, "" | "")"),13.6)</f>
        <v>13.6</v>
      </c>
      <c r="C82" s="3">
        <f ca="1">IFERROR(__xludf.DUMMYFUNCTION("""COMPUTED_VALUE"""),9.4)</f>
        <v>9.4</v>
      </c>
      <c r="D82" s="3">
        <f ca="1">IFERROR(__xludf.DUMMYFUNCTION("""COMPUTED_VALUE"""),11.5)</f>
        <v>11.5</v>
      </c>
      <c r="E82" s="3">
        <f ca="1">IFERROR(__xludf.DUMMYFUNCTION("""COMPUTED_VALUE"""),62.3)</f>
        <v>62.3</v>
      </c>
      <c r="F82" s="3">
        <f ca="1">IFERROR(__xludf.DUMMYFUNCTION("""COMPUTED_VALUE"""),23)</f>
        <v>23</v>
      </c>
      <c r="G82" s="3">
        <f ca="1">IFERROR(__xludf.DUMMYFUNCTION("""COMPUTED_VALUE"""),73.8)</f>
        <v>73.8</v>
      </c>
      <c r="H82" s="3">
        <f ca="1">IFERROR(__xludf.DUMMYFUNCTION("""COMPUTED_VALUE"""),3.2)</f>
        <v>3.2</v>
      </c>
      <c r="I82" s="4">
        <f ca="1">IFERROR(__xludf.DUMMYFUNCTION("split(X82, "" | "")"),20.9)</f>
        <v>20.9</v>
      </c>
      <c r="J82" s="3">
        <f ca="1">IFERROR(__xludf.DUMMYFUNCTION("""COMPUTED_VALUE"""),20)</f>
        <v>20</v>
      </c>
      <c r="K82" s="3">
        <f ca="1">IFERROR(__xludf.DUMMYFUNCTION("""COMPUTED_VALUE"""),18.3)</f>
        <v>18.3</v>
      </c>
      <c r="L82" s="3">
        <f ca="1">IFERROR(__xludf.DUMMYFUNCTION("""COMPUTED_VALUE"""),37.9)</f>
        <v>37.9</v>
      </c>
      <c r="M82" s="3">
        <f ca="1">IFERROR(__xludf.DUMMYFUNCTION("""COMPUTED_VALUE"""),40.9)</f>
        <v>40.9</v>
      </c>
      <c r="N82" s="3">
        <f ca="1">IFERROR(__xludf.DUMMYFUNCTION("""COMPUTED_VALUE"""),56.2)</f>
        <v>56.2</v>
      </c>
      <c r="O82" s="3">
        <f ca="1">IFERROR(__xludf.DUMMYFUNCTION("""COMPUTED_VALUE"""),2.9)</f>
        <v>2.9</v>
      </c>
      <c r="P82" s="3">
        <f ca="1">IFERROR(__xludf.DUMMYFUNCTION("split(Y82, "" | "")"),50.7)</f>
        <v>50.7</v>
      </c>
      <c r="Q82" s="3">
        <f ca="1">IFERROR(__xludf.DUMMYFUNCTION("""COMPUTED_VALUE"""),26.9)</f>
        <v>26.9</v>
      </c>
      <c r="R82" s="3">
        <f ca="1">IFERROR(__xludf.DUMMYFUNCTION("""COMPUTED_VALUE"""),7.2)</f>
        <v>7.2</v>
      </c>
      <c r="S82" s="3">
        <f ca="1">IFERROR(__xludf.DUMMYFUNCTION("""COMPUTED_VALUE"""),13)</f>
        <v>13</v>
      </c>
      <c r="T82" s="3">
        <f ca="1">IFERROR(__xludf.DUMMYFUNCTION("""COMPUTED_VALUE"""),77.6)</f>
        <v>77.599999999999994</v>
      </c>
      <c r="U82" s="3">
        <f ca="1">IFERROR(__xludf.DUMMYFUNCTION("""COMPUTED_VALUE"""),20.2)</f>
        <v>20.2</v>
      </c>
      <c r="V82" s="3">
        <f ca="1">IFERROR(__xludf.DUMMYFUNCTION("""COMPUTED_VALUE"""),2.2)</f>
        <v>2.2000000000000002</v>
      </c>
      <c r="W82" s="5"/>
      <c r="X82" s="5"/>
      <c r="Y82" s="5"/>
    </row>
    <row r="83" spans="1:25" ht="13.8">
      <c r="A83" s="2">
        <v>43701</v>
      </c>
      <c r="B83" s="3">
        <f ca="1">IFERROR(__xludf.DUMMYFUNCTION("split(W83, "" | "")"),13.6)</f>
        <v>13.6</v>
      </c>
      <c r="C83" s="3">
        <f ca="1">IFERROR(__xludf.DUMMYFUNCTION("""COMPUTED_VALUE"""),7.8)</f>
        <v>7.8</v>
      </c>
      <c r="D83" s="3">
        <f ca="1">IFERROR(__xludf.DUMMYFUNCTION("""COMPUTED_VALUE"""),11.3)</f>
        <v>11.3</v>
      </c>
      <c r="E83" s="3">
        <f ca="1">IFERROR(__xludf.DUMMYFUNCTION("""COMPUTED_VALUE"""),65.6)</f>
        <v>65.599999999999994</v>
      </c>
      <c r="F83" s="3">
        <f ca="1">IFERROR(__xludf.DUMMYFUNCTION("""COMPUTED_VALUE"""),21.4)</f>
        <v>21.4</v>
      </c>
      <c r="G83" s="3">
        <f ca="1">IFERROR(__xludf.DUMMYFUNCTION("""COMPUTED_VALUE"""),76.9)</f>
        <v>76.900000000000006</v>
      </c>
      <c r="H83" s="3">
        <f ca="1">IFERROR(__xludf.DUMMYFUNCTION("""COMPUTED_VALUE"""),1.8)</f>
        <v>1.8</v>
      </c>
      <c r="I83" s="4">
        <f ca="1">IFERROR(__xludf.DUMMYFUNCTION("split(X83, "" | "")"),22.7)</f>
        <v>22.7</v>
      </c>
      <c r="J83" s="3">
        <f ca="1">IFERROR(__xludf.DUMMYFUNCTION("""COMPUTED_VALUE"""),19.3)</f>
        <v>19.3</v>
      </c>
      <c r="K83" s="3">
        <f ca="1">IFERROR(__xludf.DUMMYFUNCTION("""COMPUTED_VALUE"""),12.8)</f>
        <v>12.8</v>
      </c>
      <c r="L83" s="3">
        <f ca="1">IFERROR(__xludf.DUMMYFUNCTION("""COMPUTED_VALUE"""),42.7)</f>
        <v>42.7</v>
      </c>
      <c r="M83" s="3">
        <f ca="1">IFERROR(__xludf.DUMMYFUNCTION("""COMPUTED_VALUE"""),42)</f>
        <v>42</v>
      </c>
      <c r="N83" s="3">
        <f ca="1">IFERROR(__xludf.DUMMYFUNCTION("""COMPUTED_VALUE"""),55.5)</f>
        <v>55.5</v>
      </c>
      <c r="O83" s="3">
        <f ca="1">IFERROR(__xludf.DUMMYFUNCTION("""COMPUTED_VALUE"""),2.5)</f>
        <v>2.5</v>
      </c>
      <c r="P83" s="3">
        <f ca="1">IFERROR(__xludf.DUMMYFUNCTION("split(Y83, "" | "")"),47.3)</f>
        <v>47.3</v>
      </c>
      <c r="Q83" s="3">
        <f ca="1">IFERROR(__xludf.DUMMYFUNCTION("""COMPUTED_VALUE"""),26.2)</f>
        <v>26.2</v>
      </c>
      <c r="R83" s="3">
        <f ca="1">IFERROR(__xludf.DUMMYFUNCTION("""COMPUTED_VALUE"""),8.2)</f>
        <v>8.1999999999999993</v>
      </c>
      <c r="S83" s="3">
        <f ca="1">IFERROR(__xludf.DUMMYFUNCTION("""COMPUTED_VALUE"""),15.7)</f>
        <v>15.7</v>
      </c>
      <c r="T83" s="3">
        <f ca="1">IFERROR(__xludf.DUMMYFUNCTION("""COMPUTED_VALUE"""),73.5)</f>
        <v>73.5</v>
      </c>
      <c r="U83" s="3">
        <f ca="1">IFERROR(__xludf.DUMMYFUNCTION("""COMPUTED_VALUE"""),23.9)</f>
        <v>23.9</v>
      </c>
      <c r="V83" s="3">
        <f ca="1">IFERROR(__xludf.DUMMYFUNCTION("""COMPUTED_VALUE"""),2.6)</f>
        <v>2.6</v>
      </c>
      <c r="W83" s="5"/>
      <c r="X83" s="5"/>
      <c r="Y83" s="5"/>
    </row>
    <row r="84" spans="1:25" ht="13.8">
      <c r="A84" s="2">
        <v>43708</v>
      </c>
      <c r="B84" s="3">
        <f ca="1">IFERROR(__xludf.DUMMYFUNCTION("split(W84, "" | "")"),14.4)</f>
        <v>14.4</v>
      </c>
      <c r="C84" s="3">
        <f ca="1">IFERROR(__xludf.DUMMYFUNCTION("""COMPUTED_VALUE"""),5)</f>
        <v>5</v>
      </c>
      <c r="D84" s="3">
        <f ca="1">IFERROR(__xludf.DUMMYFUNCTION("""COMPUTED_VALUE"""),9.5)</f>
        <v>9.5</v>
      </c>
      <c r="E84" s="3">
        <f ca="1">IFERROR(__xludf.DUMMYFUNCTION("""COMPUTED_VALUE"""),68.7)</f>
        <v>68.7</v>
      </c>
      <c r="F84" s="3">
        <f ca="1">IFERROR(__xludf.DUMMYFUNCTION("""COMPUTED_VALUE"""),19.4)</f>
        <v>19.399999999999999</v>
      </c>
      <c r="G84" s="3">
        <f ca="1">IFERROR(__xludf.DUMMYFUNCTION("""COMPUTED_VALUE"""),78.2)</f>
        <v>78.2</v>
      </c>
      <c r="H84" s="3">
        <f ca="1">IFERROR(__xludf.DUMMYFUNCTION("""COMPUTED_VALUE"""),2.4)</f>
        <v>2.4</v>
      </c>
      <c r="I84" s="4">
        <f ca="1">IFERROR(__xludf.DUMMYFUNCTION("split(X84, "" | "")"),22.8)</f>
        <v>22.8</v>
      </c>
      <c r="J84" s="3">
        <f ca="1">IFERROR(__xludf.DUMMYFUNCTION("""COMPUTED_VALUE"""),21.3)</f>
        <v>21.3</v>
      </c>
      <c r="K84" s="3">
        <f ca="1">IFERROR(__xludf.DUMMYFUNCTION("""COMPUTED_VALUE"""),12.9)</f>
        <v>12.9</v>
      </c>
      <c r="L84" s="3">
        <f ca="1">IFERROR(__xludf.DUMMYFUNCTION("""COMPUTED_VALUE"""),40.4)</f>
        <v>40.4</v>
      </c>
      <c r="M84" s="3">
        <f ca="1">IFERROR(__xludf.DUMMYFUNCTION("""COMPUTED_VALUE"""),44.1)</f>
        <v>44.1</v>
      </c>
      <c r="N84" s="3">
        <f ca="1">IFERROR(__xludf.DUMMYFUNCTION("""COMPUTED_VALUE"""),53.3)</f>
        <v>53.3</v>
      </c>
      <c r="O84" s="3">
        <f ca="1">IFERROR(__xludf.DUMMYFUNCTION("""COMPUTED_VALUE"""),2.6)</f>
        <v>2.6</v>
      </c>
      <c r="P84" s="3">
        <f ca="1">IFERROR(__xludf.DUMMYFUNCTION("split(Y84, "" | "")"),47.9)</f>
        <v>47.9</v>
      </c>
      <c r="Q84" s="3">
        <f ca="1">IFERROR(__xludf.DUMMYFUNCTION("""COMPUTED_VALUE"""),25.8)</f>
        <v>25.8</v>
      </c>
      <c r="R84" s="3">
        <f ca="1">IFERROR(__xludf.DUMMYFUNCTION("""COMPUTED_VALUE"""),7.5)</f>
        <v>7.5</v>
      </c>
      <c r="S84" s="3">
        <f ca="1">IFERROR(__xludf.DUMMYFUNCTION("""COMPUTED_VALUE"""),15.6)</f>
        <v>15.6</v>
      </c>
      <c r="T84" s="3">
        <f ca="1">IFERROR(__xludf.DUMMYFUNCTION("""COMPUTED_VALUE"""),73.7)</f>
        <v>73.7</v>
      </c>
      <c r="U84" s="3">
        <f ca="1">IFERROR(__xludf.DUMMYFUNCTION("""COMPUTED_VALUE"""),23.1)</f>
        <v>23.1</v>
      </c>
      <c r="V84" s="3">
        <f ca="1">IFERROR(__xludf.DUMMYFUNCTION("""COMPUTED_VALUE"""),3.2)</f>
        <v>3.2</v>
      </c>
      <c r="W84" s="5"/>
      <c r="X84" s="5"/>
      <c r="Y84" s="5"/>
    </row>
    <row r="85" spans="1:25" ht="13.8">
      <c r="A85" s="2">
        <v>43715</v>
      </c>
      <c r="B85" s="3">
        <f ca="1">IFERROR(__xludf.DUMMYFUNCTION("split(W85, "" | "")"),14.8)</f>
        <v>14.8</v>
      </c>
      <c r="C85" s="3">
        <f ca="1">IFERROR(__xludf.DUMMYFUNCTION("""COMPUTED_VALUE"""),7.4)</f>
        <v>7.4</v>
      </c>
      <c r="D85" s="3">
        <f ca="1">IFERROR(__xludf.DUMMYFUNCTION("""COMPUTED_VALUE"""),8.8)</f>
        <v>8.8000000000000007</v>
      </c>
      <c r="E85" s="3">
        <f ca="1">IFERROR(__xludf.DUMMYFUNCTION("""COMPUTED_VALUE"""),67.2)</f>
        <v>67.2</v>
      </c>
      <c r="F85" s="3">
        <f ca="1">IFERROR(__xludf.DUMMYFUNCTION("""COMPUTED_VALUE"""),22.1)</f>
        <v>22.1</v>
      </c>
      <c r="G85" s="3">
        <f ca="1">IFERROR(__xludf.DUMMYFUNCTION("""COMPUTED_VALUE"""),75.9)</f>
        <v>75.900000000000006</v>
      </c>
      <c r="H85" s="3">
        <f ca="1">IFERROR(__xludf.DUMMYFUNCTION("""COMPUTED_VALUE"""),1.9)</f>
        <v>1.9</v>
      </c>
      <c r="I85" s="4">
        <f ca="1">IFERROR(__xludf.DUMMYFUNCTION("split(X85, "" | "")"),24.9)</f>
        <v>24.9</v>
      </c>
      <c r="J85" s="3">
        <f ca="1">IFERROR(__xludf.DUMMYFUNCTION("""COMPUTED_VALUE"""),19.5)</f>
        <v>19.5</v>
      </c>
      <c r="K85" s="3">
        <f ca="1">IFERROR(__xludf.DUMMYFUNCTION("""COMPUTED_VALUE"""),11.3)</f>
        <v>11.3</v>
      </c>
      <c r="L85" s="3">
        <f ca="1">IFERROR(__xludf.DUMMYFUNCTION("""COMPUTED_VALUE"""),41.6)</f>
        <v>41.6</v>
      </c>
      <c r="M85" s="3">
        <f ca="1">IFERROR(__xludf.DUMMYFUNCTION("""COMPUTED_VALUE"""),44.4)</f>
        <v>44.4</v>
      </c>
      <c r="N85" s="3">
        <f ca="1">IFERROR(__xludf.DUMMYFUNCTION("""COMPUTED_VALUE"""),52.9)</f>
        <v>52.9</v>
      </c>
      <c r="O85" s="3">
        <f ca="1">IFERROR(__xludf.DUMMYFUNCTION("""COMPUTED_VALUE"""),2.7)</f>
        <v>2.7</v>
      </c>
      <c r="P85" s="3">
        <f ca="1">IFERROR(__xludf.DUMMYFUNCTION("split(Y85, "" | "")"),47.8)</f>
        <v>47.8</v>
      </c>
      <c r="Q85" s="3">
        <f ca="1">IFERROR(__xludf.DUMMYFUNCTION("""COMPUTED_VALUE"""),26.3)</f>
        <v>26.3</v>
      </c>
      <c r="R85" s="3">
        <f ca="1">IFERROR(__xludf.DUMMYFUNCTION("""COMPUTED_VALUE"""),6.5)</f>
        <v>6.5</v>
      </c>
      <c r="S85" s="3">
        <f ca="1">IFERROR(__xludf.DUMMYFUNCTION("""COMPUTED_VALUE"""),17.7)</f>
        <v>17.7</v>
      </c>
      <c r="T85" s="3">
        <f ca="1">IFERROR(__xludf.DUMMYFUNCTION("""COMPUTED_VALUE"""),74)</f>
        <v>74</v>
      </c>
      <c r="U85" s="3">
        <f ca="1">IFERROR(__xludf.DUMMYFUNCTION("""COMPUTED_VALUE"""),24.1)</f>
        <v>24.1</v>
      </c>
      <c r="V85" s="3">
        <f ca="1">IFERROR(__xludf.DUMMYFUNCTION("""COMPUTED_VALUE"""),1.8)</f>
        <v>1.8</v>
      </c>
      <c r="W85" s="5"/>
      <c r="X85" s="5"/>
      <c r="Y85" s="5"/>
    </row>
    <row r="86" spans="1:25" ht="13.8">
      <c r="A86" s="2">
        <v>43722</v>
      </c>
      <c r="B86" s="3">
        <f ca="1">IFERROR(__xludf.DUMMYFUNCTION("split(W86, "" | "")"),14.8)</f>
        <v>14.8</v>
      </c>
      <c r="C86" s="3">
        <f ca="1">IFERROR(__xludf.DUMMYFUNCTION("""COMPUTED_VALUE"""),6.4)</f>
        <v>6.4</v>
      </c>
      <c r="D86" s="3">
        <f ca="1">IFERROR(__xludf.DUMMYFUNCTION("""COMPUTED_VALUE"""),10.7)</f>
        <v>10.7</v>
      </c>
      <c r="E86" s="3">
        <f ca="1">IFERROR(__xludf.DUMMYFUNCTION("""COMPUTED_VALUE"""),67.2)</f>
        <v>67.2</v>
      </c>
      <c r="F86" s="3">
        <f ca="1">IFERROR(__xludf.DUMMYFUNCTION("""COMPUTED_VALUE"""),21.2)</f>
        <v>21.2</v>
      </c>
      <c r="G86" s="3">
        <f ca="1">IFERROR(__xludf.DUMMYFUNCTION("""COMPUTED_VALUE"""),78)</f>
        <v>78</v>
      </c>
      <c r="H86" s="3">
        <f ca="1">IFERROR(__xludf.DUMMYFUNCTION("""COMPUTED_VALUE"""),0.9)</f>
        <v>0.9</v>
      </c>
      <c r="I86" s="4">
        <f ca="1">IFERROR(__xludf.DUMMYFUNCTION("split(X86, "" | "")"),22)</f>
        <v>22</v>
      </c>
      <c r="J86" s="3">
        <f ca="1">IFERROR(__xludf.DUMMYFUNCTION("""COMPUTED_VALUE"""),20.5)</f>
        <v>20.5</v>
      </c>
      <c r="K86" s="3">
        <f ca="1">IFERROR(__xludf.DUMMYFUNCTION("""COMPUTED_VALUE"""),11.8)</f>
        <v>11.8</v>
      </c>
      <c r="L86" s="3">
        <f ca="1">IFERROR(__xludf.DUMMYFUNCTION("""COMPUTED_VALUE"""),44.2)</f>
        <v>44.2</v>
      </c>
      <c r="M86" s="3">
        <f ca="1">IFERROR(__xludf.DUMMYFUNCTION("""COMPUTED_VALUE"""),42.5)</f>
        <v>42.5</v>
      </c>
      <c r="N86" s="3">
        <f ca="1">IFERROR(__xludf.DUMMYFUNCTION("""COMPUTED_VALUE"""),56)</f>
        <v>56</v>
      </c>
      <c r="O86" s="3">
        <f ca="1">IFERROR(__xludf.DUMMYFUNCTION("""COMPUTED_VALUE"""),1.6)</f>
        <v>1.6</v>
      </c>
      <c r="P86" s="3">
        <f ca="1">IFERROR(__xludf.DUMMYFUNCTION("split(Y86, "" | "")"),49.9)</f>
        <v>49.9</v>
      </c>
      <c r="Q86" s="3">
        <f ca="1">IFERROR(__xludf.DUMMYFUNCTION("""COMPUTED_VALUE"""),25.4)</f>
        <v>25.4</v>
      </c>
      <c r="R86" s="3">
        <f ca="1">IFERROR(__xludf.DUMMYFUNCTION("""COMPUTED_VALUE"""),7.9)</f>
        <v>7.9</v>
      </c>
      <c r="S86" s="3">
        <f ca="1">IFERROR(__xludf.DUMMYFUNCTION("""COMPUTED_VALUE"""),14.1)</f>
        <v>14.1</v>
      </c>
      <c r="T86" s="3">
        <f ca="1">IFERROR(__xludf.DUMMYFUNCTION("""COMPUTED_VALUE"""),75.3)</f>
        <v>75.3</v>
      </c>
      <c r="U86" s="3">
        <f ca="1">IFERROR(__xludf.DUMMYFUNCTION("""COMPUTED_VALUE"""),22)</f>
        <v>22</v>
      </c>
      <c r="V86" s="3">
        <f ca="1">IFERROR(__xludf.DUMMYFUNCTION("""COMPUTED_VALUE"""),2.7)</f>
        <v>2.7</v>
      </c>
      <c r="W86" s="7"/>
      <c r="X86" s="5"/>
      <c r="Y86" s="5"/>
    </row>
    <row r="87" spans="1:25" ht="13.8">
      <c r="A87" s="2">
        <v>43729</v>
      </c>
      <c r="B87" s="3">
        <f ca="1">IFERROR(__xludf.DUMMYFUNCTION("split(W87, "" | "")"),13.1)</f>
        <v>13.1</v>
      </c>
      <c r="C87" s="3">
        <f ca="1">IFERROR(__xludf.DUMMYFUNCTION("""COMPUTED_VALUE"""),6)</f>
        <v>6</v>
      </c>
      <c r="D87" s="3">
        <f ca="1">IFERROR(__xludf.DUMMYFUNCTION("""COMPUTED_VALUE"""),11.8)</f>
        <v>11.8</v>
      </c>
      <c r="E87" s="3">
        <f ca="1">IFERROR(__xludf.DUMMYFUNCTION("""COMPUTED_VALUE"""),67)</f>
        <v>67</v>
      </c>
      <c r="F87" s="3">
        <f ca="1">IFERROR(__xludf.DUMMYFUNCTION("""COMPUTED_VALUE"""),19.1)</f>
        <v>19.100000000000001</v>
      </c>
      <c r="G87" s="3">
        <f ca="1">IFERROR(__xludf.DUMMYFUNCTION("""COMPUTED_VALUE"""),78.8)</f>
        <v>78.8</v>
      </c>
      <c r="H87" s="3">
        <f ca="1">IFERROR(__xludf.DUMMYFUNCTION("""COMPUTED_VALUE"""),2.2)</f>
        <v>2.2000000000000002</v>
      </c>
      <c r="I87" s="4">
        <f ca="1">IFERROR(__xludf.DUMMYFUNCTION("split(X87, "" | "")"),26.1)</f>
        <v>26.1</v>
      </c>
      <c r="J87" s="3">
        <f ca="1">IFERROR(__xludf.DUMMYFUNCTION("""COMPUTED_VALUE"""),18.8)</f>
        <v>18.8</v>
      </c>
      <c r="K87" s="3">
        <f ca="1">IFERROR(__xludf.DUMMYFUNCTION("""COMPUTED_VALUE"""),11.3)</f>
        <v>11.3</v>
      </c>
      <c r="L87" s="3">
        <f ca="1">IFERROR(__xludf.DUMMYFUNCTION("""COMPUTED_VALUE"""),42.4)</f>
        <v>42.4</v>
      </c>
      <c r="M87" s="3">
        <f ca="1">IFERROR(__xludf.DUMMYFUNCTION("""COMPUTED_VALUE"""),44.9)</f>
        <v>44.9</v>
      </c>
      <c r="N87" s="3">
        <f ca="1">IFERROR(__xludf.DUMMYFUNCTION("""COMPUTED_VALUE"""),53.6)</f>
        <v>53.6</v>
      </c>
      <c r="O87" s="3">
        <f ca="1">IFERROR(__xludf.DUMMYFUNCTION("""COMPUTED_VALUE"""),1.4)</f>
        <v>1.4</v>
      </c>
      <c r="P87" s="3">
        <f ca="1">IFERROR(__xludf.DUMMYFUNCTION("split(Y87, "" | "")"),50.6)</f>
        <v>50.6</v>
      </c>
      <c r="Q87" s="3">
        <f ca="1">IFERROR(__xludf.DUMMYFUNCTION("""COMPUTED_VALUE"""),25)</f>
        <v>25</v>
      </c>
      <c r="R87" s="3">
        <f ca="1">IFERROR(__xludf.DUMMYFUNCTION("""COMPUTED_VALUE"""),8.4)</f>
        <v>8.4</v>
      </c>
      <c r="S87" s="3">
        <f ca="1">IFERROR(__xludf.DUMMYFUNCTION("""COMPUTED_VALUE"""),14.3)</f>
        <v>14.3</v>
      </c>
      <c r="T87" s="3">
        <f ca="1">IFERROR(__xludf.DUMMYFUNCTION("""COMPUTED_VALUE"""),75.7)</f>
        <v>75.7</v>
      </c>
      <c r="U87" s="3">
        <f ca="1">IFERROR(__xludf.DUMMYFUNCTION("""COMPUTED_VALUE"""),22.7)</f>
        <v>22.7</v>
      </c>
      <c r="V87" s="3">
        <f ca="1">IFERROR(__xludf.DUMMYFUNCTION("""COMPUTED_VALUE"""),1.6)</f>
        <v>1.6</v>
      </c>
      <c r="W87" s="5"/>
      <c r="X87" s="5"/>
      <c r="Y87" s="5"/>
    </row>
    <row r="88" spans="1:25" ht="13.8">
      <c r="A88" s="2">
        <v>43736</v>
      </c>
      <c r="B88" s="3">
        <f ca="1">IFERROR(__xludf.DUMMYFUNCTION("split(W88, "" | "")"),10.9)</f>
        <v>10.9</v>
      </c>
      <c r="C88" s="3">
        <f ca="1">IFERROR(__xludf.DUMMYFUNCTION("""COMPUTED_VALUE"""),7.9)</f>
        <v>7.9</v>
      </c>
      <c r="D88" s="3">
        <f ca="1">IFERROR(__xludf.DUMMYFUNCTION("""COMPUTED_VALUE"""),12.2)</f>
        <v>12.2</v>
      </c>
      <c r="E88" s="3">
        <f ca="1">IFERROR(__xludf.DUMMYFUNCTION("""COMPUTED_VALUE"""),68.2)</f>
        <v>68.2</v>
      </c>
      <c r="F88" s="3">
        <f ca="1">IFERROR(__xludf.DUMMYFUNCTION("""COMPUTED_VALUE"""),18.8)</f>
        <v>18.8</v>
      </c>
      <c r="G88" s="3">
        <f ca="1">IFERROR(__xludf.DUMMYFUNCTION("""COMPUTED_VALUE"""),80.3)</f>
        <v>80.3</v>
      </c>
      <c r="H88" s="3">
        <f ca="1">IFERROR(__xludf.DUMMYFUNCTION("""COMPUTED_VALUE"""),0.8)</f>
        <v>0.8</v>
      </c>
      <c r="I88" s="4">
        <f ca="1">IFERROR(__xludf.DUMMYFUNCTION("split(X88, "" | "")"),21.5)</f>
        <v>21.5</v>
      </c>
      <c r="J88" s="3">
        <f ca="1">IFERROR(__xludf.DUMMYFUNCTION("""COMPUTED_VALUE"""),18.2)</f>
        <v>18.2</v>
      </c>
      <c r="K88" s="3">
        <f ca="1">IFERROR(__xludf.DUMMYFUNCTION("""COMPUTED_VALUE"""),13.6)</f>
        <v>13.6</v>
      </c>
      <c r="L88" s="3">
        <f ca="1">IFERROR(__xludf.DUMMYFUNCTION("""COMPUTED_VALUE"""),43.2)</f>
        <v>43.2</v>
      </c>
      <c r="M88" s="3">
        <f ca="1">IFERROR(__xludf.DUMMYFUNCTION("""COMPUTED_VALUE"""),39.7)</f>
        <v>39.700000000000003</v>
      </c>
      <c r="N88" s="3">
        <f ca="1">IFERROR(__xludf.DUMMYFUNCTION("""COMPUTED_VALUE"""),56.7)</f>
        <v>56.7</v>
      </c>
      <c r="O88" s="3">
        <f ca="1">IFERROR(__xludf.DUMMYFUNCTION("""COMPUTED_VALUE"""),3.6)</f>
        <v>3.6</v>
      </c>
      <c r="P88" s="3">
        <f ca="1">IFERROR(__xludf.DUMMYFUNCTION("split(Y88, "" | "")"),51.9)</f>
        <v>51.9</v>
      </c>
      <c r="Q88" s="3">
        <f ca="1">IFERROR(__xludf.DUMMYFUNCTION("""COMPUTED_VALUE"""),25.1)</f>
        <v>25.1</v>
      </c>
      <c r="R88" s="3">
        <f ca="1">IFERROR(__xludf.DUMMYFUNCTION("""COMPUTED_VALUE"""),6.9)</f>
        <v>6.9</v>
      </c>
      <c r="S88" s="3">
        <f ca="1">IFERROR(__xludf.DUMMYFUNCTION("""COMPUTED_VALUE"""),14.2)</f>
        <v>14.2</v>
      </c>
      <c r="T88" s="3">
        <f ca="1">IFERROR(__xludf.DUMMYFUNCTION("""COMPUTED_VALUE"""),77)</f>
        <v>77</v>
      </c>
      <c r="U88" s="3">
        <f ca="1">IFERROR(__xludf.DUMMYFUNCTION("""COMPUTED_VALUE"""),21.1)</f>
        <v>21.1</v>
      </c>
      <c r="V88" s="3">
        <f ca="1">IFERROR(__xludf.DUMMYFUNCTION("""COMPUTED_VALUE"""),1.8)</f>
        <v>1.8</v>
      </c>
      <c r="W88" s="7"/>
      <c r="X88" s="5"/>
      <c r="Y88" s="5"/>
    </row>
    <row r="89" spans="1:25" ht="13.8">
      <c r="A89" s="2">
        <v>43743</v>
      </c>
      <c r="B89" s="3">
        <f ca="1">IFERROR(__xludf.DUMMYFUNCTION("split(W89, "" | "")"),10.6)</f>
        <v>10.6</v>
      </c>
      <c r="C89" s="3">
        <f ca="1">IFERROR(__xludf.DUMMYFUNCTION("""COMPUTED_VALUE"""),6.7)</f>
        <v>6.7</v>
      </c>
      <c r="D89" s="3">
        <f ca="1">IFERROR(__xludf.DUMMYFUNCTION("""COMPUTED_VALUE"""),10.2)</f>
        <v>10.199999999999999</v>
      </c>
      <c r="E89" s="3">
        <f ca="1">IFERROR(__xludf.DUMMYFUNCTION("""COMPUTED_VALUE"""),71.8)</f>
        <v>71.8</v>
      </c>
      <c r="F89" s="3">
        <f ca="1">IFERROR(__xludf.DUMMYFUNCTION("""COMPUTED_VALUE"""),17.3)</f>
        <v>17.3</v>
      </c>
      <c r="G89" s="3">
        <f ca="1">IFERROR(__xludf.DUMMYFUNCTION("""COMPUTED_VALUE"""),82)</f>
        <v>82</v>
      </c>
      <c r="H89" s="3">
        <f ca="1">IFERROR(__xludf.DUMMYFUNCTION("""COMPUTED_VALUE"""),0.7)</f>
        <v>0.7</v>
      </c>
      <c r="I89" s="4">
        <f ca="1">IFERROR(__xludf.DUMMYFUNCTION("split(X89, "" | "")"),20)</f>
        <v>20</v>
      </c>
      <c r="J89" s="3">
        <f ca="1">IFERROR(__xludf.DUMMYFUNCTION("""COMPUTED_VALUE"""),13.5)</f>
        <v>13.5</v>
      </c>
      <c r="K89" s="3">
        <f ca="1">IFERROR(__xludf.DUMMYFUNCTION("""COMPUTED_VALUE"""),13.7)</f>
        <v>13.7</v>
      </c>
      <c r="L89" s="3">
        <f ca="1">IFERROR(__xludf.DUMMYFUNCTION("""COMPUTED_VALUE"""),50.4)</f>
        <v>50.4</v>
      </c>
      <c r="M89" s="3">
        <f ca="1">IFERROR(__xludf.DUMMYFUNCTION("""COMPUTED_VALUE"""),33.5)</f>
        <v>33.5</v>
      </c>
      <c r="N89" s="3">
        <f ca="1">IFERROR(__xludf.DUMMYFUNCTION("""COMPUTED_VALUE"""),64.1)</f>
        <v>64.099999999999994</v>
      </c>
      <c r="O89" s="3">
        <f ca="1">IFERROR(__xludf.DUMMYFUNCTION("""COMPUTED_VALUE"""),2.4)</f>
        <v>2.4</v>
      </c>
      <c r="P89" s="3">
        <f ca="1">IFERROR(__xludf.DUMMYFUNCTION("split(Y89, "" | "")"),49.1)</f>
        <v>49.1</v>
      </c>
      <c r="Q89" s="3">
        <f ca="1">IFERROR(__xludf.DUMMYFUNCTION("""COMPUTED_VALUE"""),25)</f>
        <v>25</v>
      </c>
      <c r="R89" s="3">
        <f ca="1">IFERROR(__xludf.DUMMYFUNCTION("""COMPUTED_VALUE"""),6.4)</f>
        <v>6.4</v>
      </c>
      <c r="S89" s="3">
        <f ca="1">IFERROR(__xludf.DUMMYFUNCTION("""COMPUTED_VALUE"""),16.7)</f>
        <v>16.7</v>
      </c>
      <c r="T89" s="3">
        <f ca="1">IFERROR(__xludf.DUMMYFUNCTION("""COMPUTED_VALUE"""),74.1)</f>
        <v>74.099999999999994</v>
      </c>
      <c r="U89" s="3">
        <f ca="1">IFERROR(__xludf.DUMMYFUNCTION("""COMPUTED_VALUE"""),23.1)</f>
        <v>23.1</v>
      </c>
      <c r="V89" s="3">
        <f ca="1">IFERROR(__xludf.DUMMYFUNCTION("""COMPUTED_VALUE"""),2.7)</f>
        <v>2.7</v>
      </c>
      <c r="W89" s="7"/>
      <c r="X89" s="5"/>
      <c r="Y89" s="5"/>
    </row>
    <row r="90" spans="1:25" ht="13.8">
      <c r="A90" s="2">
        <v>43750</v>
      </c>
      <c r="B90" s="3">
        <f ca="1">IFERROR(__xludf.DUMMYFUNCTION("split(W90, "" | "")"),11.8)</f>
        <v>11.8</v>
      </c>
      <c r="C90" s="3">
        <f ca="1">IFERROR(__xludf.DUMMYFUNCTION("""COMPUTED_VALUE"""),5.6)</f>
        <v>5.6</v>
      </c>
      <c r="D90" s="3">
        <f ca="1">IFERROR(__xludf.DUMMYFUNCTION("""COMPUTED_VALUE"""),8.7)</f>
        <v>8.6999999999999993</v>
      </c>
      <c r="E90" s="3">
        <f ca="1">IFERROR(__xludf.DUMMYFUNCTION("""COMPUTED_VALUE"""),72.2)</f>
        <v>72.2</v>
      </c>
      <c r="F90" s="3">
        <f ca="1">IFERROR(__xludf.DUMMYFUNCTION("""COMPUTED_VALUE"""),17.5)</f>
        <v>17.5</v>
      </c>
      <c r="G90" s="3">
        <f ca="1">IFERROR(__xludf.DUMMYFUNCTION("""COMPUTED_VALUE"""),80.9)</f>
        <v>80.900000000000006</v>
      </c>
      <c r="H90" s="3">
        <f ca="1">IFERROR(__xludf.DUMMYFUNCTION("""COMPUTED_VALUE"""),1.6)</f>
        <v>1.6</v>
      </c>
      <c r="I90" s="4">
        <f ca="1">IFERROR(__xludf.DUMMYFUNCTION("split(X90, "" | "")"),22.7)</f>
        <v>22.7</v>
      </c>
      <c r="J90" s="3">
        <f ca="1">IFERROR(__xludf.DUMMYFUNCTION("""COMPUTED_VALUE"""),16.2)</f>
        <v>16.2</v>
      </c>
      <c r="K90" s="3">
        <f ca="1">IFERROR(__xludf.DUMMYFUNCTION("""COMPUTED_VALUE"""),12)</f>
        <v>12</v>
      </c>
      <c r="L90" s="3">
        <f ca="1">IFERROR(__xludf.DUMMYFUNCTION("""COMPUTED_VALUE"""),47)</f>
        <v>47</v>
      </c>
      <c r="M90" s="3">
        <f ca="1">IFERROR(__xludf.DUMMYFUNCTION("""COMPUTED_VALUE"""),38.8)</f>
        <v>38.799999999999997</v>
      </c>
      <c r="N90" s="3">
        <f ca="1">IFERROR(__xludf.DUMMYFUNCTION("""COMPUTED_VALUE"""),58.9)</f>
        <v>58.9</v>
      </c>
      <c r="O90" s="3">
        <f ca="1">IFERROR(__xludf.DUMMYFUNCTION("""COMPUTED_VALUE"""),2.2)</f>
        <v>2.2000000000000002</v>
      </c>
      <c r="P90" s="3">
        <f ca="1">IFERROR(__xludf.DUMMYFUNCTION("split(Y90, "" | "")"),54.4)</f>
        <v>54.4</v>
      </c>
      <c r="Q90" s="3">
        <f ca="1">IFERROR(__xludf.DUMMYFUNCTION("""COMPUTED_VALUE"""),22)</f>
        <v>22</v>
      </c>
      <c r="R90" s="3">
        <f ca="1">IFERROR(__xludf.DUMMYFUNCTION("""COMPUTED_VALUE"""),7.2)</f>
        <v>7.2</v>
      </c>
      <c r="S90" s="3">
        <f ca="1">IFERROR(__xludf.DUMMYFUNCTION("""COMPUTED_VALUE"""),14.8)</f>
        <v>14.8</v>
      </c>
      <c r="T90" s="3">
        <f ca="1">IFERROR(__xludf.DUMMYFUNCTION("""COMPUTED_VALUE"""),76.5)</f>
        <v>76.5</v>
      </c>
      <c r="U90" s="3">
        <f ca="1">IFERROR(__xludf.DUMMYFUNCTION("""COMPUTED_VALUE"""),22)</f>
        <v>22</v>
      </c>
      <c r="V90" s="3">
        <f ca="1">IFERROR(__xludf.DUMMYFUNCTION("""COMPUTED_VALUE"""),1.6)</f>
        <v>1.6</v>
      </c>
      <c r="W90" s="5"/>
      <c r="X90" s="5"/>
      <c r="Y90" s="5"/>
    </row>
    <row r="91" spans="1:25" ht="13.8">
      <c r="A91" s="2">
        <v>43757</v>
      </c>
      <c r="B91" s="3">
        <f ca="1">IFERROR(__xludf.DUMMYFUNCTION("split(W91, "" | "")"),13.6)</f>
        <v>13.6</v>
      </c>
      <c r="C91" s="3">
        <f ca="1">IFERROR(__xludf.DUMMYFUNCTION("""COMPUTED_VALUE"""),7.4)</f>
        <v>7.4</v>
      </c>
      <c r="D91" s="3">
        <f ca="1">IFERROR(__xludf.DUMMYFUNCTION("""COMPUTED_VALUE"""),9.6)</f>
        <v>9.6</v>
      </c>
      <c r="E91" s="3">
        <f ca="1">IFERROR(__xludf.DUMMYFUNCTION("""COMPUTED_VALUE"""),68.1)</f>
        <v>68.099999999999994</v>
      </c>
      <c r="F91" s="3">
        <f ca="1">IFERROR(__xludf.DUMMYFUNCTION("""COMPUTED_VALUE"""),20.9)</f>
        <v>20.9</v>
      </c>
      <c r="G91" s="3">
        <f ca="1">IFERROR(__xludf.DUMMYFUNCTION("""COMPUTED_VALUE"""),77.7)</f>
        <v>77.7</v>
      </c>
      <c r="H91" s="3">
        <f ca="1">IFERROR(__xludf.DUMMYFUNCTION("""COMPUTED_VALUE"""),1.4)</f>
        <v>1.4</v>
      </c>
      <c r="I91" s="4">
        <f ca="1">IFERROR(__xludf.DUMMYFUNCTION("split(X91, "" | "")"),22.6)</f>
        <v>22.6</v>
      </c>
      <c r="J91" s="3">
        <f ca="1">IFERROR(__xludf.DUMMYFUNCTION("""COMPUTED_VALUE"""),17.7)</f>
        <v>17.7</v>
      </c>
      <c r="K91" s="3">
        <f ca="1">IFERROR(__xludf.DUMMYFUNCTION("""COMPUTED_VALUE"""),14.7)</f>
        <v>14.7</v>
      </c>
      <c r="L91" s="3">
        <f ca="1">IFERROR(__xludf.DUMMYFUNCTION("""COMPUTED_VALUE"""),41.6)</f>
        <v>41.6</v>
      </c>
      <c r="M91" s="3">
        <f ca="1">IFERROR(__xludf.DUMMYFUNCTION("""COMPUTED_VALUE"""),40.3)</f>
        <v>40.299999999999997</v>
      </c>
      <c r="N91" s="3">
        <f ca="1">IFERROR(__xludf.DUMMYFUNCTION("""COMPUTED_VALUE"""),56.3)</f>
        <v>56.3</v>
      </c>
      <c r="O91" s="3">
        <f ca="1">IFERROR(__xludf.DUMMYFUNCTION("""COMPUTED_VALUE"""),3.5)</f>
        <v>3.5</v>
      </c>
      <c r="P91" s="3">
        <f ca="1">IFERROR(__xludf.DUMMYFUNCTION("split(Y91, "" | "")"),51.9)</f>
        <v>51.9</v>
      </c>
      <c r="Q91" s="3">
        <f ca="1">IFERROR(__xludf.DUMMYFUNCTION("""COMPUTED_VALUE"""),23.5)</f>
        <v>23.5</v>
      </c>
      <c r="R91" s="3">
        <f ca="1">IFERROR(__xludf.DUMMYFUNCTION("""COMPUTED_VALUE"""),8.5)</f>
        <v>8.5</v>
      </c>
      <c r="S91" s="3">
        <f ca="1">IFERROR(__xludf.DUMMYFUNCTION("""COMPUTED_VALUE"""),13.1)</f>
        <v>13.1</v>
      </c>
      <c r="T91" s="3">
        <f ca="1">IFERROR(__xludf.DUMMYFUNCTION("""COMPUTED_VALUE"""),75.4)</f>
        <v>75.400000000000006</v>
      </c>
      <c r="U91" s="3">
        <f ca="1">IFERROR(__xludf.DUMMYFUNCTION("""COMPUTED_VALUE"""),21.6)</f>
        <v>21.6</v>
      </c>
      <c r="V91" s="3">
        <f ca="1">IFERROR(__xludf.DUMMYFUNCTION("""COMPUTED_VALUE"""),3)</f>
        <v>3</v>
      </c>
      <c r="W91" s="5"/>
      <c r="X91" s="5"/>
      <c r="Y91" s="5"/>
    </row>
    <row r="92" spans="1:25" ht="13.8">
      <c r="A92" s="2">
        <v>43764</v>
      </c>
      <c r="B92" s="3">
        <f ca="1">IFERROR(__xludf.DUMMYFUNCTION("split(W92, "" | "")"),12.3)</f>
        <v>12.3</v>
      </c>
      <c r="C92" s="3">
        <f ca="1">IFERROR(__xludf.DUMMYFUNCTION("""COMPUTED_VALUE"""),7)</f>
        <v>7</v>
      </c>
      <c r="D92" s="3">
        <f ca="1">IFERROR(__xludf.DUMMYFUNCTION("""COMPUTED_VALUE"""),8.6)</f>
        <v>8.6</v>
      </c>
      <c r="E92" s="3">
        <f ca="1">IFERROR(__xludf.DUMMYFUNCTION("""COMPUTED_VALUE"""),70.5)</f>
        <v>70.5</v>
      </c>
      <c r="F92" s="3">
        <f ca="1">IFERROR(__xludf.DUMMYFUNCTION("""COMPUTED_VALUE"""),19.3)</f>
        <v>19.3</v>
      </c>
      <c r="G92" s="3">
        <f ca="1">IFERROR(__xludf.DUMMYFUNCTION("""COMPUTED_VALUE"""),79.1)</f>
        <v>79.099999999999994</v>
      </c>
      <c r="H92" s="3">
        <f ca="1">IFERROR(__xludf.DUMMYFUNCTION("""COMPUTED_VALUE"""),1.6)</f>
        <v>1.6</v>
      </c>
      <c r="I92" s="4">
        <f ca="1">IFERROR(__xludf.DUMMYFUNCTION("split(X92, "" | "")"),25.3)</f>
        <v>25.3</v>
      </c>
      <c r="J92" s="3">
        <f ca="1">IFERROR(__xludf.DUMMYFUNCTION("""COMPUTED_VALUE"""),19.8)</f>
        <v>19.8</v>
      </c>
      <c r="K92" s="3">
        <f ca="1">IFERROR(__xludf.DUMMYFUNCTION("""COMPUTED_VALUE"""),13.9)</f>
        <v>13.9</v>
      </c>
      <c r="L92" s="3">
        <f ca="1">IFERROR(__xludf.DUMMYFUNCTION("""COMPUTED_VALUE"""),38)</f>
        <v>38</v>
      </c>
      <c r="M92" s="3">
        <f ca="1">IFERROR(__xludf.DUMMYFUNCTION("""COMPUTED_VALUE"""),45.1)</f>
        <v>45.1</v>
      </c>
      <c r="N92" s="3">
        <f ca="1">IFERROR(__xludf.DUMMYFUNCTION("""COMPUTED_VALUE"""),51.9)</f>
        <v>51.9</v>
      </c>
      <c r="O92" s="3">
        <f ca="1">IFERROR(__xludf.DUMMYFUNCTION("""COMPUTED_VALUE"""),3)</f>
        <v>3</v>
      </c>
      <c r="P92" s="3">
        <f ca="1">IFERROR(__xludf.DUMMYFUNCTION("split(Y92, "" | "")"),51.9)</f>
        <v>51.9</v>
      </c>
      <c r="Q92" s="3">
        <f ca="1">IFERROR(__xludf.DUMMYFUNCTION("""COMPUTED_VALUE"""),27.2)</f>
        <v>27.2</v>
      </c>
      <c r="R92" s="3">
        <f ca="1">IFERROR(__xludf.DUMMYFUNCTION("""COMPUTED_VALUE"""),7.4)</f>
        <v>7.4</v>
      </c>
      <c r="S92" s="3">
        <f ca="1">IFERROR(__xludf.DUMMYFUNCTION("""COMPUTED_VALUE"""),11.8)</f>
        <v>11.8</v>
      </c>
      <c r="T92" s="3">
        <f ca="1">IFERROR(__xludf.DUMMYFUNCTION("""COMPUTED_VALUE"""),79.1)</f>
        <v>79.099999999999994</v>
      </c>
      <c r="U92" s="3">
        <f ca="1">IFERROR(__xludf.DUMMYFUNCTION("""COMPUTED_VALUE"""),19.2)</f>
        <v>19.2</v>
      </c>
      <c r="V92" s="3">
        <f ca="1">IFERROR(__xludf.DUMMYFUNCTION("""COMPUTED_VALUE"""),1.6)</f>
        <v>1.6</v>
      </c>
      <c r="W92" s="5"/>
      <c r="X92" s="5"/>
      <c r="Y92" s="5"/>
    </row>
    <row r="93" spans="1:25" ht="13.8">
      <c r="A93" s="2">
        <v>43771</v>
      </c>
      <c r="B93" s="3">
        <f ca="1">IFERROR(__xludf.DUMMYFUNCTION("split(W93, "" | "")"),12.8)</f>
        <v>12.8</v>
      </c>
      <c r="C93" s="3">
        <f ca="1">IFERROR(__xludf.DUMMYFUNCTION("""COMPUTED_VALUE"""),5.3)</f>
        <v>5.3</v>
      </c>
      <c r="D93" s="3">
        <f ca="1">IFERROR(__xludf.DUMMYFUNCTION("""COMPUTED_VALUE"""),12.4)</f>
        <v>12.4</v>
      </c>
      <c r="E93" s="3">
        <f ca="1">IFERROR(__xludf.DUMMYFUNCTION("""COMPUTED_VALUE"""),68.2)</f>
        <v>68.2</v>
      </c>
      <c r="F93" s="3">
        <f ca="1">IFERROR(__xludf.DUMMYFUNCTION("""COMPUTED_VALUE"""),18.1)</f>
        <v>18.100000000000001</v>
      </c>
      <c r="G93" s="3">
        <f ca="1">IFERROR(__xludf.DUMMYFUNCTION("""COMPUTED_VALUE"""),80.5)</f>
        <v>80.5</v>
      </c>
      <c r="H93" s="3">
        <f ca="1">IFERROR(__xludf.DUMMYFUNCTION("""COMPUTED_VALUE"""),1.4)</f>
        <v>1.4</v>
      </c>
      <c r="I93" s="4">
        <f ca="1">IFERROR(__xludf.DUMMYFUNCTION("split(X93, "" | "")"),20)</f>
        <v>20</v>
      </c>
      <c r="J93" s="3">
        <f ca="1">IFERROR(__xludf.DUMMYFUNCTION("""COMPUTED_VALUE"""),18.2)</f>
        <v>18.2</v>
      </c>
      <c r="K93" s="3">
        <f ca="1">IFERROR(__xludf.DUMMYFUNCTION("""COMPUTED_VALUE"""),15)</f>
        <v>15</v>
      </c>
      <c r="L93" s="3">
        <f ca="1">IFERROR(__xludf.DUMMYFUNCTION("""COMPUTED_VALUE"""),44.2)</f>
        <v>44.2</v>
      </c>
      <c r="M93" s="3">
        <f ca="1">IFERROR(__xludf.DUMMYFUNCTION("""COMPUTED_VALUE"""),38.2)</f>
        <v>38.200000000000003</v>
      </c>
      <c r="N93" s="3">
        <f ca="1">IFERROR(__xludf.DUMMYFUNCTION("""COMPUTED_VALUE"""),59.2)</f>
        <v>59.2</v>
      </c>
      <c r="O93" s="3">
        <f ca="1">IFERROR(__xludf.DUMMYFUNCTION("""COMPUTED_VALUE"""),2.6)</f>
        <v>2.6</v>
      </c>
      <c r="P93" s="3">
        <f ca="1">IFERROR(__xludf.DUMMYFUNCTION("split(Y93, "" | "")"),49.7)</f>
        <v>49.7</v>
      </c>
      <c r="Q93" s="3">
        <f ca="1">IFERROR(__xludf.DUMMYFUNCTION("""COMPUTED_VALUE"""),27.7)</f>
        <v>27.7</v>
      </c>
      <c r="R93" s="3">
        <f ca="1">IFERROR(__xludf.DUMMYFUNCTION("""COMPUTED_VALUE"""),8.3)</f>
        <v>8.3000000000000007</v>
      </c>
      <c r="S93" s="3">
        <f ca="1">IFERROR(__xludf.DUMMYFUNCTION("""COMPUTED_VALUE"""),11.9)</f>
        <v>11.9</v>
      </c>
      <c r="T93" s="3">
        <f ca="1">IFERROR(__xludf.DUMMYFUNCTION("""COMPUTED_VALUE"""),77.4)</f>
        <v>77.400000000000006</v>
      </c>
      <c r="U93" s="3">
        <f ca="1">IFERROR(__xludf.DUMMYFUNCTION("""COMPUTED_VALUE"""),20.2)</f>
        <v>20.2</v>
      </c>
      <c r="V93" s="3">
        <f ca="1">IFERROR(__xludf.DUMMYFUNCTION("""COMPUTED_VALUE"""),2.4)</f>
        <v>2.4</v>
      </c>
      <c r="W93" s="5"/>
      <c r="X93" s="5"/>
      <c r="Y93" s="5"/>
    </row>
    <row r="94" spans="1:25" ht="13.8">
      <c r="A94" s="2">
        <v>43778</v>
      </c>
      <c r="B94" s="3">
        <f ca="1">IFERROR(__xludf.DUMMYFUNCTION("split(W94, "" | "")"),12.5)</f>
        <v>12.5</v>
      </c>
      <c r="C94" s="3">
        <f ca="1">IFERROR(__xludf.DUMMYFUNCTION("""COMPUTED_VALUE"""),7.9)</f>
        <v>7.9</v>
      </c>
      <c r="D94" s="3">
        <f ca="1">IFERROR(__xludf.DUMMYFUNCTION("""COMPUTED_VALUE"""),15.3)</f>
        <v>15.3</v>
      </c>
      <c r="E94" s="3">
        <f ca="1">IFERROR(__xludf.DUMMYFUNCTION("""COMPUTED_VALUE"""),61.5)</f>
        <v>61.5</v>
      </c>
      <c r="F94" s="3">
        <f ca="1">IFERROR(__xludf.DUMMYFUNCTION("""COMPUTED_VALUE"""),20.4)</f>
        <v>20.399999999999999</v>
      </c>
      <c r="G94" s="3">
        <f ca="1">IFERROR(__xludf.DUMMYFUNCTION("""COMPUTED_VALUE"""),76.8)</f>
        <v>76.8</v>
      </c>
      <c r="H94" s="3">
        <f ca="1">IFERROR(__xludf.DUMMYFUNCTION("""COMPUTED_VALUE"""),2.7)</f>
        <v>2.7</v>
      </c>
      <c r="I94" s="4">
        <f ca="1">IFERROR(__xludf.DUMMYFUNCTION("split(X94, "" | "")"),21.1)</f>
        <v>21.1</v>
      </c>
      <c r="J94" s="3">
        <f ca="1">IFERROR(__xludf.DUMMYFUNCTION("""COMPUTED_VALUE"""),23.2)</f>
        <v>23.2</v>
      </c>
      <c r="K94" s="3">
        <f ca="1">IFERROR(__xludf.DUMMYFUNCTION("""COMPUTED_VALUE"""),13.7)</f>
        <v>13.7</v>
      </c>
      <c r="L94" s="3">
        <f ca="1">IFERROR(__xludf.DUMMYFUNCTION("""COMPUTED_VALUE"""),39.6)</f>
        <v>39.6</v>
      </c>
      <c r="M94" s="3">
        <f ca="1">IFERROR(__xludf.DUMMYFUNCTION("""COMPUTED_VALUE"""),44.3)</f>
        <v>44.3</v>
      </c>
      <c r="N94" s="3">
        <f ca="1">IFERROR(__xludf.DUMMYFUNCTION("""COMPUTED_VALUE"""),53.3)</f>
        <v>53.3</v>
      </c>
      <c r="O94" s="3">
        <f ca="1">IFERROR(__xludf.DUMMYFUNCTION("""COMPUTED_VALUE"""),2.5)</f>
        <v>2.5</v>
      </c>
      <c r="P94" s="3">
        <f ca="1">IFERROR(__xludf.DUMMYFUNCTION("split(Y94, "" | "")"),49.3)</f>
        <v>49.3</v>
      </c>
      <c r="Q94" s="3">
        <f ca="1">IFERROR(__xludf.DUMMYFUNCTION("""COMPUTED_VALUE"""),28.1)</f>
        <v>28.1</v>
      </c>
      <c r="R94" s="3">
        <f ca="1">IFERROR(__xludf.DUMMYFUNCTION("""COMPUTED_VALUE"""),7)</f>
        <v>7</v>
      </c>
      <c r="S94" s="3">
        <f ca="1">IFERROR(__xludf.DUMMYFUNCTION("""COMPUTED_VALUE"""),13.2)</f>
        <v>13.2</v>
      </c>
      <c r="T94" s="3">
        <f ca="1">IFERROR(__xludf.DUMMYFUNCTION("""COMPUTED_VALUE"""),77.4)</f>
        <v>77.400000000000006</v>
      </c>
      <c r="U94" s="3">
        <f ca="1">IFERROR(__xludf.DUMMYFUNCTION("""COMPUTED_VALUE"""),20.2)</f>
        <v>20.2</v>
      </c>
      <c r="V94" s="3">
        <f ca="1">IFERROR(__xludf.DUMMYFUNCTION("""COMPUTED_VALUE"""),2.4)</f>
        <v>2.4</v>
      </c>
      <c r="W94" s="5"/>
      <c r="X94" s="5"/>
      <c r="Y94" s="5"/>
    </row>
    <row r="95" spans="1:25" ht="13.8">
      <c r="A95" s="2">
        <v>43785</v>
      </c>
      <c r="B95" s="3"/>
      <c r="I95" s="4"/>
      <c r="P95" s="3"/>
    </row>
    <row r="96" spans="1:25" ht="13.8">
      <c r="A96" s="2">
        <v>43792</v>
      </c>
      <c r="B96" s="7">
        <v>10.3</v>
      </c>
      <c r="C96" s="5">
        <v>7.3</v>
      </c>
      <c r="D96" s="5">
        <v>13.1</v>
      </c>
      <c r="E96" s="5">
        <v>66.8</v>
      </c>
      <c r="F96" s="5">
        <v>17.600000000000001</v>
      </c>
      <c r="G96" s="5">
        <v>79.900000000000006</v>
      </c>
      <c r="H96" s="5">
        <v>2.5</v>
      </c>
      <c r="I96" s="8">
        <v>26.9</v>
      </c>
      <c r="J96" s="5">
        <v>22.2</v>
      </c>
      <c r="K96" s="5">
        <v>12.2</v>
      </c>
      <c r="L96" s="5">
        <v>35.4</v>
      </c>
      <c r="M96" s="5">
        <v>49.1</v>
      </c>
      <c r="N96" s="5">
        <v>47.6</v>
      </c>
      <c r="O96" s="5">
        <v>3.2</v>
      </c>
      <c r="P96" s="7">
        <v>50.5</v>
      </c>
      <c r="Q96" s="5">
        <v>26.6</v>
      </c>
      <c r="R96" s="5">
        <v>7.6</v>
      </c>
      <c r="S96" s="5">
        <v>12.6</v>
      </c>
      <c r="T96" s="5">
        <v>77.099999999999994</v>
      </c>
      <c r="U96" s="5">
        <v>20.2</v>
      </c>
      <c r="V96" s="5">
        <v>2.7</v>
      </c>
    </row>
    <row r="97" spans="1:25" ht="13.8">
      <c r="A97" s="2">
        <v>43799</v>
      </c>
      <c r="B97" s="3">
        <f ca="1">IFERROR(__xludf.DUMMYFUNCTION("split(W97, "" | "")"),14.3)</f>
        <v>14.3</v>
      </c>
      <c r="C97" s="3">
        <f ca="1">IFERROR(__xludf.DUMMYFUNCTION("""COMPUTED_VALUE"""),7.6)</f>
        <v>7.6</v>
      </c>
      <c r="D97" s="3">
        <f ca="1">IFERROR(__xludf.DUMMYFUNCTION("""COMPUTED_VALUE"""),11.6)</f>
        <v>11.6</v>
      </c>
      <c r="E97" s="3">
        <f ca="1">IFERROR(__xludf.DUMMYFUNCTION("""COMPUTED_VALUE"""),64.2)</f>
        <v>64.2</v>
      </c>
      <c r="F97" s="3">
        <f ca="1">IFERROR(__xludf.DUMMYFUNCTION("""COMPUTED_VALUE"""),21.8)</f>
        <v>21.8</v>
      </c>
      <c r="G97" s="3">
        <f ca="1">IFERROR(__xludf.DUMMYFUNCTION("""COMPUTED_VALUE"""),75.9)</f>
        <v>75.900000000000006</v>
      </c>
      <c r="H97" s="3">
        <f ca="1">IFERROR(__xludf.DUMMYFUNCTION("""COMPUTED_VALUE"""),2.3)</f>
        <v>2.2999999999999998</v>
      </c>
      <c r="I97" s="4">
        <f ca="1">IFERROR(__xludf.DUMMYFUNCTION("split(X97, "" | "")"),23.7)</f>
        <v>23.7</v>
      </c>
      <c r="J97" s="3">
        <f ca="1">IFERROR(__xludf.DUMMYFUNCTION("""COMPUTED_VALUE"""),21.9)</f>
        <v>21.9</v>
      </c>
      <c r="K97" s="3">
        <f ca="1">IFERROR(__xludf.DUMMYFUNCTION("""COMPUTED_VALUE"""),13.7)</f>
        <v>13.7</v>
      </c>
      <c r="L97" s="3">
        <f ca="1">IFERROR(__xludf.DUMMYFUNCTION("""COMPUTED_VALUE"""),38)</f>
        <v>38</v>
      </c>
      <c r="M97" s="3">
        <f ca="1">IFERROR(__xludf.DUMMYFUNCTION("""COMPUTED_VALUE"""),45.5)</f>
        <v>45.5</v>
      </c>
      <c r="N97" s="3">
        <f ca="1">IFERROR(__xludf.DUMMYFUNCTION("""COMPUTED_VALUE"""),51.6)</f>
        <v>51.6</v>
      </c>
      <c r="O97" s="3">
        <f ca="1">IFERROR(__xludf.DUMMYFUNCTION("""COMPUTED_VALUE"""),2.9)</f>
        <v>2.9</v>
      </c>
      <c r="P97" s="3">
        <f ca="1">IFERROR(__xludf.DUMMYFUNCTION("split(Y97, "" | "")"),44.6)</f>
        <v>44.6</v>
      </c>
      <c r="Q97" s="3">
        <f ca="1">IFERROR(__xludf.DUMMYFUNCTION("""COMPUTED_VALUE"""),28.3)</f>
        <v>28.3</v>
      </c>
      <c r="R97" s="3">
        <f ca="1">IFERROR(__xludf.DUMMYFUNCTION("""COMPUTED_VALUE"""),9.5)</f>
        <v>9.5</v>
      </c>
      <c r="S97" s="3">
        <f ca="1">IFERROR(__xludf.DUMMYFUNCTION("""COMPUTED_VALUE"""),14.6)</f>
        <v>14.6</v>
      </c>
      <c r="T97" s="3">
        <f ca="1">IFERROR(__xludf.DUMMYFUNCTION("""COMPUTED_VALUE"""),72.9)</f>
        <v>72.900000000000006</v>
      </c>
      <c r="U97" s="3">
        <f ca="1">IFERROR(__xludf.DUMMYFUNCTION("""COMPUTED_VALUE"""),24.1)</f>
        <v>24.1</v>
      </c>
      <c r="V97" s="3">
        <f ca="1">IFERROR(__xludf.DUMMYFUNCTION("""COMPUTED_VALUE"""),3)</f>
        <v>3</v>
      </c>
      <c r="W97" s="5"/>
      <c r="X97" s="5"/>
      <c r="Y97" s="5"/>
    </row>
    <row r="98" spans="1:25" ht="13.8">
      <c r="A98" s="2">
        <v>43806</v>
      </c>
      <c r="B98" s="3">
        <f ca="1">IFERROR(__xludf.DUMMYFUNCTION("split(W98, "" | "")"),14.1)</f>
        <v>14.1</v>
      </c>
      <c r="C98" s="3">
        <f ca="1">IFERROR(__xludf.DUMMYFUNCTION("""COMPUTED_VALUE"""),7.2)</f>
        <v>7.2</v>
      </c>
      <c r="D98" s="3">
        <f ca="1">IFERROR(__xludf.DUMMYFUNCTION("""COMPUTED_VALUE"""),12.2)</f>
        <v>12.2</v>
      </c>
      <c r="E98" s="3">
        <f ca="1">IFERROR(__xludf.DUMMYFUNCTION("""COMPUTED_VALUE"""),63.7)</f>
        <v>63.7</v>
      </c>
      <c r="F98" s="3">
        <f ca="1">IFERROR(__xludf.DUMMYFUNCTION("""COMPUTED_VALUE"""),21.3)</f>
        <v>21.3</v>
      </c>
      <c r="G98" s="3">
        <f ca="1">IFERROR(__xludf.DUMMYFUNCTION("""COMPUTED_VALUE"""),75.9)</f>
        <v>75.900000000000006</v>
      </c>
      <c r="H98" s="3">
        <f ca="1">IFERROR(__xludf.DUMMYFUNCTION("""COMPUTED_VALUE"""),2.8)</f>
        <v>2.8</v>
      </c>
      <c r="I98" s="4">
        <f ca="1">IFERROR(__xludf.DUMMYFUNCTION("split(X98, "" | "")"),21.9)</f>
        <v>21.9</v>
      </c>
      <c r="J98" s="3">
        <f ca="1">IFERROR(__xludf.DUMMYFUNCTION("""COMPUTED_VALUE"""),22.7)</f>
        <v>22.7</v>
      </c>
      <c r="K98" s="3">
        <f ca="1">IFERROR(__xludf.DUMMYFUNCTION("""COMPUTED_VALUE"""),15.6)</f>
        <v>15.6</v>
      </c>
      <c r="L98" s="3">
        <f ca="1">IFERROR(__xludf.DUMMYFUNCTION("""COMPUTED_VALUE"""),36.7)</f>
        <v>36.700000000000003</v>
      </c>
      <c r="M98" s="3">
        <f ca="1">IFERROR(__xludf.DUMMYFUNCTION("""COMPUTED_VALUE"""),44.6)</f>
        <v>44.6</v>
      </c>
      <c r="N98" s="3">
        <f ca="1">IFERROR(__xludf.DUMMYFUNCTION("""COMPUTED_VALUE"""),52.3)</f>
        <v>52.3</v>
      </c>
      <c r="O98" s="3">
        <f ca="1">IFERROR(__xludf.DUMMYFUNCTION("""COMPUTED_VALUE"""),3)</f>
        <v>3</v>
      </c>
      <c r="P98" s="3">
        <f ca="1">IFERROR(__xludf.DUMMYFUNCTION("split(Y98, "" | "")"),45.6)</f>
        <v>45.6</v>
      </c>
      <c r="Q98" s="3">
        <f ca="1">IFERROR(__xludf.DUMMYFUNCTION("""COMPUTED_VALUE"""),32.6)</f>
        <v>32.6</v>
      </c>
      <c r="R98" s="3">
        <f ca="1">IFERROR(__xludf.DUMMYFUNCTION("""COMPUTED_VALUE"""),9)</f>
        <v>9</v>
      </c>
      <c r="S98" s="3">
        <f ca="1">IFERROR(__xludf.DUMMYFUNCTION("""COMPUTED_VALUE"""),11.1)</f>
        <v>11.1</v>
      </c>
      <c r="T98" s="3">
        <f ca="1">IFERROR(__xludf.DUMMYFUNCTION("""COMPUTED_VALUE"""),78.2)</f>
        <v>78.2</v>
      </c>
      <c r="U98" s="3">
        <f ca="1">IFERROR(__xludf.DUMMYFUNCTION("""COMPUTED_VALUE"""),20.1)</f>
        <v>20.100000000000001</v>
      </c>
      <c r="V98" s="3">
        <f ca="1">IFERROR(__xludf.DUMMYFUNCTION("""COMPUTED_VALUE"""),1.7)</f>
        <v>1.7</v>
      </c>
      <c r="W98" s="5"/>
      <c r="X98" s="5"/>
      <c r="Y98" s="5"/>
    </row>
    <row r="99" spans="1:25" ht="13.8">
      <c r="A99" s="2">
        <v>43813</v>
      </c>
      <c r="B99" s="3">
        <f ca="1">IFERROR(__xludf.DUMMYFUNCTION("split(W99, "" | "")"),11.3)</f>
        <v>11.3</v>
      </c>
      <c r="C99" s="3">
        <f ca="1">IFERROR(__xludf.DUMMYFUNCTION("""COMPUTED_VALUE"""),5.6)</f>
        <v>5.6</v>
      </c>
      <c r="D99" s="3">
        <f ca="1">IFERROR(__xludf.DUMMYFUNCTION("""COMPUTED_VALUE"""),13.8)</f>
        <v>13.8</v>
      </c>
      <c r="E99" s="3">
        <f ca="1">IFERROR(__xludf.DUMMYFUNCTION("""COMPUTED_VALUE"""),66.9)</f>
        <v>66.900000000000006</v>
      </c>
      <c r="F99" s="3">
        <f ca="1">IFERROR(__xludf.DUMMYFUNCTION("""COMPUTED_VALUE"""),16.9)</f>
        <v>16.899999999999999</v>
      </c>
      <c r="G99" s="3">
        <f ca="1">IFERROR(__xludf.DUMMYFUNCTION("""COMPUTED_VALUE"""),80.8)</f>
        <v>80.8</v>
      </c>
      <c r="H99" s="3">
        <f ca="1">IFERROR(__xludf.DUMMYFUNCTION("""COMPUTED_VALUE"""),2.3)</f>
        <v>2.2999999999999998</v>
      </c>
      <c r="I99" s="4">
        <f ca="1">IFERROR(__xludf.DUMMYFUNCTION("split(X99, "" | "")"),21.3)</f>
        <v>21.3</v>
      </c>
      <c r="J99" s="3">
        <f ca="1">IFERROR(__xludf.DUMMYFUNCTION("""COMPUTED_VALUE"""),22.1)</f>
        <v>22.1</v>
      </c>
      <c r="K99" s="3">
        <f ca="1">IFERROR(__xludf.DUMMYFUNCTION("""COMPUTED_VALUE"""),12.7)</f>
        <v>12.7</v>
      </c>
      <c r="L99" s="3">
        <f ca="1">IFERROR(__xludf.DUMMYFUNCTION("""COMPUTED_VALUE"""),39.2)</f>
        <v>39.200000000000003</v>
      </c>
      <c r="M99" s="3">
        <f ca="1">IFERROR(__xludf.DUMMYFUNCTION("""COMPUTED_VALUE"""),43.4)</f>
        <v>43.4</v>
      </c>
      <c r="N99" s="3">
        <f ca="1">IFERROR(__xludf.DUMMYFUNCTION("""COMPUTED_VALUE"""),51.9)</f>
        <v>51.9</v>
      </c>
      <c r="O99" s="3">
        <f ca="1">IFERROR(__xludf.DUMMYFUNCTION("""COMPUTED_VALUE"""),4.7)</f>
        <v>4.7</v>
      </c>
      <c r="P99" s="3">
        <f ca="1">IFERROR(__xludf.DUMMYFUNCTION("split(Y99, "" | "")"),47.8)</f>
        <v>47.8</v>
      </c>
      <c r="Q99" s="3">
        <f ca="1">IFERROR(__xludf.DUMMYFUNCTION("""COMPUTED_VALUE"""),29.2)</f>
        <v>29.2</v>
      </c>
      <c r="R99" s="3">
        <f ca="1">IFERROR(__xludf.DUMMYFUNCTION("""COMPUTED_VALUE"""),7.7)</f>
        <v>7.7</v>
      </c>
      <c r="S99" s="3">
        <f ca="1">IFERROR(__xludf.DUMMYFUNCTION("""COMPUTED_VALUE"""),13.3)</f>
        <v>13.3</v>
      </c>
      <c r="T99" s="3">
        <f ca="1">IFERROR(__xludf.DUMMYFUNCTION("""COMPUTED_VALUE"""),77)</f>
        <v>77</v>
      </c>
      <c r="U99" s="3">
        <f ca="1">IFERROR(__xludf.DUMMYFUNCTION("""COMPUTED_VALUE"""),21)</f>
        <v>21</v>
      </c>
      <c r="V99" s="3">
        <f ca="1">IFERROR(__xludf.DUMMYFUNCTION("""COMPUTED_VALUE"""),2)</f>
        <v>2</v>
      </c>
      <c r="W99" s="5"/>
      <c r="X99" s="5"/>
      <c r="Y99" s="5"/>
    </row>
    <row r="100" spans="1:25" ht="13.8">
      <c r="A100" s="2">
        <v>43820</v>
      </c>
      <c r="B100" s="3">
        <f ca="1">IFERROR(__xludf.DUMMYFUNCTION("split(W100, "" | "")"),14.2)</f>
        <v>14.2</v>
      </c>
      <c r="C100" s="3">
        <f ca="1">IFERROR(__xludf.DUMMYFUNCTION("""COMPUTED_VALUE"""),7.5)</f>
        <v>7.5</v>
      </c>
      <c r="D100" s="3">
        <f ca="1">IFERROR(__xludf.DUMMYFUNCTION("""COMPUTED_VALUE"""),14.1)</f>
        <v>14.1</v>
      </c>
      <c r="E100" s="3">
        <f ca="1">IFERROR(__xludf.DUMMYFUNCTION("""COMPUTED_VALUE"""),61.9)</f>
        <v>61.9</v>
      </c>
      <c r="F100" s="3">
        <f ca="1">IFERROR(__xludf.DUMMYFUNCTION("""COMPUTED_VALUE"""),21.7)</f>
        <v>21.7</v>
      </c>
      <c r="G100" s="3">
        <f ca="1">IFERROR(__xludf.DUMMYFUNCTION("""COMPUTED_VALUE"""),76)</f>
        <v>76</v>
      </c>
      <c r="H100" s="3">
        <f ca="1">IFERROR(__xludf.DUMMYFUNCTION("""COMPUTED_VALUE"""),2.3)</f>
        <v>2.2999999999999998</v>
      </c>
      <c r="I100" s="4">
        <f ca="1">IFERROR(__xludf.DUMMYFUNCTION("split(X100, "" | "")"),25.7)</f>
        <v>25.7</v>
      </c>
      <c r="J100" s="3">
        <f ca="1">IFERROR(__xludf.DUMMYFUNCTION("""COMPUTED_VALUE"""),22.2)</f>
        <v>22.2</v>
      </c>
      <c r="K100" s="3">
        <f ca="1">IFERROR(__xludf.DUMMYFUNCTION("""COMPUTED_VALUE"""),15)</f>
        <v>15</v>
      </c>
      <c r="L100" s="3">
        <f ca="1">IFERROR(__xludf.DUMMYFUNCTION("""COMPUTED_VALUE"""),34.3)</f>
        <v>34.299999999999997</v>
      </c>
      <c r="M100" s="3">
        <f ca="1">IFERROR(__xludf.DUMMYFUNCTION("""COMPUTED_VALUE"""),47.9)</f>
        <v>47.9</v>
      </c>
      <c r="N100" s="3">
        <f ca="1">IFERROR(__xludf.DUMMYFUNCTION("""COMPUTED_VALUE"""),49.3)</f>
        <v>49.3</v>
      </c>
      <c r="O100" s="3">
        <f ca="1">IFERROR(__xludf.DUMMYFUNCTION("""COMPUTED_VALUE"""),2.8)</f>
        <v>2.8</v>
      </c>
      <c r="P100" s="3">
        <f ca="1">IFERROR(__xludf.DUMMYFUNCTION("split(Y100, "" | "")"),52.4)</f>
        <v>52.4</v>
      </c>
      <c r="Q100" s="3">
        <f ca="1">IFERROR(__xludf.DUMMYFUNCTION("""COMPUTED_VALUE"""),26.6)</f>
        <v>26.6</v>
      </c>
      <c r="R100" s="3">
        <f ca="1">IFERROR(__xludf.DUMMYFUNCTION("""COMPUTED_VALUE"""),7)</f>
        <v>7</v>
      </c>
      <c r="S100" s="3">
        <f ca="1">IFERROR(__xludf.DUMMYFUNCTION("""COMPUTED_VALUE"""),12.3)</f>
        <v>12.3</v>
      </c>
      <c r="T100" s="3">
        <f ca="1">IFERROR(__xludf.DUMMYFUNCTION("""COMPUTED_VALUE"""),79)</f>
        <v>79</v>
      </c>
      <c r="U100" s="3">
        <f ca="1">IFERROR(__xludf.DUMMYFUNCTION("""COMPUTED_VALUE"""),19.3)</f>
        <v>19.3</v>
      </c>
      <c r="V100" s="3">
        <f ca="1">IFERROR(__xludf.DUMMYFUNCTION("""COMPUTED_VALUE"""),1.7)</f>
        <v>1.7</v>
      </c>
      <c r="W100" s="5"/>
      <c r="X100" s="5"/>
      <c r="Y100" s="5"/>
    </row>
    <row r="101" spans="1:25" ht="13.8">
      <c r="A101" s="2">
        <v>43827</v>
      </c>
      <c r="B101" s="3">
        <f ca="1">IFERROR(__xludf.DUMMYFUNCTION("split(W101, "" | "")"),14.5)</f>
        <v>14.5</v>
      </c>
      <c r="C101" s="3">
        <f ca="1">IFERROR(__xludf.DUMMYFUNCTION("""COMPUTED_VALUE"""),6.4)</f>
        <v>6.4</v>
      </c>
      <c r="D101" s="3">
        <f ca="1">IFERROR(__xludf.DUMMYFUNCTION("""COMPUTED_VALUE"""),13.8)</f>
        <v>13.8</v>
      </c>
      <c r="E101" s="3">
        <f ca="1">IFERROR(__xludf.DUMMYFUNCTION("""COMPUTED_VALUE"""),62.7)</f>
        <v>62.7</v>
      </c>
      <c r="F101" s="3">
        <f ca="1">IFERROR(__xludf.DUMMYFUNCTION("""COMPUTED_VALUE"""),20.8)</f>
        <v>20.8</v>
      </c>
      <c r="G101" s="3">
        <f ca="1">IFERROR(__xludf.DUMMYFUNCTION("""COMPUTED_VALUE"""),76.6)</f>
        <v>76.599999999999994</v>
      </c>
      <c r="H101" s="3">
        <f ca="1">IFERROR(__xludf.DUMMYFUNCTION("""COMPUTED_VALUE"""),2.6)</f>
        <v>2.6</v>
      </c>
      <c r="I101" s="4">
        <f ca="1">IFERROR(__xludf.DUMMYFUNCTION("split(X101, "" | "")"),26.1)</f>
        <v>26.1</v>
      </c>
      <c r="J101" s="3">
        <f ca="1">IFERROR(__xludf.DUMMYFUNCTION("""COMPUTED_VALUE"""),20.7)</f>
        <v>20.7</v>
      </c>
      <c r="K101" s="3">
        <f ca="1">IFERROR(__xludf.DUMMYFUNCTION("""COMPUTED_VALUE"""),15.5)</f>
        <v>15.5</v>
      </c>
      <c r="L101" s="3">
        <f ca="1">IFERROR(__xludf.DUMMYFUNCTION("""COMPUTED_VALUE"""),34.9)</f>
        <v>34.9</v>
      </c>
      <c r="M101" s="3">
        <f ca="1">IFERROR(__xludf.DUMMYFUNCTION("""COMPUTED_VALUE"""),46.9)</f>
        <v>46.9</v>
      </c>
      <c r="N101" s="3">
        <f ca="1">IFERROR(__xludf.DUMMYFUNCTION("""COMPUTED_VALUE"""),50.3)</f>
        <v>50.3</v>
      </c>
      <c r="O101" s="3">
        <f ca="1">IFERROR(__xludf.DUMMYFUNCTION("""COMPUTED_VALUE"""),2.8)</f>
        <v>2.8</v>
      </c>
      <c r="P101" s="3">
        <f ca="1">IFERROR(__xludf.DUMMYFUNCTION("split(Y101, "" | "")"),48.2)</f>
        <v>48.2</v>
      </c>
      <c r="Q101" s="3">
        <f ca="1">IFERROR(__xludf.DUMMYFUNCTION("""COMPUTED_VALUE"""),28.4)</f>
        <v>28.4</v>
      </c>
      <c r="R101" s="3">
        <f ca="1">IFERROR(__xludf.DUMMYFUNCTION("""COMPUTED_VALUE"""),6.7)</f>
        <v>6.7</v>
      </c>
      <c r="S101" s="3">
        <f ca="1">IFERROR(__xludf.DUMMYFUNCTION("""COMPUTED_VALUE"""),12.5)</f>
        <v>12.5</v>
      </c>
      <c r="T101" s="3">
        <f ca="1">IFERROR(__xludf.DUMMYFUNCTION("""COMPUTED_VALUE"""),76.6)</f>
        <v>76.599999999999994</v>
      </c>
      <c r="U101" s="3">
        <f ca="1">IFERROR(__xludf.DUMMYFUNCTION("""COMPUTED_VALUE"""),19.1)</f>
        <v>19.100000000000001</v>
      </c>
      <c r="V101" s="3">
        <f ca="1">IFERROR(__xludf.DUMMYFUNCTION("""COMPUTED_VALUE"""),4.3)</f>
        <v>4.3</v>
      </c>
      <c r="W101" s="5"/>
      <c r="X101" s="5"/>
      <c r="Y101" s="5"/>
    </row>
    <row r="102" spans="1:25" ht="13.8">
      <c r="A102" s="2">
        <v>43834</v>
      </c>
      <c r="B102" s="3">
        <f ca="1">IFERROR(__xludf.DUMMYFUNCTION("split(W102, "" | "")"),12.4)</f>
        <v>12.4</v>
      </c>
      <c r="C102" s="3">
        <f ca="1">IFERROR(__xludf.DUMMYFUNCTION("""COMPUTED_VALUE"""),9.5)</f>
        <v>9.5</v>
      </c>
      <c r="D102" s="3">
        <f ca="1">IFERROR(__xludf.DUMMYFUNCTION("""COMPUTED_VALUE"""),11.2)</f>
        <v>11.2</v>
      </c>
      <c r="E102" s="3">
        <f ca="1">IFERROR(__xludf.DUMMYFUNCTION("""COMPUTED_VALUE"""),64.4)</f>
        <v>64.400000000000006</v>
      </c>
      <c r="F102" s="3">
        <f ca="1">IFERROR(__xludf.DUMMYFUNCTION("""COMPUTED_VALUE"""),21.8)</f>
        <v>21.8</v>
      </c>
      <c r="G102" s="3">
        <f ca="1">IFERROR(__xludf.DUMMYFUNCTION("""COMPUTED_VALUE"""),75.6)</f>
        <v>75.599999999999994</v>
      </c>
      <c r="H102" s="3">
        <f ca="1">IFERROR(__xludf.DUMMYFUNCTION("""COMPUTED_VALUE"""),2.6)</f>
        <v>2.6</v>
      </c>
      <c r="I102" s="4">
        <f ca="1">IFERROR(__xludf.DUMMYFUNCTION("split(X102, "" | "")"),23.7)</f>
        <v>23.7</v>
      </c>
      <c r="J102" s="3">
        <f ca="1">IFERROR(__xludf.DUMMYFUNCTION("""COMPUTED_VALUE"""),19.9)</f>
        <v>19.899999999999999</v>
      </c>
      <c r="K102" s="3">
        <f ca="1">IFERROR(__xludf.DUMMYFUNCTION("""COMPUTED_VALUE"""),17.1)</f>
        <v>17.100000000000001</v>
      </c>
      <c r="L102" s="3">
        <f ca="1">IFERROR(__xludf.DUMMYFUNCTION("""COMPUTED_VALUE"""),35.6)</f>
        <v>35.6</v>
      </c>
      <c r="M102" s="3">
        <f ca="1">IFERROR(__xludf.DUMMYFUNCTION("""COMPUTED_VALUE"""),43.7)</f>
        <v>43.7</v>
      </c>
      <c r="N102" s="3">
        <f ca="1">IFERROR(__xludf.DUMMYFUNCTION("""COMPUTED_VALUE"""),52.7)</f>
        <v>52.7</v>
      </c>
      <c r="O102" s="3">
        <f ca="1">IFERROR(__xludf.DUMMYFUNCTION("""COMPUTED_VALUE"""),3.7)</f>
        <v>3.7</v>
      </c>
      <c r="P102" s="3">
        <f ca="1">IFERROR(__xludf.DUMMYFUNCTION("split(Y102, "" | "")"),49.5)</f>
        <v>49.5</v>
      </c>
      <c r="Q102" s="3">
        <f ca="1">IFERROR(__xludf.DUMMYFUNCTION("""COMPUTED_VALUE"""),27.2)</f>
        <v>27.2</v>
      </c>
      <c r="R102" s="3">
        <f ca="1">IFERROR(__xludf.DUMMYFUNCTION("""COMPUTED_VALUE"""),7.7)</f>
        <v>7.7</v>
      </c>
      <c r="S102" s="3">
        <f ca="1">IFERROR(__xludf.DUMMYFUNCTION("""COMPUTED_VALUE"""),13.1)</f>
        <v>13.1</v>
      </c>
      <c r="T102" s="3">
        <f ca="1">IFERROR(__xludf.DUMMYFUNCTION("""COMPUTED_VALUE"""),76.7)</f>
        <v>76.7</v>
      </c>
      <c r="U102" s="3">
        <f ca="1">IFERROR(__xludf.DUMMYFUNCTION("""COMPUTED_VALUE"""),20.7)</f>
        <v>20.7</v>
      </c>
      <c r="V102" s="3">
        <f ca="1">IFERROR(__xludf.DUMMYFUNCTION("""COMPUTED_VALUE"""),2.6)</f>
        <v>2.6</v>
      </c>
      <c r="W102" s="5"/>
      <c r="X102" s="5"/>
      <c r="Y102" s="5"/>
    </row>
    <row r="103" spans="1:25" ht="13.8">
      <c r="A103" s="2">
        <v>43841</v>
      </c>
      <c r="B103" s="3">
        <f ca="1">IFERROR(__xludf.DUMMYFUNCTION("split(W103, "" | "")"),11.8)</f>
        <v>11.8</v>
      </c>
      <c r="C103" s="3">
        <f ca="1">IFERROR(__xludf.DUMMYFUNCTION("""COMPUTED_VALUE"""),7.1)</f>
        <v>7.1</v>
      </c>
      <c r="D103" s="3">
        <f ca="1">IFERROR(__xludf.DUMMYFUNCTION("""COMPUTED_VALUE"""),11.7)</f>
        <v>11.7</v>
      </c>
      <c r="E103" s="3">
        <f ca="1">IFERROR(__xludf.DUMMYFUNCTION("""COMPUTED_VALUE"""),67.2)</f>
        <v>67.2</v>
      </c>
      <c r="F103" s="3">
        <f ca="1">IFERROR(__xludf.DUMMYFUNCTION("""COMPUTED_VALUE"""),18.8)</f>
        <v>18.8</v>
      </c>
      <c r="G103" s="3">
        <f ca="1">IFERROR(__xludf.DUMMYFUNCTION("""COMPUTED_VALUE"""),78.9)</f>
        <v>78.900000000000006</v>
      </c>
      <c r="H103" s="3">
        <f ca="1">IFERROR(__xludf.DUMMYFUNCTION("""COMPUTED_VALUE"""),2.3)</f>
        <v>2.2999999999999998</v>
      </c>
      <c r="I103" s="4">
        <f ca="1">IFERROR(__xludf.DUMMYFUNCTION("split(X103, "" | "")"),20.6)</f>
        <v>20.6</v>
      </c>
      <c r="J103" s="3">
        <f ca="1">IFERROR(__xludf.DUMMYFUNCTION("""COMPUTED_VALUE"""),20.8)</f>
        <v>20.8</v>
      </c>
      <c r="K103" s="3">
        <f ca="1">IFERROR(__xludf.DUMMYFUNCTION("""COMPUTED_VALUE"""),12.2)</f>
        <v>12.2</v>
      </c>
      <c r="L103" s="3">
        <f ca="1">IFERROR(__xludf.DUMMYFUNCTION("""COMPUTED_VALUE"""),43.8)</f>
        <v>43.8</v>
      </c>
      <c r="M103" s="3">
        <f ca="1">IFERROR(__xludf.DUMMYFUNCTION("""COMPUTED_VALUE"""),41.4)</f>
        <v>41.4</v>
      </c>
      <c r="N103" s="3">
        <f ca="1">IFERROR(__xludf.DUMMYFUNCTION("""COMPUTED_VALUE"""),56)</f>
        <v>56</v>
      </c>
      <c r="O103" s="3">
        <f ca="1">IFERROR(__xludf.DUMMYFUNCTION("""COMPUTED_VALUE"""),2.6)</f>
        <v>2.6</v>
      </c>
      <c r="P103" s="3">
        <f ca="1">IFERROR(__xludf.DUMMYFUNCTION("split(Y103, "" | "")"),48.5)</f>
        <v>48.5</v>
      </c>
      <c r="Q103" s="3">
        <f ca="1">IFERROR(__xludf.DUMMYFUNCTION("""COMPUTED_VALUE"""),27)</f>
        <v>27</v>
      </c>
      <c r="R103" s="3">
        <f ca="1">IFERROR(__xludf.DUMMYFUNCTION("""COMPUTED_VALUE"""),6.5)</f>
        <v>6.5</v>
      </c>
      <c r="S103" s="3">
        <f ca="1">IFERROR(__xludf.DUMMYFUNCTION("""COMPUTED_VALUE"""),15.2)</f>
        <v>15.2</v>
      </c>
      <c r="T103" s="3">
        <f ca="1">IFERROR(__xludf.DUMMYFUNCTION("""COMPUTED_VALUE"""),75.5)</f>
        <v>75.5</v>
      </c>
      <c r="U103" s="3">
        <f ca="1">IFERROR(__xludf.DUMMYFUNCTION("""COMPUTED_VALUE"""),21.7)</f>
        <v>21.7</v>
      </c>
      <c r="V103" s="3">
        <f ca="1">IFERROR(__xludf.DUMMYFUNCTION("""COMPUTED_VALUE"""),2.8)</f>
        <v>2.8</v>
      </c>
      <c r="W103" s="5"/>
      <c r="X103" s="5"/>
      <c r="Y103" s="5"/>
    </row>
    <row r="104" spans="1:25" ht="13.8">
      <c r="A104" s="2">
        <v>43848</v>
      </c>
      <c r="B104" s="3">
        <f ca="1">IFERROR(__xludf.DUMMYFUNCTION("split(W104, "" | "")"),14.1)</f>
        <v>14.1</v>
      </c>
      <c r="C104" s="3">
        <f ca="1">IFERROR(__xludf.DUMMYFUNCTION("""COMPUTED_VALUE"""),7.3)</f>
        <v>7.3</v>
      </c>
      <c r="D104" s="3">
        <f ca="1">IFERROR(__xludf.DUMMYFUNCTION("""COMPUTED_VALUE"""),9.6)</f>
        <v>9.6</v>
      </c>
      <c r="E104" s="3">
        <f ca="1">IFERROR(__xludf.DUMMYFUNCTION("""COMPUTED_VALUE"""),67.3)</f>
        <v>67.3</v>
      </c>
      <c r="F104" s="3">
        <f ca="1">IFERROR(__xludf.DUMMYFUNCTION("""COMPUTED_VALUE"""),21.5)</f>
        <v>21.5</v>
      </c>
      <c r="G104" s="3">
        <f ca="1">IFERROR(__xludf.DUMMYFUNCTION("""COMPUTED_VALUE"""),76.9)</f>
        <v>76.900000000000006</v>
      </c>
      <c r="H104" s="3">
        <f ca="1">IFERROR(__xludf.DUMMYFUNCTION("""COMPUTED_VALUE"""),1.6)</f>
        <v>1.6</v>
      </c>
      <c r="I104" s="4">
        <f ca="1">IFERROR(__xludf.DUMMYFUNCTION("split(X104, "" | "")"),22.2)</f>
        <v>22.2</v>
      </c>
      <c r="J104" s="3">
        <f ca="1">IFERROR(__xludf.DUMMYFUNCTION("""COMPUTED_VALUE"""),19.1)</f>
        <v>19.100000000000001</v>
      </c>
      <c r="K104" s="3">
        <f ca="1">IFERROR(__xludf.DUMMYFUNCTION("""COMPUTED_VALUE"""),13.2)</f>
        <v>13.2</v>
      </c>
      <c r="L104" s="3">
        <f ca="1">IFERROR(__xludf.DUMMYFUNCTION("""COMPUTED_VALUE"""),42.8)</f>
        <v>42.8</v>
      </c>
      <c r="M104" s="3">
        <f ca="1">IFERROR(__xludf.DUMMYFUNCTION("""COMPUTED_VALUE"""),41.4)</f>
        <v>41.4</v>
      </c>
      <c r="N104" s="3">
        <f ca="1">IFERROR(__xludf.DUMMYFUNCTION("""COMPUTED_VALUE"""),56)</f>
        <v>56</v>
      </c>
      <c r="O104" s="3">
        <f ca="1">IFERROR(__xludf.DUMMYFUNCTION("""COMPUTED_VALUE"""),2.6)</f>
        <v>2.6</v>
      </c>
      <c r="P104" s="3">
        <f ca="1">IFERROR(__xludf.DUMMYFUNCTION("split(Y104, "" | "")"),49.6)</f>
        <v>49.6</v>
      </c>
      <c r="Q104" s="3">
        <f ca="1">IFERROR(__xludf.DUMMYFUNCTION("""COMPUTED_VALUE"""),28.5)</f>
        <v>28.5</v>
      </c>
      <c r="R104" s="3">
        <f ca="1">IFERROR(__xludf.DUMMYFUNCTION("""COMPUTED_VALUE"""),6.8)</f>
        <v>6.8</v>
      </c>
      <c r="S104" s="3">
        <f ca="1">IFERROR(__xludf.DUMMYFUNCTION("""COMPUTED_VALUE"""),13.8)</f>
        <v>13.8</v>
      </c>
      <c r="T104" s="3">
        <f ca="1">IFERROR(__xludf.DUMMYFUNCTION("""COMPUTED_VALUE"""),78.1)</f>
        <v>78.099999999999994</v>
      </c>
      <c r="U104" s="3">
        <f ca="1">IFERROR(__xludf.DUMMYFUNCTION("""COMPUTED_VALUE"""),20.6)</f>
        <v>20.6</v>
      </c>
      <c r="V104" s="3">
        <f ca="1">IFERROR(__xludf.DUMMYFUNCTION("""COMPUTED_VALUE"""),1.4)</f>
        <v>1.4</v>
      </c>
      <c r="W104" s="5"/>
      <c r="X104" s="5"/>
      <c r="Y104" s="5"/>
    </row>
    <row r="105" spans="1:25" ht="13.8">
      <c r="A105" s="2">
        <v>43855</v>
      </c>
      <c r="B105" s="3">
        <f ca="1">IFERROR(__xludf.DUMMYFUNCTION("split(W105, "" | "")"),11.8)</f>
        <v>11.8</v>
      </c>
      <c r="C105" s="3">
        <f ca="1">IFERROR(__xludf.DUMMYFUNCTION("""COMPUTED_VALUE"""),4.7)</f>
        <v>4.7</v>
      </c>
      <c r="D105" s="3">
        <f ca="1">IFERROR(__xludf.DUMMYFUNCTION("""COMPUTED_VALUE"""),13.2)</f>
        <v>13.2</v>
      </c>
      <c r="E105" s="3">
        <f ca="1">IFERROR(__xludf.DUMMYFUNCTION("""COMPUTED_VALUE"""),68.5)</f>
        <v>68.5</v>
      </c>
      <c r="F105" s="3">
        <f ca="1">IFERROR(__xludf.DUMMYFUNCTION("""COMPUTED_VALUE"""),16.5)</f>
        <v>16.5</v>
      </c>
      <c r="G105" s="3">
        <f ca="1">IFERROR(__xludf.DUMMYFUNCTION("""COMPUTED_VALUE"""),81.7)</f>
        <v>81.7</v>
      </c>
      <c r="H105" s="3">
        <f ca="1">IFERROR(__xludf.DUMMYFUNCTION("""COMPUTED_VALUE"""),1.8)</f>
        <v>1.8</v>
      </c>
      <c r="I105" s="4">
        <f ca="1">IFERROR(__xludf.DUMMYFUNCTION("split(X105, "" | "")"),16.9)</f>
        <v>16.899999999999999</v>
      </c>
      <c r="J105" s="3">
        <f ca="1">IFERROR(__xludf.DUMMYFUNCTION("""COMPUTED_VALUE"""),21.7)</f>
        <v>21.7</v>
      </c>
      <c r="K105" s="3">
        <f ca="1">IFERROR(__xludf.DUMMYFUNCTION("""COMPUTED_VALUE"""),16.9)</f>
        <v>16.899999999999999</v>
      </c>
      <c r="L105" s="3">
        <f ca="1">IFERROR(__xludf.DUMMYFUNCTION("""COMPUTED_VALUE"""),38.9)</f>
        <v>38.9</v>
      </c>
      <c r="M105" s="3">
        <f ca="1">IFERROR(__xludf.DUMMYFUNCTION("""COMPUTED_VALUE"""),38.6)</f>
        <v>38.6</v>
      </c>
      <c r="N105" s="3">
        <f ca="1">IFERROR(__xludf.DUMMYFUNCTION("""COMPUTED_VALUE"""),55.8)</f>
        <v>55.8</v>
      </c>
      <c r="O105" s="3">
        <f ca="1">IFERROR(__xludf.DUMMYFUNCTION("""COMPUTED_VALUE"""),5.6)</f>
        <v>5.6</v>
      </c>
      <c r="P105" s="3">
        <f ca="1">IFERROR(__xludf.DUMMYFUNCTION("split(Y105, "" | "")"),48)</f>
        <v>48</v>
      </c>
      <c r="Q105" s="3">
        <f ca="1">IFERROR(__xludf.DUMMYFUNCTION("""COMPUTED_VALUE"""),29)</f>
        <v>29</v>
      </c>
      <c r="R105" s="3">
        <f ca="1">IFERROR(__xludf.DUMMYFUNCTION("""COMPUTED_VALUE"""),9.6)</f>
        <v>9.6</v>
      </c>
      <c r="S105" s="3">
        <f ca="1">IFERROR(__xludf.DUMMYFUNCTION("""COMPUTED_VALUE"""),11.3)</f>
        <v>11.3</v>
      </c>
      <c r="T105" s="3">
        <f ca="1">IFERROR(__xludf.DUMMYFUNCTION("""COMPUTED_VALUE"""),77)</f>
        <v>77</v>
      </c>
      <c r="U105" s="3">
        <f ca="1">IFERROR(__xludf.DUMMYFUNCTION("""COMPUTED_VALUE"""),20.9)</f>
        <v>20.9</v>
      </c>
      <c r="V105" s="3">
        <f ca="1">IFERROR(__xludf.DUMMYFUNCTION("""COMPUTED_VALUE"""),2.1)</f>
        <v>2.1</v>
      </c>
      <c r="W105" s="5"/>
      <c r="X105" s="5"/>
      <c r="Y105" s="5"/>
    </row>
    <row r="106" spans="1:25" ht="13.8">
      <c r="A106" s="2">
        <v>43862</v>
      </c>
      <c r="B106" s="3">
        <f ca="1">IFERROR(__xludf.DUMMYFUNCTION("split(W106, "" | "")"),13.1)</f>
        <v>13.1</v>
      </c>
      <c r="C106" s="3">
        <f ca="1">IFERROR(__xludf.DUMMYFUNCTION("""COMPUTED_VALUE"""),7.9)</f>
        <v>7.9</v>
      </c>
      <c r="D106" s="3">
        <f ca="1">IFERROR(__xludf.DUMMYFUNCTION("""COMPUTED_VALUE"""),11.4)</f>
        <v>11.4</v>
      </c>
      <c r="E106" s="3">
        <f ca="1">IFERROR(__xludf.DUMMYFUNCTION("""COMPUTED_VALUE"""),65.7)</f>
        <v>65.7</v>
      </c>
      <c r="F106" s="3">
        <f ca="1">IFERROR(__xludf.DUMMYFUNCTION("""COMPUTED_VALUE"""),21)</f>
        <v>21</v>
      </c>
      <c r="G106" s="3">
        <f ca="1">IFERROR(__xludf.DUMMYFUNCTION("""COMPUTED_VALUE"""),77.2)</f>
        <v>77.2</v>
      </c>
      <c r="H106" s="3">
        <f ca="1">IFERROR(__xludf.DUMMYFUNCTION("""COMPUTED_VALUE"""),1.8)</f>
        <v>1.8</v>
      </c>
      <c r="I106" s="4">
        <f ca="1">IFERROR(__xludf.DUMMYFUNCTION("split(X106, "" | "")"),22.8)</f>
        <v>22.8</v>
      </c>
      <c r="J106" s="3">
        <f ca="1">IFERROR(__xludf.DUMMYFUNCTION("""COMPUTED_VALUE"""),19)</f>
        <v>19</v>
      </c>
      <c r="K106" s="3">
        <f ca="1">IFERROR(__xludf.DUMMYFUNCTION("""COMPUTED_VALUE"""),13.6)</f>
        <v>13.6</v>
      </c>
      <c r="L106" s="3">
        <f ca="1">IFERROR(__xludf.DUMMYFUNCTION("""COMPUTED_VALUE"""),42.2)</f>
        <v>42.2</v>
      </c>
      <c r="M106" s="3">
        <f ca="1">IFERROR(__xludf.DUMMYFUNCTION("""COMPUTED_VALUE"""),41.8)</f>
        <v>41.8</v>
      </c>
      <c r="N106" s="3">
        <f ca="1">IFERROR(__xludf.DUMMYFUNCTION("""COMPUTED_VALUE"""),55.8)</f>
        <v>55.8</v>
      </c>
      <c r="O106" s="3">
        <f ca="1">IFERROR(__xludf.DUMMYFUNCTION("""COMPUTED_VALUE"""),2.4)</f>
        <v>2.4</v>
      </c>
      <c r="P106" s="3">
        <f ca="1">IFERROR(__xludf.DUMMYFUNCTION("split(Y106, "" | "")"),50.3)</f>
        <v>50.3</v>
      </c>
      <c r="Q106" s="3">
        <f ca="1">IFERROR(__xludf.DUMMYFUNCTION("""COMPUTED_VALUE"""),27.8)</f>
        <v>27.8</v>
      </c>
      <c r="R106" s="3">
        <f ca="1">IFERROR(__xludf.DUMMYFUNCTION("""COMPUTED_VALUE"""),8.4)</f>
        <v>8.4</v>
      </c>
      <c r="S106" s="3">
        <f ca="1">IFERROR(__xludf.DUMMYFUNCTION("""COMPUTED_VALUE"""),12.1)</f>
        <v>12.1</v>
      </c>
      <c r="T106" s="3">
        <f ca="1">IFERROR(__xludf.DUMMYFUNCTION("""COMPUTED_VALUE"""),78.1)</f>
        <v>78.099999999999994</v>
      </c>
      <c r="U106" s="3">
        <f ca="1">IFERROR(__xludf.DUMMYFUNCTION("""COMPUTED_VALUE"""),20.4)</f>
        <v>20.399999999999999</v>
      </c>
      <c r="V106" s="3">
        <f ca="1">IFERROR(__xludf.DUMMYFUNCTION("""COMPUTED_VALUE"""),1.4)</f>
        <v>1.4</v>
      </c>
      <c r="W106" s="5"/>
      <c r="X106" s="5"/>
      <c r="Y106" s="5"/>
    </row>
    <row r="107" spans="1:25" ht="13.8">
      <c r="A107" s="2">
        <v>43869</v>
      </c>
      <c r="B107" s="3">
        <f ca="1">IFERROR(__xludf.DUMMYFUNCTION("split(W107, "" | "")"),12.6)</f>
        <v>12.6</v>
      </c>
      <c r="C107" s="3">
        <f ca="1">IFERROR(__xludf.DUMMYFUNCTION("""COMPUTED_VALUE"""),6.8)</f>
        <v>6.8</v>
      </c>
      <c r="D107" s="3">
        <f ca="1">IFERROR(__xludf.DUMMYFUNCTION("""COMPUTED_VALUE"""),12.5)</f>
        <v>12.5</v>
      </c>
      <c r="E107" s="3">
        <f ca="1">IFERROR(__xludf.DUMMYFUNCTION("""COMPUTED_VALUE"""),66.7)</f>
        <v>66.7</v>
      </c>
      <c r="F107" s="3">
        <f ca="1">IFERROR(__xludf.DUMMYFUNCTION("""COMPUTED_VALUE"""),19.3)</f>
        <v>19.3</v>
      </c>
      <c r="G107" s="3">
        <f ca="1">IFERROR(__xludf.DUMMYFUNCTION("""COMPUTED_VALUE"""),79.2)</f>
        <v>79.2</v>
      </c>
      <c r="H107" s="3">
        <f ca="1">IFERROR(__xludf.DUMMYFUNCTION("""COMPUTED_VALUE"""),1.5)</f>
        <v>1.5</v>
      </c>
      <c r="I107" s="4">
        <f ca="1">IFERROR(__xludf.DUMMYFUNCTION("split(X107, "" | "")"),23.2)</f>
        <v>23.2</v>
      </c>
      <c r="J107" s="3">
        <f ca="1">IFERROR(__xludf.DUMMYFUNCTION("""COMPUTED_VALUE"""),19.6)</f>
        <v>19.600000000000001</v>
      </c>
      <c r="K107" s="3">
        <f ca="1">IFERROR(__xludf.DUMMYFUNCTION("""COMPUTED_VALUE"""),16.1)</f>
        <v>16.100000000000001</v>
      </c>
      <c r="L107" s="3">
        <f ca="1">IFERROR(__xludf.DUMMYFUNCTION("""COMPUTED_VALUE"""),37.8)</f>
        <v>37.799999999999997</v>
      </c>
      <c r="M107" s="3">
        <f ca="1">IFERROR(__xludf.DUMMYFUNCTION("""COMPUTED_VALUE"""),42.8)</f>
        <v>42.8</v>
      </c>
      <c r="N107" s="3">
        <f ca="1">IFERROR(__xludf.DUMMYFUNCTION("""COMPUTED_VALUE"""),53.8)</f>
        <v>53.8</v>
      </c>
      <c r="O107" s="3">
        <f ca="1">IFERROR(__xludf.DUMMYFUNCTION("""COMPUTED_VALUE"""),3.3)</f>
        <v>3.3</v>
      </c>
      <c r="P107" s="3">
        <f ca="1">IFERROR(__xludf.DUMMYFUNCTION("split(Y107, "" | "")"),49.5)</f>
        <v>49.5</v>
      </c>
      <c r="Q107" s="3">
        <f ca="1">IFERROR(__xludf.DUMMYFUNCTION("""COMPUTED_VALUE"""),27.3)</f>
        <v>27.3</v>
      </c>
      <c r="R107" s="3">
        <f ca="1">IFERROR(__xludf.DUMMYFUNCTION("""COMPUTED_VALUE"""),6.9)</f>
        <v>6.9</v>
      </c>
      <c r="S107" s="3">
        <f ca="1">IFERROR(__xludf.DUMMYFUNCTION("""COMPUTED_VALUE"""),14.4)</f>
        <v>14.4</v>
      </c>
      <c r="T107" s="3">
        <f ca="1">IFERROR(__xludf.DUMMYFUNCTION("""COMPUTED_VALUE"""),76.8)</f>
        <v>76.8</v>
      </c>
      <c r="U107" s="3">
        <f ca="1">IFERROR(__xludf.DUMMYFUNCTION("""COMPUTED_VALUE"""),21.3)</f>
        <v>21.3</v>
      </c>
      <c r="V107" s="3">
        <f ca="1">IFERROR(__xludf.DUMMYFUNCTION("""COMPUTED_VALUE"""),1.9)</f>
        <v>1.9</v>
      </c>
      <c r="W107" s="5"/>
      <c r="X107" s="5"/>
      <c r="Y107" s="5"/>
    </row>
    <row r="108" spans="1:25" ht="13.8">
      <c r="A108" s="2">
        <v>43876</v>
      </c>
      <c r="B108" s="3">
        <f ca="1">IFERROR(__xludf.DUMMYFUNCTION("split(W108, "" | "")"),13.4)</f>
        <v>13.4</v>
      </c>
      <c r="C108" s="3">
        <f ca="1">IFERROR(__xludf.DUMMYFUNCTION("""COMPUTED_VALUE"""),7.8)</f>
        <v>7.8</v>
      </c>
      <c r="D108" s="3">
        <f ca="1">IFERROR(__xludf.DUMMYFUNCTION("""COMPUTED_VALUE"""),14.1)</f>
        <v>14.1</v>
      </c>
      <c r="E108" s="3">
        <f ca="1">IFERROR(__xludf.DUMMYFUNCTION("""COMPUTED_VALUE"""),62.7)</f>
        <v>62.7</v>
      </c>
      <c r="F108" s="3">
        <f ca="1">IFERROR(__xludf.DUMMYFUNCTION("""COMPUTED_VALUE"""),21.3)</f>
        <v>21.3</v>
      </c>
      <c r="G108" s="3">
        <f ca="1">IFERROR(__xludf.DUMMYFUNCTION("""COMPUTED_VALUE"""),76.8)</f>
        <v>76.8</v>
      </c>
      <c r="H108" s="3">
        <f ca="1">IFERROR(__xludf.DUMMYFUNCTION("""COMPUTED_VALUE"""),2)</f>
        <v>2</v>
      </c>
      <c r="I108" s="4">
        <f ca="1">IFERROR(__xludf.DUMMYFUNCTION("split(X108, "" | "")"),23.1)</f>
        <v>23.1</v>
      </c>
      <c r="J108" s="3">
        <f ca="1">IFERROR(__xludf.DUMMYFUNCTION("""COMPUTED_VALUE"""),18.5)</f>
        <v>18.5</v>
      </c>
      <c r="K108" s="3">
        <f ca="1">IFERROR(__xludf.DUMMYFUNCTION("""COMPUTED_VALUE"""),14.4)</f>
        <v>14.4</v>
      </c>
      <c r="L108" s="3">
        <f ca="1">IFERROR(__xludf.DUMMYFUNCTION("""COMPUTED_VALUE"""),40.9)</f>
        <v>40.9</v>
      </c>
      <c r="M108" s="3">
        <f ca="1">IFERROR(__xludf.DUMMYFUNCTION("""COMPUTED_VALUE"""),41.6)</f>
        <v>41.6</v>
      </c>
      <c r="N108" s="3">
        <f ca="1">IFERROR(__xludf.DUMMYFUNCTION("""COMPUTED_VALUE"""),55.3)</f>
        <v>55.3</v>
      </c>
      <c r="O108" s="3">
        <f ca="1">IFERROR(__xludf.DUMMYFUNCTION("""COMPUTED_VALUE"""),3.1)</f>
        <v>3.1</v>
      </c>
      <c r="P108" s="3">
        <f ca="1">IFERROR(__xludf.DUMMYFUNCTION("split(Y108, "" | "")"),52)</f>
        <v>52</v>
      </c>
      <c r="Q108" s="3">
        <f ca="1">IFERROR(__xludf.DUMMYFUNCTION("""COMPUTED_VALUE"""),25.3)</f>
        <v>25.3</v>
      </c>
      <c r="R108" s="3">
        <f ca="1">IFERROR(__xludf.DUMMYFUNCTION("""COMPUTED_VALUE"""),6.8)</f>
        <v>6.8</v>
      </c>
      <c r="S108" s="3">
        <f ca="1">IFERROR(__xludf.DUMMYFUNCTION("""COMPUTED_VALUE"""),13.5)</f>
        <v>13.5</v>
      </c>
      <c r="T108" s="3">
        <f ca="1">IFERROR(__xludf.DUMMYFUNCTION("""COMPUTED_VALUE"""),77.3)</f>
        <v>77.3</v>
      </c>
      <c r="U108" s="3">
        <f ca="1">IFERROR(__xludf.DUMMYFUNCTION("""COMPUTED_VALUE"""),20.4)</f>
        <v>20.399999999999999</v>
      </c>
      <c r="V108" s="3">
        <f ca="1">IFERROR(__xludf.DUMMYFUNCTION("""COMPUTED_VALUE"""),2.4)</f>
        <v>2.4</v>
      </c>
      <c r="W108" s="5"/>
      <c r="X108" s="5"/>
      <c r="Y108" s="5"/>
    </row>
    <row r="109" spans="1:25" ht="13.8">
      <c r="A109" s="2">
        <v>43883</v>
      </c>
      <c r="B109" s="3"/>
      <c r="I109" s="4"/>
      <c r="P109" s="3"/>
    </row>
    <row r="110" spans="1:25" ht="13.8">
      <c r="A110" s="2">
        <v>43890</v>
      </c>
      <c r="B110" s="3">
        <f ca="1">IFERROR(__xludf.DUMMYFUNCTION("split(W110, "" | "")"),13.9)</f>
        <v>13.9</v>
      </c>
      <c r="C110" s="3">
        <f ca="1">IFERROR(__xludf.DUMMYFUNCTION("""COMPUTED_VALUE"""),6.6)</f>
        <v>6.6</v>
      </c>
      <c r="D110" s="3">
        <f ca="1">IFERROR(__xludf.DUMMYFUNCTION("""COMPUTED_VALUE"""),11.1)</f>
        <v>11.1</v>
      </c>
      <c r="E110" s="3">
        <f ca="1">IFERROR(__xludf.DUMMYFUNCTION("""COMPUTED_VALUE"""),66.5)</f>
        <v>66.5</v>
      </c>
      <c r="F110" s="3">
        <f ca="1">IFERROR(__xludf.DUMMYFUNCTION("""COMPUTED_VALUE"""),20.5)</f>
        <v>20.5</v>
      </c>
      <c r="G110" s="3">
        <f ca="1">IFERROR(__xludf.DUMMYFUNCTION("""COMPUTED_VALUE"""),77.7)</f>
        <v>77.7</v>
      </c>
      <c r="H110" s="3">
        <f ca="1">IFERROR(__xludf.DUMMYFUNCTION("""COMPUTED_VALUE"""),1.8)</f>
        <v>1.8</v>
      </c>
      <c r="I110" s="4">
        <f ca="1">IFERROR(__xludf.DUMMYFUNCTION("split(X110, "" | "")"),23.2)</f>
        <v>23.2</v>
      </c>
      <c r="J110" s="3">
        <f ca="1">IFERROR(__xludf.DUMMYFUNCTION("""COMPUTED_VALUE"""),19.1)</f>
        <v>19.100000000000001</v>
      </c>
      <c r="K110" s="3">
        <f ca="1">IFERROR(__xludf.DUMMYFUNCTION("""COMPUTED_VALUE"""),13.5)</f>
        <v>13.5</v>
      </c>
      <c r="L110" s="3">
        <f ca="1">IFERROR(__xludf.DUMMYFUNCTION("""COMPUTED_VALUE"""),41.2)</f>
        <v>41.2</v>
      </c>
      <c r="M110" s="3">
        <f ca="1">IFERROR(__xludf.DUMMYFUNCTION("""COMPUTED_VALUE"""),42.2)</f>
        <v>42.2</v>
      </c>
      <c r="N110" s="3">
        <f ca="1">IFERROR(__xludf.DUMMYFUNCTION("""COMPUTED_VALUE"""),54.7)</f>
        <v>54.7</v>
      </c>
      <c r="O110" s="3">
        <f ca="1">IFERROR(__xludf.DUMMYFUNCTION("""COMPUTED_VALUE"""),3.1)</f>
        <v>3.1</v>
      </c>
      <c r="P110" s="3">
        <f ca="1">IFERROR(__xludf.DUMMYFUNCTION("split(Y110, "" | "")"),52.8)</f>
        <v>52.8</v>
      </c>
      <c r="Q110" s="3">
        <f ca="1">IFERROR(__xludf.DUMMYFUNCTION("""COMPUTED_VALUE"""),26.4)</f>
        <v>26.4</v>
      </c>
      <c r="R110" s="3">
        <f ca="1">IFERROR(__xludf.DUMMYFUNCTION("""COMPUTED_VALUE"""),7.1)</f>
        <v>7.1</v>
      </c>
      <c r="S110" s="3">
        <f ca="1">IFERROR(__xludf.DUMMYFUNCTION("""COMPUTED_VALUE"""),11.6)</f>
        <v>11.6</v>
      </c>
      <c r="T110" s="3">
        <f ca="1">IFERROR(__xludf.DUMMYFUNCTION("""COMPUTED_VALUE"""),79.2)</f>
        <v>79.2</v>
      </c>
      <c r="U110" s="3">
        <f ca="1">IFERROR(__xludf.DUMMYFUNCTION("""COMPUTED_VALUE"""),18.7)</f>
        <v>18.7</v>
      </c>
      <c r="V110" s="3">
        <f ca="1">IFERROR(__xludf.DUMMYFUNCTION("""COMPUTED_VALUE"""),2.1)</f>
        <v>2.1</v>
      </c>
      <c r="W110" s="5"/>
      <c r="X110" s="5"/>
      <c r="Y110" s="5"/>
    </row>
    <row r="111" spans="1:25" ht="13.8">
      <c r="A111" s="2">
        <v>43897</v>
      </c>
      <c r="B111" s="3">
        <f ca="1">IFERROR(__xludf.DUMMYFUNCTION("split(W111, "" | "")"),13.2)</f>
        <v>13.2</v>
      </c>
      <c r="C111" s="3">
        <f ca="1">IFERROR(__xludf.DUMMYFUNCTION("""COMPUTED_VALUE"""),5.9)</f>
        <v>5.9</v>
      </c>
      <c r="D111" s="3">
        <f ca="1">IFERROR(__xludf.DUMMYFUNCTION("""COMPUTED_VALUE"""),12.9)</f>
        <v>12.9</v>
      </c>
      <c r="E111" s="3">
        <f ca="1">IFERROR(__xludf.DUMMYFUNCTION("""COMPUTED_VALUE"""),66.6)</f>
        <v>66.599999999999994</v>
      </c>
      <c r="F111" s="3">
        <f ca="1">IFERROR(__xludf.DUMMYFUNCTION("""COMPUTED_VALUE"""),19)</f>
        <v>19</v>
      </c>
      <c r="G111" s="3">
        <f ca="1">IFERROR(__xludf.DUMMYFUNCTION("""COMPUTED_VALUE"""),79.5)</f>
        <v>79.5</v>
      </c>
      <c r="H111" s="3">
        <f ca="1">IFERROR(__xludf.DUMMYFUNCTION("""COMPUTED_VALUE"""),1.5)</f>
        <v>1.5</v>
      </c>
      <c r="I111" s="4">
        <f ca="1">IFERROR(__xludf.DUMMYFUNCTION("split(X111, "" | "")"),23.5)</f>
        <v>23.5</v>
      </c>
      <c r="J111" s="3">
        <f ca="1">IFERROR(__xludf.DUMMYFUNCTION("""COMPUTED_VALUE"""),16.6)</f>
        <v>16.600000000000001</v>
      </c>
      <c r="K111" s="3">
        <f ca="1">IFERROR(__xludf.DUMMYFUNCTION("""COMPUTED_VALUE"""),14.9)</f>
        <v>14.9</v>
      </c>
      <c r="L111" s="3">
        <f ca="1">IFERROR(__xludf.DUMMYFUNCTION("""COMPUTED_VALUE"""),42)</f>
        <v>42</v>
      </c>
      <c r="M111" s="3">
        <f ca="1">IFERROR(__xludf.DUMMYFUNCTION("""COMPUTED_VALUE"""),40.1)</f>
        <v>40.1</v>
      </c>
      <c r="N111" s="3">
        <f ca="1">IFERROR(__xludf.DUMMYFUNCTION("""COMPUTED_VALUE"""),56.9)</f>
        <v>56.9</v>
      </c>
      <c r="O111" s="3">
        <f ca="1">IFERROR(__xludf.DUMMYFUNCTION("""COMPUTED_VALUE"""),3)</f>
        <v>3</v>
      </c>
      <c r="P111" s="3">
        <f ca="1">IFERROR(__xludf.DUMMYFUNCTION("split(Y111, "" | "")"),54.4)</f>
        <v>54.4</v>
      </c>
      <c r="Q111" s="3">
        <f ca="1">IFERROR(__xludf.DUMMYFUNCTION("""COMPUTED_VALUE"""),25.1)</f>
        <v>25.1</v>
      </c>
      <c r="R111" s="3">
        <f ca="1">IFERROR(__xludf.DUMMYFUNCTION("""COMPUTED_VALUE"""),6.8)</f>
        <v>6.8</v>
      </c>
      <c r="S111" s="3">
        <f ca="1">IFERROR(__xludf.DUMMYFUNCTION("""COMPUTED_VALUE"""),11.1)</f>
        <v>11.1</v>
      </c>
      <c r="T111" s="3">
        <f ca="1">IFERROR(__xludf.DUMMYFUNCTION("""COMPUTED_VALUE"""),79.5)</f>
        <v>79.5</v>
      </c>
      <c r="U111" s="3">
        <f ca="1">IFERROR(__xludf.DUMMYFUNCTION("""COMPUTED_VALUE"""),17.9)</f>
        <v>17.899999999999999</v>
      </c>
      <c r="V111" s="3">
        <f ca="1">IFERROR(__xludf.DUMMYFUNCTION("""COMPUTED_VALUE"""),2.6)</f>
        <v>2.6</v>
      </c>
      <c r="W111" s="5"/>
      <c r="X111" s="5"/>
      <c r="Y111" s="5"/>
    </row>
    <row r="112" spans="1:25" ht="13.8">
      <c r="A112" s="2">
        <v>43904</v>
      </c>
      <c r="B112" s="3">
        <f ca="1">IFERROR(__xludf.DUMMYFUNCTION("split(W112, "" | "")"),11.3)</f>
        <v>11.3</v>
      </c>
      <c r="C112" s="3">
        <f ca="1">IFERROR(__xludf.DUMMYFUNCTION("""COMPUTED_VALUE"""),7.2)</f>
        <v>7.2</v>
      </c>
      <c r="D112" s="3">
        <f ca="1">IFERROR(__xludf.DUMMYFUNCTION("""COMPUTED_VALUE"""),15.4)</f>
        <v>15.4</v>
      </c>
      <c r="E112" s="3">
        <f ca="1">IFERROR(__xludf.DUMMYFUNCTION("""COMPUTED_VALUE"""),64.5)</f>
        <v>64.5</v>
      </c>
      <c r="F112" s="3">
        <f ca="1">IFERROR(__xludf.DUMMYFUNCTION("""COMPUTED_VALUE"""),18.5)</f>
        <v>18.5</v>
      </c>
      <c r="G112" s="3">
        <f ca="1">IFERROR(__xludf.DUMMYFUNCTION("""COMPUTED_VALUE"""),79.8)</f>
        <v>79.8</v>
      </c>
      <c r="H112" s="3">
        <f ca="1">IFERROR(__xludf.DUMMYFUNCTION("""COMPUTED_VALUE"""),1.7)</f>
        <v>1.7</v>
      </c>
      <c r="I112" s="4">
        <f ca="1">IFERROR(__xludf.DUMMYFUNCTION("split(X112, "" | "")"),25.6)</f>
        <v>25.6</v>
      </c>
      <c r="J112" s="3">
        <f ca="1">IFERROR(__xludf.DUMMYFUNCTION("""COMPUTED_VALUE"""),19.1)</f>
        <v>19.100000000000001</v>
      </c>
      <c r="K112" s="3">
        <f ca="1">IFERROR(__xludf.DUMMYFUNCTION("""COMPUTED_VALUE"""),14.9)</f>
        <v>14.9</v>
      </c>
      <c r="L112" s="3">
        <f ca="1">IFERROR(__xludf.DUMMYFUNCTION("""COMPUTED_VALUE"""),38)</f>
        <v>38</v>
      </c>
      <c r="M112" s="3">
        <f ca="1">IFERROR(__xludf.DUMMYFUNCTION("""COMPUTED_VALUE"""),44.7)</f>
        <v>44.7</v>
      </c>
      <c r="N112" s="3">
        <f ca="1">IFERROR(__xludf.DUMMYFUNCTION("""COMPUTED_VALUE"""),52.9)</f>
        <v>52.9</v>
      </c>
      <c r="O112" s="3">
        <f ca="1">IFERROR(__xludf.DUMMYFUNCTION("""COMPUTED_VALUE"""),2.3)</f>
        <v>2.2999999999999998</v>
      </c>
      <c r="P112" s="3">
        <f ca="1">IFERROR(__xludf.DUMMYFUNCTION("split(Y112, "" | "")"),59.5)</f>
        <v>59.5</v>
      </c>
      <c r="Q112" s="3">
        <f ca="1">IFERROR(__xludf.DUMMYFUNCTION("""COMPUTED_VALUE"""),22.5)</f>
        <v>22.5</v>
      </c>
      <c r="R112" s="3">
        <f ca="1">IFERROR(__xludf.DUMMYFUNCTION("""COMPUTED_VALUE"""),7.4)</f>
        <v>7.4</v>
      </c>
      <c r="S112" s="3">
        <f ca="1">IFERROR(__xludf.DUMMYFUNCTION("""COMPUTED_VALUE"""),9.6)</f>
        <v>9.6</v>
      </c>
      <c r="T112" s="3">
        <f ca="1">IFERROR(__xludf.DUMMYFUNCTION("""COMPUTED_VALUE"""),82)</f>
        <v>82</v>
      </c>
      <c r="U112" s="3">
        <f ca="1">IFERROR(__xludf.DUMMYFUNCTION("""COMPUTED_VALUE"""),17.1)</f>
        <v>17.100000000000001</v>
      </c>
      <c r="V112" s="3">
        <f ca="1">IFERROR(__xludf.DUMMYFUNCTION("""COMPUTED_VALUE"""),0.9)</f>
        <v>0.9</v>
      </c>
      <c r="W112" s="5"/>
      <c r="X112" s="5"/>
      <c r="Y112" s="7"/>
    </row>
    <row r="113" spans="1:25" ht="13.8">
      <c r="A113" s="2">
        <v>43911</v>
      </c>
      <c r="B113" s="3">
        <f ca="1">IFERROR(__xludf.DUMMYFUNCTION("split(W113, "" | "")"),14.4)</f>
        <v>14.4</v>
      </c>
      <c r="C113" s="3">
        <f ca="1">IFERROR(__xludf.DUMMYFUNCTION("""COMPUTED_VALUE"""),7.4)</f>
        <v>7.4</v>
      </c>
      <c r="D113" s="3">
        <f ca="1">IFERROR(__xludf.DUMMYFUNCTION("""COMPUTED_VALUE"""),13.6)</f>
        <v>13.6</v>
      </c>
      <c r="E113" s="3">
        <f ca="1">IFERROR(__xludf.DUMMYFUNCTION("""COMPUTED_VALUE"""),62.4)</f>
        <v>62.4</v>
      </c>
      <c r="F113" s="3">
        <f ca="1">IFERROR(__xludf.DUMMYFUNCTION("""COMPUTED_VALUE"""),21.8)</f>
        <v>21.8</v>
      </c>
      <c r="G113" s="3">
        <f ca="1">IFERROR(__xludf.DUMMYFUNCTION("""COMPUTED_VALUE"""),76.1)</f>
        <v>76.099999999999994</v>
      </c>
      <c r="H113" s="3">
        <f ca="1">IFERROR(__xludf.DUMMYFUNCTION("""COMPUTED_VALUE"""),2.1)</f>
        <v>2.1</v>
      </c>
      <c r="I113" s="4">
        <f ca="1">IFERROR(__xludf.DUMMYFUNCTION("split(X113, "" | "")"),30.7)</f>
        <v>30.7</v>
      </c>
      <c r="J113" s="3">
        <f ca="1">IFERROR(__xludf.DUMMYFUNCTION("""COMPUTED_VALUE"""),18.5)</f>
        <v>18.5</v>
      </c>
      <c r="K113" s="3">
        <f ca="1">IFERROR(__xludf.DUMMYFUNCTION("""COMPUTED_VALUE"""),15)</f>
        <v>15</v>
      </c>
      <c r="L113" s="3">
        <f ca="1">IFERROR(__xludf.DUMMYFUNCTION("""COMPUTED_VALUE"""),33.6)</f>
        <v>33.6</v>
      </c>
      <c r="M113" s="3">
        <f ca="1">IFERROR(__xludf.DUMMYFUNCTION("""COMPUTED_VALUE"""),49.1)</f>
        <v>49.1</v>
      </c>
      <c r="N113" s="3">
        <f ca="1">IFERROR(__xludf.DUMMYFUNCTION("""COMPUTED_VALUE"""),48.6)</f>
        <v>48.6</v>
      </c>
      <c r="O113" s="3">
        <f ca="1">IFERROR(__xludf.DUMMYFUNCTION("""COMPUTED_VALUE"""),2.3)</f>
        <v>2.2999999999999998</v>
      </c>
      <c r="P113" s="3">
        <f ca="1">IFERROR(__xludf.DUMMYFUNCTION("split(Y113, "" | "")"),60.2)</f>
        <v>60.2</v>
      </c>
      <c r="Q113" s="3">
        <f ca="1">IFERROR(__xludf.DUMMYFUNCTION("""COMPUTED_VALUE"""),22.2)</f>
        <v>22.2</v>
      </c>
      <c r="R113" s="3">
        <f ca="1">IFERROR(__xludf.DUMMYFUNCTION("""COMPUTED_VALUE"""),6.1)</f>
        <v>6.1</v>
      </c>
      <c r="S113" s="3">
        <f ca="1">IFERROR(__xludf.DUMMYFUNCTION("""COMPUTED_VALUE"""),9.8)</f>
        <v>9.8000000000000007</v>
      </c>
      <c r="T113" s="3">
        <f ca="1">IFERROR(__xludf.DUMMYFUNCTION("""COMPUTED_VALUE"""),82.5)</f>
        <v>82.5</v>
      </c>
      <c r="U113" s="3">
        <f ca="1">IFERROR(__xludf.DUMMYFUNCTION("""COMPUTED_VALUE"""),15.9)</f>
        <v>15.9</v>
      </c>
      <c r="V113" s="3">
        <f ca="1">IFERROR(__xludf.DUMMYFUNCTION("""COMPUTED_VALUE"""),1.7)</f>
        <v>1.7</v>
      </c>
      <c r="W113" s="5"/>
      <c r="X113" s="5"/>
      <c r="Y113" s="5"/>
    </row>
    <row r="114" spans="1:25" ht="13.8">
      <c r="A114" s="2">
        <v>43918</v>
      </c>
      <c r="B114" s="3">
        <f ca="1">IFERROR(__xludf.DUMMYFUNCTION("split(W114, "" | "")"),14.2)</f>
        <v>14.2</v>
      </c>
      <c r="C114" s="3">
        <f ca="1">IFERROR(__xludf.DUMMYFUNCTION("""COMPUTED_VALUE"""),9.3)</f>
        <v>9.3000000000000007</v>
      </c>
      <c r="D114" s="3">
        <f ca="1">IFERROR(__xludf.DUMMYFUNCTION("""COMPUTED_VALUE"""),14.7)</f>
        <v>14.7</v>
      </c>
      <c r="E114" s="3">
        <f ca="1">IFERROR(__xludf.DUMMYFUNCTION("""COMPUTED_VALUE"""),60.2)</f>
        <v>60.2</v>
      </c>
      <c r="F114" s="3">
        <f ca="1">IFERROR(__xludf.DUMMYFUNCTION("""COMPUTED_VALUE"""),23.5)</f>
        <v>23.5</v>
      </c>
      <c r="G114" s="3">
        <f ca="1">IFERROR(__xludf.DUMMYFUNCTION("""COMPUTED_VALUE"""),75)</f>
        <v>75</v>
      </c>
      <c r="H114" s="3">
        <f ca="1">IFERROR(__xludf.DUMMYFUNCTION("""COMPUTED_VALUE"""),1.5)</f>
        <v>1.5</v>
      </c>
      <c r="I114" s="4">
        <f ca="1">IFERROR(__xludf.DUMMYFUNCTION("split(X114, "" | "")"),29)</f>
        <v>29</v>
      </c>
      <c r="J114" s="3">
        <f ca="1">IFERROR(__xludf.DUMMYFUNCTION("""COMPUTED_VALUE"""),20.6)</f>
        <v>20.6</v>
      </c>
      <c r="K114" s="3">
        <f ca="1">IFERROR(__xludf.DUMMYFUNCTION("""COMPUTED_VALUE"""),15.8)</f>
        <v>15.8</v>
      </c>
      <c r="L114" s="3">
        <f ca="1">IFERROR(__xludf.DUMMYFUNCTION("""COMPUTED_VALUE"""),32.6)</f>
        <v>32.6</v>
      </c>
      <c r="M114" s="3">
        <f ca="1">IFERROR(__xludf.DUMMYFUNCTION("""COMPUTED_VALUE"""),49.6)</f>
        <v>49.6</v>
      </c>
      <c r="N114" s="3">
        <f ca="1">IFERROR(__xludf.DUMMYFUNCTION("""COMPUTED_VALUE"""),48.4)</f>
        <v>48.4</v>
      </c>
      <c r="O114" s="3">
        <f ca="1">IFERROR(__xludf.DUMMYFUNCTION("""COMPUTED_VALUE"""),2)</f>
        <v>2</v>
      </c>
      <c r="P114" s="3">
        <f ca="1">IFERROR(__xludf.DUMMYFUNCTION("split(Y114, "" | "")"),59.6)</f>
        <v>59.6</v>
      </c>
      <c r="Q114" s="3">
        <f ca="1">IFERROR(__xludf.DUMMYFUNCTION("""COMPUTED_VALUE"""),23.2)</f>
        <v>23.2</v>
      </c>
      <c r="R114" s="3">
        <f ca="1">IFERROR(__xludf.DUMMYFUNCTION("""COMPUTED_VALUE"""),3.8)</f>
        <v>3.8</v>
      </c>
      <c r="S114" s="3">
        <f ca="1">IFERROR(__xludf.DUMMYFUNCTION("""COMPUTED_VALUE"""),12)</f>
        <v>12</v>
      </c>
      <c r="T114" s="3">
        <f ca="1">IFERROR(__xludf.DUMMYFUNCTION("""COMPUTED_VALUE"""),82.8)</f>
        <v>82.8</v>
      </c>
      <c r="U114" s="3">
        <f ca="1">IFERROR(__xludf.DUMMYFUNCTION("""COMPUTED_VALUE"""),15.8)</f>
        <v>15.8</v>
      </c>
      <c r="V114" s="3">
        <f ca="1">IFERROR(__xludf.DUMMYFUNCTION("""COMPUTED_VALUE"""),1.4)</f>
        <v>1.4</v>
      </c>
      <c r="W114" s="5"/>
      <c r="X114" s="5"/>
      <c r="Y114" s="5"/>
    </row>
    <row r="115" spans="1:25" ht="13.8">
      <c r="A115" s="2">
        <v>43925</v>
      </c>
      <c r="B115" s="3">
        <f ca="1">IFERROR(__xludf.DUMMYFUNCTION("split(W115, "" | "")"),18)</f>
        <v>18</v>
      </c>
      <c r="C115" s="3">
        <f ca="1">IFERROR(__xludf.DUMMYFUNCTION("""COMPUTED_VALUE"""),9.4)</f>
        <v>9.4</v>
      </c>
      <c r="D115" s="3">
        <f ca="1">IFERROR(__xludf.DUMMYFUNCTION("""COMPUTED_VALUE"""),14.1)</f>
        <v>14.1</v>
      </c>
      <c r="E115" s="3">
        <f ca="1">IFERROR(__xludf.DUMMYFUNCTION("""COMPUTED_VALUE"""),55.4)</f>
        <v>55.4</v>
      </c>
      <c r="F115" s="3">
        <f ca="1">IFERROR(__xludf.DUMMYFUNCTION("""COMPUTED_VALUE"""),27.4)</f>
        <v>27.4</v>
      </c>
      <c r="G115" s="3">
        <f ca="1">IFERROR(__xludf.DUMMYFUNCTION("""COMPUTED_VALUE"""),69.5)</f>
        <v>69.5</v>
      </c>
      <c r="H115" s="3">
        <f ca="1">IFERROR(__xludf.DUMMYFUNCTION("""COMPUTED_VALUE"""),3.2)</f>
        <v>3.2</v>
      </c>
      <c r="I115" s="4">
        <f ca="1">IFERROR(__xludf.DUMMYFUNCTION("split(X115, "" | "")"),29.6)</f>
        <v>29.6</v>
      </c>
      <c r="J115" s="3">
        <f ca="1">IFERROR(__xludf.DUMMYFUNCTION("""COMPUTED_VALUE"""),21.4)</f>
        <v>21.4</v>
      </c>
      <c r="K115" s="3">
        <f ca="1">IFERROR(__xludf.DUMMYFUNCTION("""COMPUTED_VALUE"""),15.2)</f>
        <v>15.2</v>
      </c>
      <c r="L115" s="3">
        <f ca="1">IFERROR(__xludf.DUMMYFUNCTION("""COMPUTED_VALUE"""),30.9)</f>
        <v>30.9</v>
      </c>
      <c r="M115" s="3">
        <f ca="1">IFERROR(__xludf.DUMMYFUNCTION("""COMPUTED_VALUE"""),50.9)</f>
        <v>50.9</v>
      </c>
      <c r="N115" s="3">
        <f ca="1">IFERROR(__xludf.DUMMYFUNCTION("""COMPUTED_VALUE"""),46.1)</f>
        <v>46.1</v>
      </c>
      <c r="O115" s="3">
        <f ca="1">IFERROR(__xludf.DUMMYFUNCTION("""COMPUTED_VALUE"""),2.9)</f>
        <v>2.9</v>
      </c>
      <c r="P115" s="3">
        <f ca="1">IFERROR(__xludf.DUMMYFUNCTION("split(Y115, "" | "")"),61.8)</f>
        <v>61.8</v>
      </c>
      <c r="Q115" s="3">
        <f ca="1">IFERROR(__xludf.DUMMYFUNCTION("""COMPUTED_VALUE"""),20.9)</f>
        <v>20.9</v>
      </c>
      <c r="R115" s="3">
        <f ca="1">IFERROR(__xludf.DUMMYFUNCTION("""COMPUTED_VALUE"""),6.4)</f>
        <v>6.4</v>
      </c>
      <c r="S115" s="3">
        <f ca="1">IFERROR(__xludf.DUMMYFUNCTION("""COMPUTED_VALUE"""),9.8)</f>
        <v>9.8000000000000007</v>
      </c>
      <c r="T115" s="3">
        <f ca="1">IFERROR(__xludf.DUMMYFUNCTION("""COMPUTED_VALUE"""),82.7)</f>
        <v>82.7</v>
      </c>
      <c r="U115" s="3">
        <f ca="1">IFERROR(__xludf.DUMMYFUNCTION("""COMPUTED_VALUE"""),16.2)</f>
        <v>16.2</v>
      </c>
      <c r="V115" s="3">
        <f ca="1">IFERROR(__xludf.DUMMYFUNCTION("""COMPUTED_VALUE"""),1.1)</f>
        <v>1.1000000000000001</v>
      </c>
      <c r="W115" s="5"/>
      <c r="X115" s="5"/>
      <c r="Y115" s="5"/>
    </row>
    <row r="116" spans="1:25" ht="13.8">
      <c r="A116" s="2">
        <v>43932</v>
      </c>
      <c r="B116" s="3">
        <f ca="1">IFERROR(__xludf.DUMMYFUNCTION("split(W116, "" | "")"),13.9)</f>
        <v>13.9</v>
      </c>
      <c r="C116" s="3">
        <f ca="1">IFERROR(__xludf.DUMMYFUNCTION("""COMPUTED_VALUE"""),9)</f>
        <v>9</v>
      </c>
      <c r="D116" s="3">
        <f ca="1">IFERROR(__xludf.DUMMYFUNCTION("""COMPUTED_VALUE"""),20.4)</f>
        <v>20.399999999999999</v>
      </c>
      <c r="E116" s="3">
        <f ca="1">IFERROR(__xludf.DUMMYFUNCTION("""COMPUTED_VALUE"""),53.2)</f>
        <v>53.2</v>
      </c>
      <c r="F116" s="3">
        <f ca="1">IFERROR(__xludf.DUMMYFUNCTION("""COMPUTED_VALUE"""),22.9)</f>
        <v>22.9</v>
      </c>
      <c r="G116" s="3">
        <f ca="1">IFERROR(__xludf.DUMMYFUNCTION("""COMPUTED_VALUE"""),73.6)</f>
        <v>73.599999999999994</v>
      </c>
      <c r="H116" s="3">
        <f ca="1">IFERROR(__xludf.DUMMYFUNCTION("""COMPUTED_VALUE"""),3.5)</f>
        <v>3.5</v>
      </c>
      <c r="I116" s="4">
        <f ca="1">IFERROR(__xludf.DUMMYFUNCTION("split(X116, "" | "")"),30.7)</f>
        <v>30.7</v>
      </c>
      <c r="J116" s="3">
        <f ca="1">IFERROR(__xludf.DUMMYFUNCTION("""COMPUTED_VALUE"""),24.8)</f>
        <v>24.8</v>
      </c>
      <c r="K116" s="3">
        <f ca="1">IFERROR(__xludf.DUMMYFUNCTION("""COMPUTED_VALUE"""),16.3)</f>
        <v>16.3</v>
      </c>
      <c r="L116" s="3">
        <f ca="1">IFERROR(__xludf.DUMMYFUNCTION("""COMPUTED_VALUE"""),25.7)</f>
        <v>25.7</v>
      </c>
      <c r="M116" s="3">
        <f ca="1">IFERROR(__xludf.DUMMYFUNCTION("""COMPUTED_VALUE"""),55.5)</f>
        <v>55.5</v>
      </c>
      <c r="N116" s="3">
        <f ca="1">IFERROR(__xludf.DUMMYFUNCTION("""COMPUTED_VALUE"""),42.1)</f>
        <v>42.1</v>
      </c>
      <c r="O116" s="3">
        <f ca="1">IFERROR(__xludf.DUMMYFUNCTION("""COMPUTED_VALUE"""),2.4)</f>
        <v>2.4</v>
      </c>
      <c r="P116" s="3">
        <f ca="1">IFERROR(__xludf.DUMMYFUNCTION("split(Y116, "" | "")"),62.5)</f>
        <v>62.5</v>
      </c>
      <c r="Q116" s="3">
        <f ca="1">IFERROR(__xludf.DUMMYFUNCTION("""COMPUTED_VALUE"""),24.6)</f>
        <v>24.6</v>
      </c>
      <c r="R116" s="3">
        <f ca="1">IFERROR(__xludf.DUMMYFUNCTION("""COMPUTED_VALUE"""),4.9)</f>
        <v>4.9000000000000004</v>
      </c>
      <c r="S116" s="3">
        <f ca="1">IFERROR(__xludf.DUMMYFUNCTION("""COMPUTED_VALUE"""),6.2)</f>
        <v>6.2</v>
      </c>
      <c r="T116" s="3">
        <f ca="1">IFERROR(__xludf.DUMMYFUNCTION("""COMPUTED_VALUE"""),87.1)</f>
        <v>87.1</v>
      </c>
      <c r="U116" s="3">
        <f ca="1">IFERROR(__xludf.DUMMYFUNCTION("""COMPUTED_VALUE"""),11.1)</f>
        <v>11.1</v>
      </c>
      <c r="V116" s="3">
        <f ca="1">IFERROR(__xludf.DUMMYFUNCTION("""COMPUTED_VALUE"""),1.8)</f>
        <v>1.8</v>
      </c>
      <c r="W116" s="5"/>
      <c r="X116" s="5"/>
      <c r="Y116" s="5"/>
    </row>
    <row r="117" spans="1:25" ht="13.8">
      <c r="A117" s="2">
        <v>43939</v>
      </c>
      <c r="B117" s="3">
        <f ca="1">IFERROR(__xludf.DUMMYFUNCTION("split(W117, "" | "")"),15.6)</f>
        <v>15.6</v>
      </c>
      <c r="C117" s="3">
        <f ca="1">IFERROR(__xludf.DUMMYFUNCTION("""COMPUTED_VALUE"""),13.8)</f>
        <v>13.8</v>
      </c>
      <c r="D117" s="3">
        <f ca="1">IFERROR(__xludf.DUMMYFUNCTION("""COMPUTED_VALUE"""),22.7)</f>
        <v>22.7</v>
      </c>
      <c r="E117" s="3">
        <f ca="1">IFERROR(__xludf.DUMMYFUNCTION("""COMPUTED_VALUE"""),43.7)</f>
        <v>43.7</v>
      </c>
      <c r="F117" s="3">
        <f ca="1">IFERROR(__xludf.DUMMYFUNCTION("""COMPUTED_VALUE"""),29.4)</f>
        <v>29.4</v>
      </c>
      <c r="G117" s="3">
        <f ca="1">IFERROR(__xludf.DUMMYFUNCTION("""COMPUTED_VALUE"""),66.4)</f>
        <v>66.400000000000006</v>
      </c>
      <c r="H117" s="3">
        <f ca="1">IFERROR(__xludf.DUMMYFUNCTION("""COMPUTED_VALUE"""),4.2)</f>
        <v>4.2</v>
      </c>
      <c r="I117" s="4">
        <f ca="1">IFERROR(__xludf.DUMMYFUNCTION("split(X117, "" | "")"),36.9)</f>
        <v>36.9</v>
      </c>
      <c r="J117" s="3">
        <f ca="1">IFERROR(__xludf.DUMMYFUNCTION("""COMPUTED_VALUE"""),24.2)</f>
        <v>24.2</v>
      </c>
      <c r="K117" s="3">
        <f ca="1">IFERROR(__xludf.DUMMYFUNCTION("""COMPUTED_VALUE"""),17.7)</f>
        <v>17.7</v>
      </c>
      <c r="L117" s="3">
        <f ca="1">IFERROR(__xludf.DUMMYFUNCTION("""COMPUTED_VALUE"""),17.3)</f>
        <v>17.3</v>
      </c>
      <c r="M117" s="3">
        <f ca="1">IFERROR(__xludf.DUMMYFUNCTION("""COMPUTED_VALUE"""),61.1)</f>
        <v>61.1</v>
      </c>
      <c r="N117" s="3">
        <f ca="1">IFERROR(__xludf.DUMMYFUNCTION("""COMPUTED_VALUE"""),35)</f>
        <v>35</v>
      </c>
      <c r="O117" s="3">
        <f ca="1">IFERROR(__xludf.DUMMYFUNCTION("""COMPUTED_VALUE"""),3.9)</f>
        <v>3.9</v>
      </c>
      <c r="P117" s="3">
        <f ca="1">IFERROR(__xludf.DUMMYFUNCTION("split(Y117, "" | "")"),66.4)</f>
        <v>66.400000000000006</v>
      </c>
      <c r="Q117" s="3">
        <f ca="1">IFERROR(__xludf.DUMMYFUNCTION("""COMPUTED_VALUE"""),23.8)</f>
        <v>23.8</v>
      </c>
      <c r="R117" s="3">
        <f ca="1">IFERROR(__xludf.DUMMYFUNCTION("""COMPUTED_VALUE"""),4.1)</f>
        <v>4.0999999999999996</v>
      </c>
      <c r="S117" s="3">
        <f ca="1">IFERROR(__xludf.DUMMYFUNCTION("""COMPUTED_VALUE"""),4.2)</f>
        <v>4.2</v>
      </c>
      <c r="T117" s="3">
        <f ca="1">IFERROR(__xludf.DUMMYFUNCTION("""COMPUTED_VALUE"""),90.2)</f>
        <v>90.2</v>
      </c>
      <c r="U117" s="3">
        <f ca="1">IFERROR(__xludf.DUMMYFUNCTION("""COMPUTED_VALUE"""),8.3)</f>
        <v>8.3000000000000007</v>
      </c>
      <c r="V117" s="3">
        <f ca="1">IFERROR(__xludf.DUMMYFUNCTION("""COMPUTED_VALUE"""),1.4)</f>
        <v>1.4</v>
      </c>
      <c r="W117" s="5"/>
      <c r="X117" s="5"/>
      <c r="Y117" s="5"/>
    </row>
    <row r="118" spans="1:25" ht="13.8">
      <c r="A118" s="2">
        <v>43946</v>
      </c>
      <c r="B118" s="3">
        <f ca="1">IFERROR(__xludf.DUMMYFUNCTION("split(W118, "" | "")"),22.2)</f>
        <v>22.2</v>
      </c>
      <c r="C118" s="3">
        <f ca="1">IFERROR(__xludf.DUMMYFUNCTION("""COMPUTED_VALUE"""),12)</f>
        <v>12</v>
      </c>
      <c r="D118" s="3">
        <f ca="1">IFERROR(__xludf.DUMMYFUNCTION("""COMPUTED_VALUE"""),27.1)</f>
        <v>27.1</v>
      </c>
      <c r="E118" s="3">
        <f ca="1">IFERROR(__xludf.DUMMYFUNCTION("""COMPUTED_VALUE"""),35.6)</f>
        <v>35.6</v>
      </c>
      <c r="F118" s="3">
        <f ca="1">IFERROR(__xludf.DUMMYFUNCTION("""COMPUTED_VALUE"""),34.2)</f>
        <v>34.200000000000003</v>
      </c>
      <c r="G118" s="3">
        <f ca="1">IFERROR(__xludf.DUMMYFUNCTION("""COMPUTED_VALUE"""),62.7)</f>
        <v>62.7</v>
      </c>
      <c r="H118" s="3">
        <f ca="1">IFERROR(__xludf.DUMMYFUNCTION("""COMPUTED_VALUE"""),3.1)</f>
        <v>3.1</v>
      </c>
      <c r="I118" s="4">
        <f ca="1">IFERROR(__xludf.DUMMYFUNCTION("split(X118, "" | "")"),35.4)</f>
        <v>35.4</v>
      </c>
      <c r="J118" s="3">
        <f ca="1">IFERROR(__xludf.DUMMYFUNCTION("""COMPUTED_VALUE"""),24)</f>
        <v>24</v>
      </c>
      <c r="K118" s="3">
        <f ca="1">IFERROR(__xludf.DUMMYFUNCTION("""COMPUTED_VALUE"""),19.6)</f>
        <v>19.600000000000001</v>
      </c>
      <c r="L118" s="3">
        <f ca="1">IFERROR(__xludf.DUMMYFUNCTION("""COMPUTED_VALUE"""),18.2)</f>
        <v>18.2</v>
      </c>
      <c r="M118" s="3">
        <f ca="1">IFERROR(__xludf.DUMMYFUNCTION("""COMPUTED_VALUE"""),59.4)</f>
        <v>59.4</v>
      </c>
      <c r="N118" s="3">
        <f ca="1">IFERROR(__xludf.DUMMYFUNCTION("""COMPUTED_VALUE"""),37.8)</f>
        <v>37.799999999999997</v>
      </c>
      <c r="O118" s="3">
        <f ca="1">IFERROR(__xludf.DUMMYFUNCTION("""COMPUTED_VALUE"""),2.8)</f>
        <v>2.8</v>
      </c>
      <c r="P118" s="3">
        <f ca="1">IFERROR(__xludf.DUMMYFUNCTION("split(Y118, "" | "")"),62.8)</f>
        <v>62.8</v>
      </c>
      <c r="Q118" s="3">
        <f ca="1">IFERROR(__xludf.DUMMYFUNCTION("""COMPUTED_VALUE"""),23.6)</f>
        <v>23.6</v>
      </c>
      <c r="R118" s="3">
        <f ca="1">IFERROR(__xludf.DUMMYFUNCTION("""COMPUTED_VALUE"""),5)</f>
        <v>5</v>
      </c>
      <c r="S118" s="3">
        <f ca="1">IFERROR(__xludf.DUMMYFUNCTION("""COMPUTED_VALUE"""),7.7)</f>
        <v>7.7</v>
      </c>
      <c r="T118" s="3">
        <f ca="1">IFERROR(__xludf.DUMMYFUNCTION("""COMPUTED_VALUE"""),86.3)</f>
        <v>86.3</v>
      </c>
      <c r="U118" s="3">
        <f ca="1">IFERROR(__xludf.DUMMYFUNCTION("""COMPUTED_VALUE"""),12.7)</f>
        <v>12.7</v>
      </c>
      <c r="V118" s="3">
        <f ca="1">IFERROR(__xludf.DUMMYFUNCTION("""COMPUTED_VALUE"""),0.9)</f>
        <v>0.9</v>
      </c>
      <c r="W118" s="5"/>
      <c r="X118" s="5"/>
      <c r="Y118" s="7"/>
    </row>
    <row r="119" spans="1:25" ht="13.8">
      <c r="A119" s="2">
        <v>43953</v>
      </c>
      <c r="B119" s="3">
        <f ca="1">IFERROR(__xludf.DUMMYFUNCTION("split(W119, "" | "")"),18.5)</f>
        <v>18.5</v>
      </c>
      <c r="C119" s="3">
        <f ca="1">IFERROR(__xludf.DUMMYFUNCTION("""COMPUTED_VALUE"""),15.7)</f>
        <v>15.7</v>
      </c>
      <c r="D119" s="3">
        <f ca="1">IFERROR(__xludf.DUMMYFUNCTION("""COMPUTED_VALUE"""),20.1)</f>
        <v>20.100000000000001</v>
      </c>
      <c r="E119" s="3">
        <f ca="1">IFERROR(__xludf.DUMMYFUNCTION("""COMPUTED_VALUE"""),39.4)</f>
        <v>39.4</v>
      </c>
      <c r="F119" s="3">
        <f ca="1">IFERROR(__xludf.DUMMYFUNCTION("""COMPUTED_VALUE"""),34.2)</f>
        <v>34.200000000000003</v>
      </c>
      <c r="G119" s="3">
        <f ca="1">IFERROR(__xludf.DUMMYFUNCTION("""COMPUTED_VALUE"""),59.5)</f>
        <v>59.5</v>
      </c>
      <c r="H119" s="3">
        <f ca="1">IFERROR(__xludf.DUMMYFUNCTION("""COMPUTED_VALUE"""),6.3)</f>
        <v>6.3</v>
      </c>
      <c r="I119" s="4">
        <f ca="1">IFERROR(__xludf.DUMMYFUNCTION("split(X119, "" | "")"),37.3)</f>
        <v>37.299999999999997</v>
      </c>
      <c r="J119" s="3">
        <f ca="1">IFERROR(__xludf.DUMMYFUNCTION("""COMPUTED_VALUE"""),25)</f>
        <v>25</v>
      </c>
      <c r="K119" s="3">
        <f ca="1">IFERROR(__xludf.DUMMYFUNCTION("""COMPUTED_VALUE"""),15)</f>
        <v>15</v>
      </c>
      <c r="L119" s="3">
        <f ca="1">IFERROR(__xludf.DUMMYFUNCTION("""COMPUTED_VALUE"""),18.9)</f>
        <v>18.899999999999999</v>
      </c>
      <c r="M119" s="3">
        <f ca="1">IFERROR(__xludf.DUMMYFUNCTION("""COMPUTED_VALUE"""),62.2)</f>
        <v>62.2</v>
      </c>
      <c r="N119" s="3">
        <f ca="1">IFERROR(__xludf.DUMMYFUNCTION("""COMPUTED_VALUE"""),33.9)</f>
        <v>33.9</v>
      </c>
      <c r="O119" s="3">
        <f ca="1">IFERROR(__xludf.DUMMYFUNCTION("""COMPUTED_VALUE"""),3.9)</f>
        <v>3.9</v>
      </c>
      <c r="P119" s="3">
        <f ca="1">IFERROR(__xludf.DUMMYFUNCTION("split(Y119, "" | "")"),63.2)</f>
        <v>63.2</v>
      </c>
      <c r="Q119" s="3">
        <f ca="1">IFERROR(__xludf.DUMMYFUNCTION("""COMPUTED_VALUE"""),21.4)</f>
        <v>21.4</v>
      </c>
      <c r="R119" s="3">
        <f ca="1">IFERROR(__xludf.DUMMYFUNCTION("""COMPUTED_VALUE"""),5.8)</f>
        <v>5.8</v>
      </c>
      <c r="S119" s="3">
        <f ca="1">IFERROR(__xludf.DUMMYFUNCTION("""COMPUTED_VALUE"""),7.7)</f>
        <v>7.7</v>
      </c>
      <c r="T119" s="3">
        <f ca="1">IFERROR(__xludf.DUMMYFUNCTION("""COMPUTED_VALUE"""),84.6)</f>
        <v>84.6</v>
      </c>
      <c r="U119" s="3">
        <f ca="1">IFERROR(__xludf.DUMMYFUNCTION("""COMPUTED_VALUE"""),13.5)</f>
        <v>13.5</v>
      </c>
      <c r="V119" s="3">
        <f ca="1">IFERROR(__xludf.DUMMYFUNCTION("""COMPUTED_VALUE"""),1.9)</f>
        <v>1.9</v>
      </c>
      <c r="W119" s="5"/>
      <c r="X119" s="5"/>
      <c r="Y119" s="5"/>
    </row>
    <row r="120" spans="1:25" ht="13.8">
      <c r="A120" s="2">
        <v>43960</v>
      </c>
      <c r="B120" s="3">
        <f ca="1">IFERROR(__xludf.DUMMYFUNCTION("split(W120, "" | "")"),24.4)</f>
        <v>24.4</v>
      </c>
      <c r="C120" s="3">
        <f ca="1">IFERROR(__xludf.DUMMYFUNCTION("""COMPUTED_VALUE"""),12)</f>
        <v>12</v>
      </c>
      <c r="D120" s="3">
        <f ca="1">IFERROR(__xludf.DUMMYFUNCTION("""COMPUTED_VALUE"""),20.8)</f>
        <v>20.8</v>
      </c>
      <c r="E120" s="3">
        <f ca="1">IFERROR(__xludf.DUMMYFUNCTION("""COMPUTED_VALUE"""),38.7)</f>
        <v>38.700000000000003</v>
      </c>
      <c r="F120" s="3">
        <f ca="1">IFERROR(__xludf.DUMMYFUNCTION("""COMPUTED_VALUE"""),36.4)</f>
        <v>36.4</v>
      </c>
      <c r="G120" s="3">
        <f ca="1">IFERROR(__xludf.DUMMYFUNCTION("""COMPUTED_VALUE"""),59.6)</f>
        <v>59.6</v>
      </c>
      <c r="H120" s="3">
        <f ca="1">IFERROR(__xludf.DUMMYFUNCTION("""COMPUTED_VALUE"""),4.1)</f>
        <v>4.0999999999999996</v>
      </c>
      <c r="I120" s="4">
        <f ca="1">IFERROR(__xludf.DUMMYFUNCTION("split(X120, "" | "")"),35.1)</f>
        <v>35.1</v>
      </c>
      <c r="J120" s="3">
        <f ca="1">IFERROR(__xludf.DUMMYFUNCTION("""COMPUTED_VALUE"""),21.2)</f>
        <v>21.2</v>
      </c>
      <c r="K120" s="3">
        <f ca="1">IFERROR(__xludf.DUMMYFUNCTION("""COMPUTED_VALUE"""),15.1)</f>
        <v>15.1</v>
      </c>
      <c r="L120" s="3">
        <f ca="1">IFERROR(__xludf.DUMMYFUNCTION("""COMPUTED_VALUE"""),24)</f>
        <v>24</v>
      </c>
      <c r="M120" s="3">
        <f ca="1">IFERROR(__xludf.DUMMYFUNCTION("""COMPUTED_VALUE"""),56.3)</f>
        <v>56.3</v>
      </c>
      <c r="N120" s="3">
        <f ca="1">IFERROR(__xludf.DUMMYFUNCTION("""COMPUTED_VALUE"""),39.1)</f>
        <v>39.1</v>
      </c>
      <c r="O120" s="3">
        <f ca="1">IFERROR(__xludf.DUMMYFUNCTION("""COMPUTED_VALUE"""),4.6)</f>
        <v>4.5999999999999996</v>
      </c>
      <c r="P120" s="3">
        <f ca="1">IFERROR(__xludf.DUMMYFUNCTION("split(Y120, "" | "")"),65.9)</f>
        <v>65.900000000000006</v>
      </c>
      <c r="Q120" s="3">
        <f ca="1">IFERROR(__xludf.DUMMYFUNCTION("""COMPUTED_VALUE"""),21.7)</f>
        <v>21.7</v>
      </c>
      <c r="R120" s="3">
        <f ca="1">IFERROR(__xludf.DUMMYFUNCTION("""COMPUTED_VALUE"""),4.7)</f>
        <v>4.7</v>
      </c>
      <c r="S120" s="3">
        <f ca="1">IFERROR(__xludf.DUMMYFUNCTION("""COMPUTED_VALUE"""),6)</f>
        <v>6</v>
      </c>
      <c r="T120" s="3">
        <f ca="1">IFERROR(__xludf.DUMMYFUNCTION("""COMPUTED_VALUE"""),87.5)</f>
        <v>87.5</v>
      </c>
      <c r="U120" s="3">
        <f ca="1">IFERROR(__xludf.DUMMYFUNCTION("""COMPUTED_VALUE"""),10.7)</f>
        <v>10.7</v>
      </c>
      <c r="V120" s="3">
        <f ca="1">IFERROR(__xludf.DUMMYFUNCTION("""COMPUTED_VALUE"""),1.8)</f>
        <v>1.8</v>
      </c>
      <c r="W120" s="5"/>
      <c r="X120" s="5"/>
      <c r="Y120" s="5"/>
    </row>
    <row r="121" spans="1:25" ht="13.8">
      <c r="A121" s="2">
        <v>43967</v>
      </c>
      <c r="B121" s="3">
        <f ca="1">IFERROR(__xludf.DUMMYFUNCTION("split(W121, "" | "")"),19.7)</f>
        <v>19.7</v>
      </c>
      <c r="C121" s="3">
        <f ca="1">IFERROR(__xludf.DUMMYFUNCTION("""COMPUTED_VALUE"""),13.7)</f>
        <v>13.7</v>
      </c>
      <c r="D121" s="3">
        <f ca="1">IFERROR(__xludf.DUMMYFUNCTION("""COMPUTED_VALUE"""),21)</f>
        <v>21</v>
      </c>
      <c r="E121" s="3">
        <f ca="1">IFERROR(__xludf.DUMMYFUNCTION("""COMPUTED_VALUE"""),41.5)</f>
        <v>41.5</v>
      </c>
      <c r="F121" s="3">
        <f ca="1">IFERROR(__xludf.DUMMYFUNCTION("""COMPUTED_VALUE"""),33.3)</f>
        <v>33.299999999999997</v>
      </c>
      <c r="G121" s="3">
        <f ca="1">IFERROR(__xludf.DUMMYFUNCTION("""COMPUTED_VALUE"""),62.5)</f>
        <v>62.5</v>
      </c>
      <c r="H121" s="3">
        <f ca="1">IFERROR(__xludf.DUMMYFUNCTION("""COMPUTED_VALUE"""),4.2)</f>
        <v>4.2</v>
      </c>
      <c r="I121" s="4">
        <f ca="1">IFERROR(__xludf.DUMMYFUNCTION("split(X121, "" | "")"),37.2)</f>
        <v>37.200000000000003</v>
      </c>
      <c r="J121" s="3">
        <f ca="1">IFERROR(__xludf.DUMMYFUNCTION("""COMPUTED_VALUE"""),21.3)</f>
        <v>21.3</v>
      </c>
      <c r="K121" s="3">
        <f ca="1">IFERROR(__xludf.DUMMYFUNCTION("""COMPUTED_VALUE"""),17.6)</f>
        <v>17.600000000000001</v>
      </c>
      <c r="L121" s="3">
        <f ca="1">IFERROR(__xludf.DUMMYFUNCTION("""COMPUTED_VALUE"""),19.4)</f>
        <v>19.399999999999999</v>
      </c>
      <c r="M121" s="3">
        <f ca="1">IFERROR(__xludf.DUMMYFUNCTION("""COMPUTED_VALUE"""),58.5)</f>
        <v>58.5</v>
      </c>
      <c r="N121" s="3">
        <f ca="1">IFERROR(__xludf.DUMMYFUNCTION("""COMPUTED_VALUE"""),37)</f>
        <v>37</v>
      </c>
      <c r="O121" s="3">
        <f ca="1">IFERROR(__xludf.DUMMYFUNCTION("""COMPUTED_VALUE"""),4.5)</f>
        <v>4.5</v>
      </c>
      <c r="P121" s="3">
        <f ca="1">IFERROR(__xludf.DUMMYFUNCTION("split(Y121, "" | "")"),64)</f>
        <v>64</v>
      </c>
      <c r="Q121" s="3">
        <f ca="1">IFERROR(__xludf.DUMMYFUNCTION("""COMPUTED_VALUE"""),22.9)</f>
        <v>22.9</v>
      </c>
      <c r="R121" s="3">
        <f ca="1">IFERROR(__xludf.DUMMYFUNCTION("""COMPUTED_VALUE"""),6.3)</f>
        <v>6.3</v>
      </c>
      <c r="S121" s="3">
        <f ca="1">IFERROR(__xludf.DUMMYFUNCTION("""COMPUTED_VALUE"""),5.3)</f>
        <v>5.3</v>
      </c>
      <c r="T121" s="3">
        <f ca="1">IFERROR(__xludf.DUMMYFUNCTION("""COMPUTED_VALUE"""),86.9)</f>
        <v>86.9</v>
      </c>
      <c r="U121" s="3">
        <f ca="1">IFERROR(__xludf.DUMMYFUNCTION("""COMPUTED_VALUE"""),11.6)</f>
        <v>11.6</v>
      </c>
      <c r="V121" s="3">
        <f ca="1">IFERROR(__xludf.DUMMYFUNCTION("""COMPUTED_VALUE"""),1.5)</f>
        <v>1.5</v>
      </c>
      <c r="W121" s="5"/>
      <c r="X121" s="5"/>
      <c r="Y1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22"/>
  <sheetViews>
    <sheetView workbookViewId="0"/>
  </sheetViews>
  <sheetFormatPr defaultColWidth="14.44140625" defaultRowHeight="15.75" customHeight="1"/>
  <sheetData>
    <row r="1" spans="1:9"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/>
    </row>
    <row r="2" spans="1:9">
      <c r="A2" s="3" t="str">
        <f ca="1">IFERROR(__xludf.DUMMYFUNCTION("split(I2, "" "")"),"주간")</f>
        <v>주간</v>
      </c>
      <c r="B2" s="3" t="str">
        <f ca="1">IFERROR(__xludf.DUMMYFUNCTION("""COMPUTED_VALUE"""),"02월")</f>
        <v>02월</v>
      </c>
      <c r="C2" s="3" t="str">
        <f ca="1">IFERROR(__xludf.DUMMYFUNCTION("""COMPUTED_VALUE"""),"1주(30~01)")</f>
        <v>1주(30~01)</v>
      </c>
      <c r="D2" s="9">
        <f ca="1">IFERROR(__xludf.DUMMYFUNCTION("""COMPUTED_VALUE"""),1005)</f>
        <v>1005</v>
      </c>
      <c r="E2" s="10">
        <f ca="1">IFERROR(__xludf.DUMMYFUNCTION("""COMPUTED_VALUE"""),0.63)</f>
        <v>0.63</v>
      </c>
      <c r="F2" s="10">
        <f ca="1">IFERROR(__xludf.DUMMYFUNCTION("""COMPUTED_VALUE"""),0.3)</f>
        <v>0.3</v>
      </c>
      <c r="G2" s="10">
        <f ca="1">IFERROR(__xludf.DUMMYFUNCTION("""COMPUTED_VALUE"""),0.03)</f>
        <v>0.03</v>
      </c>
      <c r="H2" s="10">
        <f ca="1">IFERROR(__xludf.DUMMYFUNCTION("""COMPUTED_VALUE"""),0.04)</f>
        <v>0.04</v>
      </c>
      <c r="I2" s="5" t="s">
        <v>28</v>
      </c>
    </row>
    <row r="3" spans="1:9">
      <c r="A3" s="3" t="str">
        <f ca="1">IFERROR(__xludf.DUMMYFUNCTION("split(I3, "" "")"),"주간")</f>
        <v>주간</v>
      </c>
      <c r="B3" s="3" t="str">
        <f ca="1">IFERROR(__xludf.DUMMYFUNCTION("""COMPUTED_VALUE"""),"02월")</f>
        <v>02월</v>
      </c>
      <c r="C3" s="3" t="str">
        <f ca="1">IFERROR(__xludf.DUMMYFUNCTION("""COMPUTED_VALUE"""),"2주(06~08)")</f>
        <v>2주(06~08)</v>
      </c>
      <c r="D3" s="9">
        <f ca="1">IFERROR(__xludf.DUMMYFUNCTION("""COMPUTED_VALUE"""),1004)</f>
        <v>1004</v>
      </c>
      <c r="E3" s="10">
        <f ca="1">IFERROR(__xludf.DUMMYFUNCTION("""COMPUTED_VALUE"""),0.63)</f>
        <v>0.63</v>
      </c>
      <c r="F3" s="10">
        <f ca="1">IFERROR(__xludf.DUMMYFUNCTION("""COMPUTED_VALUE"""),0.28)</f>
        <v>0.28000000000000003</v>
      </c>
      <c r="G3" s="10">
        <f ca="1">IFERROR(__xludf.DUMMYFUNCTION("""COMPUTED_VALUE"""),0.04)</f>
        <v>0.04</v>
      </c>
      <c r="H3" s="10">
        <f ca="1">IFERROR(__xludf.DUMMYFUNCTION("""COMPUTED_VALUE"""),0.05)</f>
        <v>0.05</v>
      </c>
      <c r="I3" s="5" t="s">
        <v>29</v>
      </c>
    </row>
    <row r="4" spans="1:9">
      <c r="A4" s="3" t="str">
        <f ca="1">IFERROR(__xludf.DUMMYFUNCTION("split(I4, "" "")"),"주간")</f>
        <v>주간</v>
      </c>
      <c r="B4" s="3" t="str">
        <f ca="1">IFERROR(__xludf.DUMMYFUNCTION("""COMPUTED_VALUE"""),"02월")</f>
        <v>02월</v>
      </c>
      <c r="C4" s="3" t="str">
        <f ca="1">IFERROR(__xludf.DUMMYFUNCTION("""COMPUTED_VALUE"""),"3주(12~16)")</f>
        <v>3주(12~16)</v>
      </c>
      <c r="I4" s="5" t="s">
        <v>30</v>
      </c>
    </row>
    <row r="5" spans="1:9">
      <c r="A5" s="3" t="str">
        <f ca="1">IFERROR(__xludf.DUMMYFUNCTION("split(I5, "" "")"),"주간")</f>
        <v>주간</v>
      </c>
      <c r="B5" s="3" t="str">
        <f ca="1">IFERROR(__xludf.DUMMYFUNCTION("""COMPUTED_VALUE"""),"02월")</f>
        <v>02월</v>
      </c>
      <c r="C5" s="3" t="str">
        <f ca="1">IFERROR(__xludf.DUMMYFUNCTION("""COMPUTED_VALUE"""),"4주(20~22)")</f>
        <v>4주(20~22)</v>
      </c>
      <c r="D5" s="9">
        <f ca="1">IFERROR(__xludf.DUMMYFUNCTION("""COMPUTED_VALUE"""),1002)</f>
        <v>1002</v>
      </c>
      <c r="E5" s="10">
        <f ca="1">IFERROR(__xludf.DUMMYFUNCTION("""COMPUTED_VALUE"""),0.68)</f>
        <v>0.68</v>
      </c>
      <c r="F5" s="10">
        <f ca="1">IFERROR(__xludf.DUMMYFUNCTION("""COMPUTED_VALUE"""),0.22)</f>
        <v>0.22</v>
      </c>
      <c r="G5" s="10">
        <f ca="1">IFERROR(__xludf.DUMMYFUNCTION("""COMPUTED_VALUE"""),0.05)</f>
        <v>0.05</v>
      </c>
      <c r="H5" s="10">
        <f ca="1">IFERROR(__xludf.DUMMYFUNCTION("""COMPUTED_VALUE"""),0.04)</f>
        <v>0.04</v>
      </c>
      <c r="I5" s="5" t="s">
        <v>31</v>
      </c>
    </row>
    <row r="6" spans="1:9">
      <c r="A6" s="3" t="str">
        <f ca="1">IFERROR(__xludf.DUMMYFUNCTION("split(I6, "" "")"),"주간")</f>
        <v>주간</v>
      </c>
      <c r="B6" s="3" t="str">
        <f ca="1">IFERROR(__xludf.DUMMYFUNCTION("""COMPUTED_VALUE"""),"02월")</f>
        <v>02월</v>
      </c>
      <c r="C6" s="3" t="str">
        <f ca="1">IFERROR(__xludf.DUMMYFUNCTION("""COMPUTED_VALUE"""),"5주(27~28)")</f>
        <v>5주(27~28)</v>
      </c>
      <c r="D6" s="9">
        <f ca="1">IFERROR(__xludf.DUMMYFUNCTION("""COMPUTED_VALUE"""),1008)</f>
        <v>1008</v>
      </c>
      <c r="E6" s="10">
        <f ca="1">IFERROR(__xludf.DUMMYFUNCTION("""COMPUTED_VALUE"""),0.64)</f>
        <v>0.64</v>
      </c>
      <c r="F6" s="10">
        <f ca="1">IFERROR(__xludf.DUMMYFUNCTION("""COMPUTED_VALUE"""),0.26)</f>
        <v>0.26</v>
      </c>
      <c r="G6" s="10">
        <f ca="1">IFERROR(__xludf.DUMMYFUNCTION("""COMPUTED_VALUE"""),0.04)</f>
        <v>0.04</v>
      </c>
      <c r="H6" s="10">
        <f ca="1">IFERROR(__xludf.DUMMYFUNCTION("""COMPUTED_VALUE"""),0.06)</f>
        <v>0.06</v>
      </c>
      <c r="I6" s="5" t="s">
        <v>32</v>
      </c>
    </row>
    <row r="7" spans="1:9">
      <c r="A7" s="3" t="str">
        <f ca="1">IFERROR(__xludf.DUMMYFUNCTION("split(I7, "" "")"),"주간")</f>
        <v>주간</v>
      </c>
      <c r="B7" s="3" t="str">
        <f ca="1">IFERROR(__xludf.DUMMYFUNCTION("""COMPUTED_VALUE"""),"03월")</f>
        <v>03월</v>
      </c>
      <c r="C7" s="3" t="str">
        <f ca="1">IFERROR(__xludf.DUMMYFUNCTION("""COMPUTED_VALUE"""),"1주(06~08)")</f>
        <v>1주(06~08)</v>
      </c>
      <c r="D7" s="9">
        <f ca="1">IFERROR(__xludf.DUMMYFUNCTION("""COMPUTED_VALUE"""),1005)</f>
        <v>1005</v>
      </c>
      <c r="E7" s="10">
        <f ca="1">IFERROR(__xludf.DUMMYFUNCTION("""COMPUTED_VALUE"""),0.71)</f>
        <v>0.71</v>
      </c>
      <c r="F7" s="10">
        <f ca="1">IFERROR(__xludf.DUMMYFUNCTION("""COMPUTED_VALUE"""),0.22)</f>
        <v>0.22</v>
      </c>
      <c r="G7" s="10">
        <f ca="1">IFERROR(__xludf.DUMMYFUNCTION("""COMPUTED_VALUE"""),0.04)</f>
        <v>0.04</v>
      </c>
      <c r="H7" s="10">
        <f ca="1">IFERROR(__xludf.DUMMYFUNCTION("""COMPUTED_VALUE"""),0.04)</f>
        <v>0.04</v>
      </c>
      <c r="I7" s="5" t="s">
        <v>33</v>
      </c>
    </row>
    <row r="8" spans="1:9">
      <c r="A8" s="3" t="str">
        <f ca="1">IFERROR(__xludf.DUMMYFUNCTION("split(I8, "" "")"),"주간")</f>
        <v>주간</v>
      </c>
      <c r="B8" s="3" t="str">
        <f ca="1">IFERROR(__xludf.DUMMYFUNCTION("""COMPUTED_VALUE"""),"03월")</f>
        <v>03월</v>
      </c>
      <c r="C8" s="3" t="str">
        <f ca="1">IFERROR(__xludf.DUMMYFUNCTION("""COMPUTED_VALUE"""),"2주(13~15)")</f>
        <v>2주(13~15)</v>
      </c>
      <c r="D8" s="9">
        <f ca="1">IFERROR(__xludf.DUMMYFUNCTION("""COMPUTED_VALUE"""),1003)</f>
        <v>1003</v>
      </c>
      <c r="E8" s="10">
        <f ca="1">IFERROR(__xludf.DUMMYFUNCTION("""COMPUTED_VALUE"""),0.74)</f>
        <v>0.74</v>
      </c>
      <c r="F8" s="10">
        <f ca="1">IFERROR(__xludf.DUMMYFUNCTION("""COMPUTED_VALUE"""),0.18)</f>
        <v>0.18</v>
      </c>
      <c r="G8" s="10">
        <f ca="1">IFERROR(__xludf.DUMMYFUNCTION("""COMPUTED_VALUE"""),0.05)</f>
        <v>0.05</v>
      </c>
      <c r="H8" s="10">
        <f ca="1">IFERROR(__xludf.DUMMYFUNCTION("""COMPUTED_VALUE"""),0.04)</f>
        <v>0.04</v>
      </c>
      <c r="I8" s="5" t="s">
        <v>34</v>
      </c>
    </row>
    <row r="9" spans="1:9">
      <c r="A9" s="3" t="str">
        <f ca="1">IFERROR(__xludf.DUMMYFUNCTION("split(I9, "" "")"),"주간")</f>
        <v>주간</v>
      </c>
      <c r="B9" s="3" t="str">
        <f ca="1">IFERROR(__xludf.DUMMYFUNCTION("""COMPUTED_VALUE"""),"03월")</f>
        <v>03월</v>
      </c>
      <c r="C9" s="3" t="str">
        <f ca="1">IFERROR(__xludf.DUMMYFUNCTION("""COMPUTED_VALUE"""),"3주(20~22)")</f>
        <v>3주(20~22)</v>
      </c>
      <c r="D9" s="9">
        <f ca="1">IFERROR(__xludf.DUMMYFUNCTION("""COMPUTED_VALUE"""),1003)</f>
        <v>1003</v>
      </c>
      <c r="E9" s="10">
        <f ca="1">IFERROR(__xludf.DUMMYFUNCTION("""COMPUTED_VALUE"""),0.71)</f>
        <v>0.71</v>
      </c>
      <c r="F9" s="10">
        <f ca="1">IFERROR(__xludf.DUMMYFUNCTION("""COMPUTED_VALUE"""),0.19)</f>
        <v>0.19</v>
      </c>
      <c r="G9" s="10">
        <f ca="1">IFERROR(__xludf.DUMMYFUNCTION("""COMPUTED_VALUE"""),0.06)</f>
        <v>0.06</v>
      </c>
      <c r="H9" s="10">
        <f ca="1">IFERROR(__xludf.DUMMYFUNCTION("""COMPUTED_VALUE"""),0.05)</f>
        <v>0.05</v>
      </c>
      <c r="I9" s="5" t="s">
        <v>35</v>
      </c>
    </row>
    <row r="10" spans="1:9">
      <c r="A10" s="3" t="str">
        <f ca="1">IFERROR(__xludf.DUMMYFUNCTION("split(I10, "" "")"),"주간")</f>
        <v>주간</v>
      </c>
      <c r="B10" s="3" t="str">
        <f ca="1">IFERROR(__xludf.DUMMYFUNCTION("""COMPUTED_VALUE"""),"03월")</f>
        <v>03월</v>
      </c>
      <c r="C10" s="3" t="str">
        <f ca="1">IFERROR(__xludf.DUMMYFUNCTION("""COMPUTED_VALUE"""),"4주(27~29)")</f>
        <v>4주(27~29)</v>
      </c>
      <c r="D10" s="9">
        <f ca="1">IFERROR(__xludf.DUMMYFUNCTION("""COMPUTED_VALUE"""),1004)</f>
        <v>1004</v>
      </c>
      <c r="E10" s="10">
        <f ca="1">IFERROR(__xludf.DUMMYFUNCTION("""COMPUTED_VALUE"""),0.7)</f>
        <v>0.7</v>
      </c>
      <c r="F10" s="10">
        <f ca="1">IFERROR(__xludf.DUMMYFUNCTION("""COMPUTED_VALUE"""),0.21)</f>
        <v>0.21</v>
      </c>
      <c r="G10" s="10">
        <f ca="1">IFERROR(__xludf.DUMMYFUNCTION("""COMPUTED_VALUE"""),0.05)</f>
        <v>0.05</v>
      </c>
      <c r="H10" s="10">
        <f ca="1">IFERROR(__xludf.DUMMYFUNCTION("""COMPUTED_VALUE"""),0.04)</f>
        <v>0.04</v>
      </c>
      <c r="I10" s="5" t="s">
        <v>36</v>
      </c>
    </row>
    <row r="11" spans="1:9">
      <c r="A11" s="3" t="str">
        <f ca="1">IFERROR(__xludf.DUMMYFUNCTION("split(I11, "" "")"),"주간")</f>
        <v>주간</v>
      </c>
      <c r="B11" s="3" t="str">
        <f ca="1">IFERROR(__xludf.DUMMYFUNCTION("""COMPUTED_VALUE"""),"04월")</f>
        <v>04월</v>
      </c>
      <c r="C11" s="3" t="str">
        <f ca="1">IFERROR(__xludf.DUMMYFUNCTION("""COMPUTED_VALUE"""),"1주(03~05)")</f>
        <v>1주(03~05)</v>
      </c>
      <c r="D11" s="9">
        <f ca="1">IFERROR(__xludf.DUMMYFUNCTION("""COMPUTED_VALUE"""),1004)</f>
        <v>1004</v>
      </c>
      <c r="E11" s="10">
        <f ca="1">IFERROR(__xludf.DUMMYFUNCTION("""COMPUTED_VALUE"""),0.74)</f>
        <v>0.74</v>
      </c>
      <c r="F11" s="10">
        <f ca="1">IFERROR(__xludf.DUMMYFUNCTION("""COMPUTED_VALUE"""),0.17)</f>
        <v>0.17</v>
      </c>
      <c r="G11" s="10">
        <f ca="1">IFERROR(__xludf.DUMMYFUNCTION("""COMPUTED_VALUE"""),0.05)</f>
        <v>0.05</v>
      </c>
      <c r="H11" s="10">
        <f ca="1">IFERROR(__xludf.DUMMYFUNCTION("""COMPUTED_VALUE"""),0.04)</f>
        <v>0.04</v>
      </c>
      <c r="I11" s="5" t="s">
        <v>37</v>
      </c>
    </row>
    <row r="12" spans="1:9">
      <c r="A12" s="3" t="str">
        <f ca="1">IFERROR(__xludf.DUMMYFUNCTION("split(I12, "" "")"),"주간")</f>
        <v>주간</v>
      </c>
      <c r="B12" s="3" t="str">
        <f ca="1">IFERROR(__xludf.DUMMYFUNCTION("""COMPUTED_VALUE"""),"04월")</f>
        <v>04월</v>
      </c>
      <c r="C12" s="3" t="str">
        <f ca="1">IFERROR(__xludf.DUMMYFUNCTION("""COMPUTED_VALUE"""),"2주(10~12)")</f>
        <v>2주(10~12)</v>
      </c>
      <c r="D12" s="9">
        <f ca="1">IFERROR(__xludf.DUMMYFUNCTION("""COMPUTED_VALUE"""),1005)</f>
        <v>1005</v>
      </c>
      <c r="E12" s="10">
        <f ca="1">IFERROR(__xludf.DUMMYFUNCTION("""COMPUTED_VALUE"""),0.72)</f>
        <v>0.72</v>
      </c>
      <c r="F12" s="10">
        <f ca="1">IFERROR(__xludf.DUMMYFUNCTION("""COMPUTED_VALUE"""),0.19)</f>
        <v>0.19</v>
      </c>
      <c r="G12" s="10">
        <f ca="1">IFERROR(__xludf.DUMMYFUNCTION("""COMPUTED_VALUE"""),0.05)</f>
        <v>0.05</v>
      </c>
      <c r="H12" s="10">
        <f ca="1">IFERROR(__xludf.DUMMYFUNCTION("""COMPUTED_VALUE"""),0.04)</f>
        <v>0.04</v>
      </c>
      <c r="I12" s="5" t="s">
        <v>38</v>
      </c>
    </row>
    <row r="13" spans="1:9">
      <c r="A13" s="3" t="str">
        <f ca="1">IFERROR(__xludf.DUMMYFUNCTION("split(I13, "" "")"),"주간")</f>
        <v>주간</v>
      </c>
      <c r="B13" s="3" t="str">
        <f ca="1">IFERROR(__xludf.DUMMYFUNCTION("""COMPUTED_VALUE"""),"04월")</f>
        <v>04월</v>
      </c>
      <c r="C13" s="3" t="str">
        <f ca="1">IFERROR(__xludf.DUMMYFUNCTION("""COMPUTED_VALUE"""),"3주(17~19)")</f>
        <v>3주(17~19)</v>
      </c>
      <c r="D13" s="9">
        <f ca="1">IFERROR(__xludf.DUMMYFUNCTION("""COMPUTED_VALUE"""),1003)</f>
        <v>1003</v>
      </c>
      <c r="E13" s="10">
        <f ca="1">IFERROR(__xludf.DUMMYFUNCTION("""COMPUTED_VALUE"""),0.7)</f>
        <v>0.7</v>
      </c>
      <c r="F13" s="10">
        <f ca="1">IFERROR(__xludf.DUMMYFUNCTION("""COMPUTED_VALUE"""),0.21)</f>
        <v>0.21</v>
      </c>
      <c r="G13" s="10">
        <f ca="1">IFERROR(__xludf.DUMMYFUNCTION("""COMPUTED_VALUE"""),0.04)</f>
        <v>0.04</v>
      </c>
      <c r="H13" s="10">
        <f ca="1">IFERROR(__xludf.DUMMYFUNCTION("""COMPUTED_VALUE"""),0.04)</f>
        <v>0.04</v>
      </c>
      <c r="I13" s="5" t="s">
        <v>39</v>
      </c>
    </row>
    <row r="14" spans="1:9">
      <c r="A14" s="3" t="str">
        <f ca="1">IFERROR(__xludf.DUMMYFUNCTION("split(I14, "" "")"),"주간")</f>
        <v>주간</v>
      </c>
      <c r="B14" s="3" t="str">
        <f ca="1">IFERROR(__xludf.DUMMYFUNCTION("""COMPUTED_VALUE"""),"04월")</f>
        <v>04월</v>
      </c>
      <c r="C14" s="3" t="str">
        <f ca="1">IFERROR(__xludf.DUMMYFUNCTION("""COMPUTED_VALUE"""),"4주(24~26)")</f>
        <v>4주(24~26)</v>
      </c>
      <c r="D14" s="9">
        <f ca="1">IFERROR(__xludf.DUMMYFUNCTION("""COMPUTED_VALUE"""),1005)</f>
        <v>1005</v>
      </c>
      <c r="E14" s="10">
        <f ca="1">IFERROR(__xludf.DUMMYFUNCTION("""COMPUTED_VALUE"""),0.73)</f>
        <v>0.73</v>
      </c>
      <c r="F14" s="10">
        <f ca="1">IFERROR(__xludf.DUMMYFUNCTION("""COMPUTED_VALUE"""),0.18)</f>
        <v>0.18</v>
      </c>
      <c r="G14" s="10">
        <f ca="1">IFERROR(__xludf.DUMMYFUNCTION("""COMPUTED_VALUE"""),0.04)</f>
        <v>0.04</v>
      </c>
      <c r="H14" s="10">
        <f ca="1">IFERROR(__xludf.DUMMYFUNCTION("""COMPUTED_VALUE"""),0.05)</f>
        <v>0.05</v>
      </c>
      <c r="I14" s="5" t="s">
        <v>40</v>
      </c>
    </row>
    <row r="15" spans="1:9">
      <c r="A15" s="3" t="str">
        <f ca="1">IFERROR(__xludf.DUMMYFUNCTION("split(I15, "" "")"),"주간")</f>
        <v>주간</v>
      </c>
      <c r="B15" s="3" t="str">
        <f ca="1">IFERROR(__xludf.DUMMYFUNCTION("""COMPUTED_VALUE"""),"05월")</f>
        <v>05월</v>
      </c>
      <c r="C15" s="3" t="str">
        <f ca="1">IFERROR(__xludf.DUMMYFUNCTION("""COMPUTED_VALUE"""),"1주(02~03)")</f>
        <v>1주(02~03)</v>
      </c>
      <c r="D15" s="9">
        <f ca="1">IFERROR(__xludf.DUMMYFUNCTION("""COMPUTED_VALUE"""),1002)</f>
        <v>1002</v>
      </c>
      <c r="E15" s="10">
        <f ca="1">IFERROR(__xludf.DUMMYFUNCTION("""COMPUTED_VALUE"""),0.83)</f>
        <v>0.83</v>
      </c>
      <c r="F15" s="10">
        <f ca="1">IFERROR(__xludf.DUMMYFUNCTION("""COMPUTED_VALUE"""),0.1)</f>
        <v>0.1</v>
      </c>
      <c r="G15" s="10">
        <f ca="1">IFERROR(__xludf.DUMMYFUNCTION("""COMPUTED_VALUE"""),0.05)</f>
        <v>0.05</v>
      </c>
      <c r="H15" s="10">
        <f ca="1">IFERROR(__xludf.DUMMYFUNCTION("""COMPUTED_VALUE"""),0.03)</f>
        <v>0.03</v>
      </c>
      <c r="I15" s="5" t="s">
        <v>41</v>
      </c>
    </row>
    <row r="16" spans="1:9">
      <c r="A16" s="3" t="str">
        <f ca="1">IFERROR(__xludf.DUMMYFUNCTION("split(I16, "" "")"),"주간")</f>
        <v>주간</v>
      </c>
      <c r="B16" s="3" t="str">
        <f ca="1">IFERROR(__xludf.DUMMYFUNCTION("""COMPUTED_VALUE"""),"05월")</f>
        <v>05월</v>
      </c>
      <c r="C16" s="3" t="str">
        <f ca="1">IFERROR(__xludf.DUMMYFUNCTION("""COMPUTED_VALUE"""),"2주(08~10)")</f>
        <v>2주(08~10)</v>
      </c>
      <c r="D16" s="9">
        <f ca="1">IFERROR(__xludf.DUMMYFUNCTION("""COMPUTED_VALUE"""),1002)</f>
        <v>1002</v>
      </c>
      <c r="E16" s="10">
        <f ca="1">IFERROR(__xludf.DUMMYFUNCTION("""COMPUTED_VALUE"""),0.78)</f>
        <v>0.78</v>
      </c>
      <c r="F16" s="10">
        <f ca="1">IFERROR(__xludf.DUMMYFUNCTION("""COMPUTED_VALUE"""),0.13)</f>
        <v>0.13</v>
      </c>
      <c r="G16" s="10">
        <f ca="1">IFERROR(__xludf.DUMMYFUNCTION("""COMPUTED_VALUE"""),0.05)</f>
        <v>0.05</v>
      </c>
      <c r="H16" s="10">
        <f ca="1">IFERROR(__xludf.DUMMYFUNCTION("""COMPUTED_VALUE"""),0.04)</f>
        <v>0.04</v>
      </c>
      <c r="I16" s="5" t="s">
        <v>42</v>
      </c>
    </row>
    <row r="17" spans="1:9">
      <c r="A17" s="3" t="str">
        <f ca="1">IFERROR(__xludf.DUMMYFUNCTION("split(I17, "" "")"),"주간")</f>
        <v>주간</v>
      </c>
      <c r="B17" s="3" t="str">
        <f ca="1">IFERROR(__xludf.DUMMYFUNCTION("""COMPUTED_VALUE"""),"05월")</f>
        <v>05월</v>
      </c>
      <c r="C17" s="3" t="str">
        <f ca="1">IFERROR(__xludf.DUMMYFUNCTION("""COMPUTED_VALUE"""),"3주(16~17)")</f>
        <v>3주(16~17)</v>
      </c>
      <c r="D17" s="9">
        <f ca="1">IFERROR(__xludf.DUMMYFUNCTION("""COMPUTED_VALUE"""),1004)</f>
        <v>1004</v>
      </c>
      <c r="E17" s="10">
        <f ca="1">IFERROR(__xludf.DUMMYFUNCTION("""COMPUTED_VALUE"""),0.76)</f>
        <v>0.76</v>
      </c>
      <c r="F17" s="10">
        <f ca="1">IFERROR(__xludf.DUMMYFUNCTION("""COMPUTED_VALUE"""),0.14)</f>
        <v>0.14000000000000001</v>
      </c>
      <c r="G17" s="10">
        <f ca="1">IFERROR(__xludf.DUMMYFUNCTION("""COMPUTED_VALUE"""),0.06)</f>
        <v>0.06</v>
      </c>
      <c r="H17" s="10">
        <f ca="1">IFERROR(__xludf.DUMMYFUNCTION("""COMPUTED_VALUE"""),0.04)</f>
        <v>0.04</v>
      </c>
      <c r="I17" s="5" t="s">
        <v>43</v>
      </c>
    </row>
    <row r="18" spans="1:9">
      <c r="A18" s="3" t="str">
        <f ca="1">IFERROR(__xludf.DUMMYFUNCTION("split(I18, "" "")"),"주간")</f>
        <v>주간</v>
      </c>
      <c r="B18" s="3" t="str">
        <f ca="1">IFERROR(__xludf.DUMMYFUNCTION("""COMPUTED_VALUE"""),"05월")</f>
        <v>05월</v>
      </c>
      <c r="C18" s="3" t="str">
        <f ca="1">IFERROR(__xludf.DUMMYFUNCTION("""COMPUTED_VALUE"""),"4주(23~24)")</f>
        <v>4주(23~24)</v>
      </c>
      <c r="D18" s="9">
        <f ca="1">IFERROR(__xludf.DUMMYFUNCTION("""COMPUTED_VALUE"""),1003)</f>
        <v>1003</v>
      </c>
      <c r="E18" s="10">
        <f ca="1">IFERROR(__xludf.DUMMYFUNCTION("""COMPUTED_VALUE"""),0.76)</f>
        <v>0.76</v>
      </c>
      <c r="F18" s="10">
        <f ca="1">IFERROR(__xludf.DUMMYFUNCTION("""COMPUTED_VALUE"""),0.14)</f>
        <v>0.14000000000000001</v>
      </c>
      <c r="G18" s="10">
        <f ca="1">IFERROR(__xludf.DUMMYFUNCTION("""COMPUTED_VALUE"""),0.04)</f>
        <v>0.04</v>
      </c>
      <c r="H18" s="10">
        <f ca="1">IFERROR(__xludf.DUMMYFUNCTION("""COMPUTED_VALUE"""),0.06)</f>
        <v>0.06</v>
      </c>
      <c r="I18" s="5" t="s">
        <v>44</v>
      </c>
    </row>
    <row r="19" spans="1:9">
      <c r="A19" s="3" t="str">
        <f ca="1">IFERROR(__xludf.DUMMYFUNCTION("split(I19, "" "")"),"주간")</f>
        <v>주간</v>
      </c>
      <c r="B19" s="3" t="str">
        <f ca="1">IFERROR(__xludf.DUMMYFUNCTION("""COMPUTED_VALUE"""),"05월")</f>
        <v>05월</v>
      </c>
      <c r="C19" s="3" t="str">
        <f ca="1">IFERROR(__xludf.DUMMYFUNCTION("""COMPUTED_VALUE"""),"5주(29~31)")</f>
        <v>5주(29~31)</v>
      </c>
      <c r="D19" s="9">
        <f ca="1">IFERROR(__xludf.DUMMYFUNCTION("""COMPUTED_VALUE"""),1002)</f>
        <v>1002</v>
      </c>
      <c r="E19" s="10">
        <f ca="1">IFERROR(__xludf.DUMMYFUNCTION("""COMPUTED_VALUE"""),0.75)</f>
        <v>0.75</v>
      </c>
      <c r="F19" s="10">
        <f ca="1">IFERROR(__xludf.DUMMYFUNCTION("""COMPUTED_VALUE"""),0.15)</f>
        <v>0.15</v>
      </c>
      <c r="G19" s="10">
        <f ca="1">IFERROR(__xludf.DUMMYFUNCTION("""COMPUTED_VALUE"""),0.05)</f>
        <v>0.05</v>
      </c>
      <c r="H19" s="10">
        <f ca="1">IFERROR(__xludf.DUMMYFUNCTION("""COMPUTED_VALUE"""),0.05)</f>
        <v>0.05</v>
      </c>
      <c r="I19" s="5" t="s">
        <v>45</v>
      </c>
    </row>
    <row r="20" spans="1:9">
      <c r="A20" s="3" t="str">
        <f ca="1">IFERROR(__xludf.DUMMYFUNCTION("split(I20, "" "")"),"주간")</f>
        <v>주간</v>
      </c>
      <c r="B20" s="3" t="str">
        <f ca="1">IFERROR(__xludf.DUMMYFUNCTION("""COMPUTED_VALUE"""),"06월")</f>
        <v>06월</v>
      </c>
      <c r="C20" s="3" t="str">
        <f ca="1">IFERROR(__xludf.DUMMYFUNCTION("""COMPUTED_VALUE"""),"1주(04~08)")</f>
        <v>1주(04~08)</v>
      </c>
      <c r="I20" s="5" t="s">
        <v>46</v>
      </c>
    </row>
    <row r="21" spans="1:9">
      <c r="A21" s="3" t="str">
        <f ca="1">IFERROR(__xludf.DUMMYFUNCTION("split(I21, "" "")"),"주간")</f>
        <v>주간</v>
      </c>
      <c r="B21" s="3" t="str">
        <f ca="1">IFERROR(__xludf.DUMMYFUNCTION("""COMPUTED_VALUE"""),"06월")</f>
        <v>06월</v>
      </c>
      <c r="C21" s="3" t="str">
        <f ca="1">IFERROR(__xludf.DUMMYFUNCTION("""COMPUTED_VALUE"""),"2주(14~14)")</f>
        <v>2주(14~14)</v>
      </c>
      <c r="D21" s="9">
        <f ca="1">IFERROR(__xludf.DUMMYFUNCTION("""COMPUTED_VALUE"""),1007)</f>
        <v>1007</v>
      </c>
      <c r="E21" s="10">
        <f ca="1">IFERROR(__xludf.DUMMYFUNCTION("""COMPUTED_VALUE"""),0.79)</f>
        <v>0.79</v>
      </c>
      <c r="F21" s="10">
        <f ca="1">IFERROR(__xludf.DUMMYFUNCTION("""COMPUTED_VALUE"""),0.12)</f>
        <v>0.12</v>
      </c>
      <c r="G21" s="10">
        <f ca="1">IFERROR(__xludf.DUMMYFUNCTION("""COMPUTED_VALUE"""),0.04)</f>
        <v>0.04</v>
      </c>
      <c r="H21" s="10">
        <f ca="1">IFERROR(__xludf.DUMMYFUNCTION("""COMPUTED_VALUE"""),0.04)</f>
        <v>0.04</v>
      </c>
      <c r="I21" s="5" t="s">
        <v>47</v>
      </c>
    </row>
    <row r="22" spans="1:9">
      <c r="A22" s="3" t="str">
        <f ca="1">IFERROR(__xludf.DUMMYFUNCTION("split(I22, "" "")"),"주간")</f>
        <v>주간</v>
      </c>
      <c r="B22" s="3" t="str">
        <f ca="1">IFERROR(__xludf.DUMMYFUNCTION("""COMPUTED_VALUE"""),"06월")</f>
        <v>06월</v>
      </c>
      <c r="C22" s="3" t="str">
        <f ca="1">IFERROR(__xludf.DUMMYFUNCTION("""COMPUTED_VALUE"""),"3주(18~22)")</f>
        <v>3주(18~22)</v>
      </c>
      <c r="D22" s="9">
        <f ca="1">IFERROR(__xludf.DUMMYFUNCTION("""COMPUTED_VALUE"""),1003)</f>
        <v>1003</v>
      </c>
      <c r="E22" s="10">
        <f ca="1">IFERROR(__xludf.DUMMYFUNCTION("""COMPUTED_VALUE"""),0.75)</f>
        <v>0.75</v>
      </c>
      <c r="F22" s="10">
        <f ca="1">IFERROR(__xludf.DUMMYFUNCTION("""COMPUTED_VALUE"""),0.16)</f>
        <v>0.16</v>
      </c>
      <c r="G22" s="10">
        <f ca="1">IFERROR(__xludf.DUMMYFUNCTION("""COMPUTED_VALUE"""),0.04)</f>
        <v>0.04</v>
      </c>
      <c r="H22" s="10">
        <f ca="1">IFERROR(__xludf.DUMMYFUNCTION("""COMPUTED_VALUE"""),0.05)</f>
        <v>0.05</v>
      </c>
      <c r="I22" s="5" t="s">
        <v>48</v>
      </c>
    </row>
    <row r="23" spans="1:9">
      <c r="A23" s="3" t="str">
        <f ca="1">IFERROR(__xludf.DUMMYFUNCTION("split(I23, "" "")"),"주간")</f>
        <v>주간</v>
      </c>
      <c r="B23" s="3" t="str">
        <f ca="1">IFERROR(__xludf.DUMMYFUNCTION("""COMPUTED_VALUE"""),"06월")</f>
        <v>06월</v>
      </c>
      <c r="C23" s="3" t="str">
        <f ca="1">IFERROR(__xludf.DUMMYFUNCTION("""COMPUTED_VALUE"""),"4주(26~28)")</f>
        <v>4주(26~28)</v>
      </c>
      <c r="D23" s="9">
        <f ca="1">IFERROR(__xludf.DUMMYFUNCTION("""COMPUTED_VALUE"""),1001)</f>
        <v>1001</v>
      </c>
      <c r="E23" s="10">
        <f ca="1">IFERROR(__xludf.DUMMYFUNCTION("""COMPUTED_VALUE"""),0.73)</f>
        <v>0.73</v>
      </c>
      <c r="F23" s="10">
        <f ca="1">IFERROR(__xludf.DUMMYFUNCTION("""COMPUTED_VALUE"""),0.16)</f>
        <v>0.16</v>
      </c>
      <c r="G23" s="10">
        <f ca="1">IFERROR(__xludf.DUMMYFUNCTION("""COMPUTED_VALUE"""),0.06)</f>
        <v>0.06</v>
      </c>
      <c r="H23" s="10">
        <f ca="1">IFERROR(__xludf.DUMMYFUNCTION("""COMPUTED_VALUE"""),0.05)</f>
        <v>0.05</v>
      </c>
      <c r="I23" s="5" t="s">
        <v>49</v>
      </c>
    </row>
    <row r="24" spans="1:9">
      <c r="A24" s="3" t="str">
        <f ca="1">IFERROR(__xludf.DUMMYFUNCTION("split(I24, "" "")"),"주간")</f>
        <v>주간</v>
      </c>
      <c r="B24" s="3" t="str">
        <f ca="1">IFERROR(__xludf.DUMMYFUNCTION("""COMPUTED_VALUE"""),"07월")</f>
        <v>07월</v>
      </c>
      <c r="C24" s="3" t="str">
        <f ca="1">IFERROR(__xludf.DUMMYFUNCTION("""COMPUTED_VALUE"""),"1주(03~05)")</f>
        <v>1주(03~05)</v>
      </c>
      <c r="D24" s="9">
        <f ca="1">IFERROR(__xludf.DUMMYFUNCTION("""COMPUTED_VALUE"""),1002)</f>
        <v>1002</v>
      </c>
      <c r="E24" s="10">
        <f ca="1">IFERROR(__xludf.DUMMYFUNCTION("""COMPUTED_VALUE"""),0.71)</f>
        <v>0.71</v>
      </c>
      <c r="F24" s="10">
        <f ca="1">IFERROR(__xludf.DUMMYFUNCTION("""COMPUTED_VALUE"""),0.18)</f>
        <v>0.18</v>
      </c>
      <c r="G24" s="10">
        <f ca="1">IFERROR(__xludf.DUMMYFUNCTION("""COMPUTED_VALUE"""),0.06)</f>
        <v>0.06</v>
      </c>
      <c r="H24" s="10">
        <f ca="1">IFERROR(__xludf.DUMMYFUNCTION("""COMPUTED_VALUE"""),0.05)</f>
        <v>0.05</v>
      </c>
      <c r="I24" s="5" t="s">
        <v>50</v>
      </c>
    </row>
    <row r="25" spans="1:9">
      <c r="A25" s="3" t="str">
        <f ca="1">IFERROR(__xludf.DUMMYFUNCTION("split(I25, "" "")"),"주간")</f>
        <v>주간</v>
      </c>
      <c r="B25" s="3" t="str">
        <f ca="1">IFERROR(__xludf.DUMMYFUNCTION("""COMPUTED_VALUE"""),"07월")</f>
        <v>07월</v>
      </c>
      <c r="C25" s="3" t="str">
        <f ca="1">IFERROR(__xludf.DUMMYFUNCTION("""COMPUTED_VALUE"""),"2주(10~12)")</f>
        <v>2주(10~12)</v>
      </c>
      <c r="D25" s="9">
        <f ca="1">IFERROR(__xludf.DUMMYFUNCTION("""COMPUTED_VALUE"""),1002)</f>
        <v>1002</v>
      </c>
      <c r="E25" s="10">
        <f ca="1">IFERROR(__xludf.DUMMYFUNCTION("""COMPUTED_VALUE"""),0.69)</f>
        <v>0.69</v>
      </c>
      <c r="F25" s="10">
        <f ca="1">IFERROR(__xludf.DUMMYFUNCTION("""COMPUTED_VALUE"""),0.21)</f>
        <v>0.21</v>
      </c>
      <c r="G25" s="10">
        <f ca="1">IFERROR(__xludf.DUMMYFUNCTION("""COMPUTED_VALUE"""),0.04)</f>
        <v>0.04</v>
      </c>
      <c r="H25" s="10">
        <f ca="1">IFERROR(__xludf.DUMMYFUNCTION("""COMPUTED_VALUE"""),0.05)</f>
        <v>0.05</v>
      </c>
      <c r="I25" s="5" t="s">
        <v>51</v>
      </c>
    </row>
    <row r="26" spans="1:9">
      <c r="A26" s="3" t="str">
        <f ca="1">IFERROR(__xludf.DUMMYFUNCTION("split(I26, "" "")"),"주간")</f>
        <v>주간</v>
      </c>
      <c r="B26" s="3" t="str">
        <f ca="1">IFERROR(__xludf.DUMMYFUNCTION("""COMPUTED_VALUE"""),"07월")</f>
        <v>07월</v>
      </c>
      <c r="C26" s="3" t="str">
        <f ca="1">IFERROR(__xludf.DUMMYFUNCTION("""COMPUTED_VALUE"""),"3주(17~19)")</f>
        <v>3주(17~19)</v>
      </c>
      <c r="D26" s="9">
        <f ca="1">IFERROR(__xludf.DUMMYFUNCTION("""COMPUTED_VALUE"""),1002)</f>
        <v>1002</v>
      </c>
      <c r="E26" s="10">
        <f ca="1">IFERROR(__xludf.DUMMYFUNCTION("""COMPUTED_VALUE"""),0.67)</f>
        <v>0.67</v>
      </c>
      <c r="F26" s="10">
        <f ca="1">IFERROR(__xludf.DUMMYFUNCTION("""COMPUTED_VALUE"""),0.25)</f>
        <v>0.25</v>
      </c>
      <c r="G26" s="10">
        <f ca="1">IFERROR(__xludf.DUMMYFUNCTION("""COMPUTED_VALUE"""),0.04)</f>
        <v>0.04</v>
      </c>
      <c r="H26" s="10">
        <f ca="1">IFERROR(__xludf.DUMMYFUNCTION("""COMPUTED_VALUE"""),0.05)</f>
        <v>0.05</v>
      </c>
      <c r="I26" s="5" t="s">
        <v>52</v>
      </c>
    </row>
    <row r="27" spans="1:9">
      <c r="A27" s="3" t="str">
        <f ca="1">IFERROR(__xludf.DUMMYFUNCTION("split(I27, "" "")"),"주간")</f>
        <v>주간</v>
      </c>
      <c r="B27" s="3" t="str">
        <f ca="1">IFERROR(__xludf.DUMMYFUNCTION("""COMPUTED_VALUE"""),"07월")</f>
        <v>07월</v>
      </c>
      <c r="C27" s="3" t="str">
        <f ca="1">IFERROR(__xludf.DUMMYFUNCTION("""COMPUTED_VALUE"""),"4주(24~26)")</f>
        <v>4주(24~26)</v>
      </c>
      <c r="D27" s="9">
        <f ca="1">IFERROR(__xludf.DUMMYFUNCTION("""COMPUTED_VALUE"""),1002)</f>
        <v>1002</v>
      </c>
      <c r="E27" s="10">
        <f ca="1">IFERROR(__xludf.DUMMYFUNCTION("""COMPUTED_VALUE"""),0.62)</f>
        <v>0.62</v>
      </c>
      <c r="F27" s="10">
        <f ca="1">IFERROR(__xludf.DUMMYFUNCTION("""COMPUTED_VALUE"""),0.28)</f>
        <v>0.28000000000000003</v>
      </c>
      <c r="G27" s="10">
        <f ca="1">IFERROR(__xludf.DUMMYFUNCTION("""COMPUTED_VALUE"""),0.04)</f>
        <v>0.04</v>
      </c>
      <c r="H27" s="10">
        <f ca="1">IFERROR(__xludf.DUMMYFUNCTION("""COMPUTED_VALUE"""),0.05)</f>
        <v>0.05</v>
      </c>
      <c r="I27" s="5" t="s">
        <v>53</v>
      </c>
    </row>
    <row r="28" spans="1:9">
      <c r="A28" s="3" t="str">
        <f ca="1">IFERROR(__xludf.DUMMYFUNCTION("split(I28, "" "")"),"주간")</f>
        <v>주간</v>
      </c>
      <c r="B28" s="3" t="str">
        <f ca="1">IFERROR(__xludf.DUMMYFUNCTION("""COMPUTED_VALUE"""),"08월")</f>
        <v>08월</v>
      </c>
      <c r="C28" s="3" t="str">
        <f ca="1">IFERROR(__xludf.DUMMYFUNCTION("""COMPUTED_VALUE"""),"1주(31~02)")</f>
        <v>1주(31~02)</v>
      </c>
      <c r="D28" s="9">
        <f ca="1">IFERROR(__xludf.DUMMYFUNCTION("""COMPUTED_VALUE"""),1003)</f>
        <v>1003</v>
      </c>
      <c r="E28" s="10">
        <f ca="1">IFERROR(__xludf.DUMMYFUNCTION("""COMPUTED_VALUE"""),0.6)</f>
        <v>0.6</v>
      </c>
      <c r="F28" s="10">
        <f ca="1">IFERROR(__xludf.DUMMYFUNCTION("""COMPUTED_VALUE"""),0.29)</f>
        <v>0.28999999999999998</v>
      </c>
      <c r="G28" s="10">
        <f ca="1">IFERROR(__xludf.DUMMYFUNCTION("""COMPUTED_VALUE"""),0.04)</f>
        <v>0.04</v>
      </c>
      <c r="H28" s="10">
        <f ca="1">IFERROR(__xludf.DUMMYFUNCTION("""COMPUTED_VALUE"""),0.07)</f>
        <v>7.0000000000000007E-2</v>
      </c>
      <c r="I28" s="5" t="s">
        <v>54</v>
      </c>
    </row>
    <row r="29" spans="1:9">
      <c r="A29" s="3" t="str">
        <f ca="1">IFERROR(__xludf.DUMMYFUNCTION("split(I29, "" "")"),"주간")</f>
        <v>주간</v>
      </c>
      <c r="B29" s="3" t="str">
        <f ca="1">IFERROR(__xludf.DUMMYFUNCTION("""COMPUTED_VALUE"""),"08월")</f>
        <v>08월</v>
      </c>
      <c r="C29" s="3" t="str">
        <f ca="1">IFERROR(__xludf.DUMMYFUNCTION("""COMPUTED_VALUE"""),"2주(07~09)")</f>
        <v>2주(07~09)</v>
      </c>
      <c r="D29" s="9">
        <f ca="1">IFERROR(__xludf.DUMMYFUNCTION("""COMPUTED_VALUE"""),1003)</f>
        <v>1003</v>
      </c>
      <c r="E29" s="10">
        <f ca="1">IFERROR(__xludf.DUMMYFUNCTION("""COMPUTED_VALUE"""),0.58)</f>
        <v>0.57999999999999996</v>
      </c>
      <c r="F29" s="10">
        <f ca="1">IFERROR(__xludf.DUMMYFUNCTION("""COMPUTED_VALUE"""),0.31)</f>
        <v>0.31</v>
      </c>
      <c r="G29" s="10">
        <f ca="1">IFERROR(__xludf.DUMMYFUNCTION("""COMPUTED_VALUE"""),0.04)</f>
        <v>0.04</v>
      </c>
      <c r="H29" s="10">
        <f ca="1">IFERROR(__xludf.DUMMYFUNCTION("""COMPUTED_VALUE"""),0.07)</f>
        <v>7.0000000000000007E-2</v>
      </c>
      <c r="I29" s="5" t="s">
        <v>55</v>
      </c>
    </row>
    <row r="30" spans="1:9">
      <c r="A30" s="3" t="str">
        <f ca="1">IFERROR(__xludf.DUMMYFUNCTION("split(I30, "" "")"),"주간")</f>
        <v>주간</v>
      </c>
      <c r="B30" s="3" t="str">
        <f ca="1">IFERROR(__xludf.DUMMYFUNCTION("""COMPUTED_VALUE"""),"08월")</f>
        <v>08월</v>
      </c>
      <c r="C30" s="3" t="str">
        <f ca="1">IFERROR(__xludf.DUMMYFUNCTION("""COMPUTED_VALUE"""),"3주(14~16)")</f>
        <v>3주(14~16)</v>
      </c>
      <c r="D30" s="9">
        <f ca="1">IFERROR(__xludf.DUMMYFUNCTION("""COMPUTED_VALUE"""),1002)</f>
        <v>1002</v>
      </c>
      <c r="E30" s="10">
        <f ca="1">IFERROR(__xludf.DUMMYFUNCTION("""COMPUTED_VALUE"""),0.6)</f>
        <v>0.6</v>
      </c>
      <c r="F30" s="10">
        <f ca="1">IFERROR(__xludf.DUMMYFUNCTION("""COMPUTED_VALUE"""),0.32)</f>
        <v>0.32</v>
      </c>
      <c r="G30" s="10">
        <f ca="1">IFERROR(__xludf.DUMMYFUNCTION("""COMPUTED_VALUE"""),0.05)</f>
        <v>0.05</v>
      </c>
      <c r="H30" s="10">
        <f ca="1">IFERROR(__xludf.DUMMYFUNCTION("""COMPUTED_VALUE"""),0.04)</f>
        <v>0.04</v>
      </c>
      <c r="I30" s="5" t="s">
        <v>56</v>
      </c>
    </row>
    <row r="31" spans="1:9">
      <c r="A31" s="3" t="str">
        <f ca="1">IFERROR(__xludf.DUMMYFUNCTION("split(I31, "" "")"),"주간")</f>
        <v>주간</v>
      </c>
      <c r="B31" s="3" t="str">
        <f ca="1">IFERROR(__xludf.DUMMYFUNCTION("""COMPUTED_VALUE"""),"08월")</f>
        <v>08월</v>
      </c>
      <c r="C31" s="3" t="str">
        <f ca="1">IFERROR(__xludf.DUMMYFUNCTION("""COMPUTED_VALUE"""),"4주(21~23)")</f>
        <v>4주(21~23)</v>
      </c>
      <c r="D31" s="9">
        <f ca="1">IFERROR(__xludf.DUMMYFUNCTION("""COMPUTED_VALUE"""),1001)</f>
        <v>1001</v>
      </c>
      <c r="E31" s="10">
        <f ca="1">IFERROR(__xludf.DUMMYFUNCTION("""COMPUTED_VALUE"""),0.56)</f>
        <v>0.56000000000000005</v>
      </c>
      <c r="F31" s="10">
        <f ca="1">IFERROR(__xludf.DUMMYFUNCTION("""COMPUTED_VALUE"""),0.33)</f>
        <v>0.33</v>
      </c>
      <c r="G31" s="10">
        <f ca="1">IFERROR(__xludf.DUMMYFUNCTION("""COMPUTED_VALUE"""),0.05)</f>
        <v>0.05</v>
      </c>
      <c r="H31" s="10">
        <f ca="1">IFERROR(__xludf.DUMMYFUNCTION("""COMPUTED_VALUE"""),0.06)</f>
        <v>0.06</v>
      </c>
      <c r="I31" s="5" t="s">
        <v>57</v>
      </c>
    </row>
    <row r="32" spans="1:9">
      <c r="A32" s="3" t="str">
        <f ca="1">IFERROR(__xludf.DUMMYFUNCTION("split(I32, "" "")"),"주간")</f>
        <v>주간</v>
      </c>
      <c r="B32" s="3" t="str">
        <f ca="1">IFERROR(__xludf.DUMMYFUNCTION("""COMPUTED_VALUE"""),"08월")</f>
        <v>08월</v>
      </c>
      <c r="C32" s="3" t="str">
        <f ca="1">IFERROR(__xludf.DUMMYFUNCTION("""COMPUTED_VALUE"""),"5주(28~30)")</f>
        <v>5주(28~30)</v>
      </c>
      <c r="D32" s="9">
        <f ca="1">IFERROR(__xludf.DUMMYFUNCTION("""COMPUTED_VALUE"""),1000)</f>
        <v>1000</v>
      </c>
      <c r="E32" s="10">
        <f ca="1">IFERROR(__xludf.DUMMYFUNCTION("""COMPUTED_VALUE"""),0.53)</f>
        <v>0.53</v>
      </c>
      <c r="F32" s="10">
        <f ca="1">IFERROR(__xludf.DUMMYFUNCTION("""COMPUTED_VALUE"""),0.38)</f>
        <v>0.38</v>
      </c>
      <c r="G32" s="10">
        <f ca="1">IFERROR(__xludf.DUMMYFUNCTION("""COMPUTED_VALUE"""),0.04)</f>
        <v>0.04</v>
      </c>
      <c r="H32" s="10">
        <f ca="1">IFERROR(__xludf.DUMMYFUNCTION("""COMPUTED_VALUE"""),0.04)</f>
        <v>0.04</v>
      </c>
      <c r="I32" s="5" t="s">
        <v>58</v>
      </c>
    </row>
    <row r="33" spans="1:9">
      <c r="A33" s="3" t="str">
        <f ca="1">IFERROR(__xludf.DUMMYFUNCTION("split(I33, "" "")"),"주간")</f>
        <v>주간</v>
      </c>
      <c r="B33" s="3" t="str">
        <f ca="1">IFERROR(__xludf.DUMMYFUNCTION("""COMPUTED_VALUE"""),"09월")</f>
        <v>09월</v>
      </c>
      <c r="C33" s="3" t="str">
        <f ca="1">IFERROR(__xludf.DUMMYFUNCTION("""COMPUTED_VALUE"""),"1주(04~06)")</f>
        <v>1주(04~06)</v>
      </c>
      <c r="D33" s="9">
        <f ca="1">IFERROR(__xludf.DUMMYFUNCTION("""COMPUTED_VALUE"""),1000)</f>
        <v>1000</v>
      </c>
      <c r="E33" s="10">
        <f ca="1">IFERROR(__xludf.DUMMYFUNCTION("""COMPUTED_VALUE"""),0.49)</f>
        <v>0.49</v>
      </c>
      <c r="F33" s="10">
        <f ca="1">IFERROR(__xludf.DUMMYFUNCTION("""COMPUTED_VALUE"""),0.42)</f>
        <v>0.42</v>
      </c>
      <c r="G33" s="10">
        <f ca="1">IFERROR(__xludf.DUMMYFUNCTION("""COMPUTED_VALUE"""),0.05)</f>
        <v>0.05</v>
      </c>
      <c r="H33" s="10">
        <f ca="1">IFERROR(__xludf.DUMMYFUNCTION("""COMPUTED_VALUE"""),0.04)</f>
        <v>0.04</v>
      </c>
      <c r="I33" s="5" t="s">
        <v>59</v>
      </c>
    </row>
    <row r="34" spans="1:9">
      <c r="A34" s="3" t="str">
        <f ca="1">IFERROR(__xludf.DUMMYFUNCTION("split(I34, "" "")"),"주간")</f>
        <v>주간</v>
      </c>
      <c r="B34" s="3" t="str">
        <f ca="1">IFERROR(__xludf.DUMMYFUNCTION("""COMPUTED_VALUE"""),"09월")</f>
        <v>09월</v>
      </c>
      <c r="C34" s="3" t="str">
        <f ca="1">IFERROR(__xludf.DUMMYFUNCTION("""COMPUTED_VALUE"""),"2주(11~13)")</f>
        <v>2주(11~13)</v>
      </c>
      <c r="D34" s="9">
        <f ca="1">IFERROR(__xludf.DUMMYFUNCTION("""COMPUTED_VALUE"""),1001)</f>
        <v>1001</v>
      </c>
      <c r="E34" s="10">
        <f ca="1">IFERROR(__xludf.DUMMYFUNCTION("""COMPUTED_VALUE"""),0.5)</f>
        <v>0.5</v>
      </c>
      <c r="F34" s="10">
        <f ca="1">IFERROR(__xludf.DUMMYFUNCTION("""COMPUTED_VALUE"""),0.39)</f>
        <v>0.39</v>
      </c>
      <c r="G34" s="10">
        <f ca="1">IFERROR(__xludf.DUMMYFUNCTION("""COMPUTED_VALUE"""),0.04)</f>
        <v>0.04</v>
      </c>
      <c r="H34" s="10">
        <f ca="1">IFERROR(__xludf.DUMMYFUNCTION("""COMPUTED_VALUE"""),0.06)</f>
        <v>0.06</v>
      </c>
      <c r="I34" s="5" t="s">
        <v>60</v>
      </c>
    </row>
    <row r="35" spans="1:9">
      <c r="A35" s="3" t="str">
        <f ca="1">IFERROR(__xludf.DUMMYFUNCTION("split(I35, "" "")"),"주간")</f>
        <v>주간</v>
      </c>
      <c r="B35" s="3" t="str">
        <f ca="1">IFERROR(__xludf.DUMMYFUNCTION("""COMPUTED_VALUE"""),"09월")</f>
        <v>09월</v>
      </c>
      <c r="C35" s="3" t="str">
        <f ca="1">IFERROR(__xludf.DUMMYFUNCTION("""COMPUTED_VALUE"""),"3주(18~20)")</f>
        <v>3주(18~20)</v>
      </c>
      <c r="D35" s="9">
        <f ca="1">IFERROR(__xludf.DUMMYFUNCTION("""COMPUTED_VALUE"""),1001)</f>
        <v>1001</v>
      </c>
      <c r="E35" s="10">
        <f ca="1">IFERROR(__xludf.DUMMYFUNCTION("""COMPUTED_VALUE"""),0.61)</f>
        <v>0.61</v>
      </c>
      <c r="F35" s="10">
        <f ca="1">IFERROR(__xludf.DUMMYFUNCTION("""COMPUTED_VALUE"""),0.3)</f>
        <v>0.3</v>
      </c>
      <c r="G35" s="10">
        <f ca="1">IFERROR(__xludf.DUMMYFUNCTION("""COMPUTED_VALUE"""),0.05)</f>
        <v>0.05</v>
      </c>
      <c r="H35" s="10">
        <f ca="1">IFERROR(__xludf.DUMMYFUNCTION("""COMPUTED_VALUE"""),0.05)</f>
        <v>0.05</v>
      </c>
      <c r="I35" s="5" t="s">
        <v>61</v>
      </c>
    </row>
    <row r="36" spans="1:9">
      <c r="A36" s="3" t="str">
        <f ca="1">IFERROR(__xludf.DUMMYFUNCTION("split(I36, "" "")"),"주간")</f>
        <v>주간</v>
      </c>
      <c r="B36" s="3" t="str">
        <f ca="1">IFERROR(__xludf.DUMMYFUNCTION("""COMPUTED_VALUE"""),"09월")</f>
        <v>09월</v>
      </c>
      <c r="C36" s="3" t="str">
        <f ca="1">IFERROR(__xludf.DUMMYFUNCTION("""COMPUTED_VALUE"""),"4주(24~28)")</f>
        <v>4주(24~28)</v>
      </c>
      <c r="I36" s="5" t="s">
        <v>62</v>
      </c>
    </row>
    <row r="37" spans="1:9">
      <c r="A37" s="3" t="str">
        <f ca="1">IFERROR(__xludf.DUMMYFUNCTION("split(I37, "" "")"),"주간")</f>
        <v>주간</v>
      </c>
      <c r="B37" s="3" t="str">
        <f ca="1">IFERROR(__xludf.DUMMYFUNCTION("""COMPUTED_VALUE"""),"10월")</f>
        <v>10월</v>
      </c>
      <c r="C37" s="3" t="str">
        <f ca="1">IFERROR(__xludf.DUMMYFUNCTION("""COMPUTED_VALUE"""),"1주(02~04)")</f>
        <v>1주(02~04)</v>
      </c>
      <c r="D37" s="9">
        <f ca="1">IFERROR(__xludf.DUMMYFUNCTION("""COMPUTED_VALUE"""),1004)</f>
        <v>1004</v>
      </c>
      <c r="E37" s="10">
        <f ca="1">IFERROR(__xludf.DUMMYFUNCTION("""COMPUTED_VALUE"""),0.64)</f>
        <v>0.64</v>
      </c>
      <c r="F37" s="10">
        <f ca="1">IFERROR(__xludf.DUMMYFUNCTION("""COMPUTED_VALUE"""),0.26)</f>
        <v>0.26</v>
      </c>
      <c r="G37" s="10">
        <f ca="1">IFERROR(__xludf.DUMMYFUNCTION("""COMPUTED_VALUE"""),0.04)</f>
        <v>0.04</v>
      </c>
      <c r="H37" s="10">
        <f ca="1">IFERROR(__xludf.DUMMYFUNCTION("""COMPUTED_VALUE"""),0.06)</f>
        <v>0.06</v>
      </c>
      <c r="I37" s="5" t="s">
        <v>63</v>
      </c>
    </row>
    <row r="38" spans="1:9">
      <c r="A38" s="3" t="str">
        <f ca="1">IFERROR(__xludf.DUMMYFUNCTION("split(I38, "" "")"),"주간")</f>
        <v>주간</v>
      </c>
      <c r="B38" s="3" t="str">
        <f ca="1">IFERROR(__xludf.DUMMYFUNCTION("""COMPUTED_VALUE"""),"10월")</f>
        <v>10월</v>
      </c>
      <c r="C38" s="3" t="str">
        <f ca="1">IFERROR(__xludf.DUMMYFUNCTION("""COMPUTED_VALUE"""),"2주(10~11)")</f>
        <v>2주(10~11)</v>
      </c>
      <c r="D38" s="9">
        <f ca="1">IFERROR(__xludf.DUMMYFUNCTION("""COMPUTED_VALUE"""),1001)</f>
        <v>1001</v>
      </c>
      <c r="E38" s="10">
        <f ca="1">IFERROR(__xludf.DUMMYFUNCTION("""COMPUTED_VALUE"""),0.65)</f>
        <v>0.65</v>
      </c>
      <c r="F38" s="10">
        <f ca="1">IFERROR(__xludf.DUMMYFUNCTION("""COMPUTED_VALUE"""),0.25)</f>
        <v>0.25</v>
      </c>
      <c r="G38" s="10">
        <f ca="1">IFERROR(__xludf.DUMMYFUNCTION("""COMPUTED_VALUE"""),0.05)</f>
        <v>0.05</v>
      </c>
      <c r="H38" s="10">
        <f ca="1">IFERROR(__xludf.DUMMYFUNCTION("""COMPUTED_VALUE"""),0.04)</f>
        <v>0.04</v>
      </c>
      <c r="I38" s="5" t="s">
        <v>64</v>
      </c>
    </row>
    <row r="39" spans="1:9">
      <c r="A39" s="3" t="str">
        <f ca="1">IFERROR(__xludf.DUMMYFUNCTION("split(I39, "" "")"),"주간")</f>
        <v>주간</v>
      </c>
      <c r="B39" s="3" t="str">
        <f ca="1">IFERROR(__xludf.DUMMYFUNCTION("""COMPUTED_VALUE"""),"10월")</f>
        <v>10월</v>
      </c>
      <c r="C39" s="3" t="str">
        <f ca="1">IFERROR(__xludf.DUMMYFUNCTION("""COMPUTED_VALUE"""),"3주(16~18)")</f>
        <v>3주(16~18)</v>
      </c>
      <c r="D39" s="9">
        <f ca="1">IFERROR(__xludf.DUMMYFUNCTION("""COMPUTED_VALUE"""),1002)</f>
        <v>1002</v>
      </c>
      <c r="E39" s="10">
        <f ca="1">IFERROR(__xludf.DUMMYFUNCTION("""COMPUTED_VALUE"""),0.62)</f>
        <v>0.62</v>
      </c>
      <c r="F39" s="10">
        <f ca="1">IFERROR(__xludf.DUMMYFUNCTION("""COMPUTED_VALUE"""),0.27)</f>
        <v>0.27</v>
      </c>
      <c r="G39" s="10">
        <f ca="1">IFERROR(__xludf.DUMMYFUNCTION("""COMPUTED_VALUE"""),0.05)</f>
        <v>0.05</v>
      </c>
      <c r="H39" s="10">
        <f ca="1">IFERROR(__xludf.DUMMYFUNCTION("""COMPUTED_VALUE"""),0.05)</f>
        <v>0.05</v>
      </c>
      <c r="I39" s="5" t="s">
        <v>65</v>
      </c>
    </row>
    <row r="40" spans="1:9">
      <c r="A40" s="3" t="str">
        <f ca="1">IFERROR(__xludf.DUMMYFUNCTION("split(I40, "" "")"),"주간")</f>
        <v>주간</v>
      </c>
      <c r="B40" s="3" t="str">
        <f ca="1">IFERROR(__xludf.DUMMYFUNCTION("""COMPUTED_VALUE"""),"10월")</f>
        <v>10월</v>
      </c>
      <c r="C40" s="3" t="str">
        <f ca="1">IFERROR(__xludf.DUMMYFUNCTION("""COMPUTED_VALUE"""),"4주(23~25)")</f>
        <v>4주(23~25)</v>
      </c>
      <c r="D40" s="9">
        <f ca="1">IFERROR(__xludf.DUMMYFUNCTION("""COMPUTED_VALUE"""),1001)</f>
        <v>1001</v>
      </c>
      <c r="E40" s="10">
        <f ca="1">IFERROR(__xludf.DUMMYFUNCTION("""COMPUTED_VALUE"""),0.58)</f>
        <v>0.57999999999999996</v>
      </c>
      <c r="F40" s="10">
        <f ca="1">IFERROR(__xludf.DUMMYFUNCTION("""COMPUTED_VALUE"""),0.32)</f>
        <v>0.32</v>
      </c>
      <c r="G40" s="10">
        <f ca="1">IFERROR(__xludf.DUMMYFUNCTION("""COMPUTED_VALUE"""),0.05)</f>
        <v>0.05</v>
      </c>
      <c r="H40" s="10">
        <f ca="1">IFERROR(__xludf.DUMMYFUNCTION("""COMPUTED_VALUE"""),0.05)</f>
        <v>0.05</v>
      </c>
      <c r="I40" s="5" t="s">
        <v>66</v>
      </c>
    </row>
    <row r="41" spans="1:9">
      <c r="A41" s="3" t="str">
        <f ca="1">IFERROR(__xludf.DUMMYFUNCTION("split(I41, "" "")"),"주간")</f>
        <v>주간</v>
      </c>
      <c r="B41" s="3" t="str">
        <f ca="1">IFERROR(__xludf.DUMMYFUNCTION("""COMPUTED_VALUE"""),"11월")</f>
        <v>11월</v>
      </c>
      <c r="C41" s="3" t="str">
        <f ca="1">IFERROR(__xludf.DUMMYFUNCTION("""COMPUTED_VALUE"""),"1주(30~01)")</f>
        <v>1주(30~01)</v>
      </c>
      <c r="D41" s="9">
        <f ca="1">IFERROR(__xludf.DUMMYFUNCTION("""COMPUTED_VALUE"""),1004)</f>
        <v>1004</v>
      </c>
      <c r="E41" s="10">
        <f ca="1">IFERROR(__xludf.DUMMYFUNCTION("""COMPUTED_VALUE"""),0.55)</f>
        <v>0.55000000000000004</v>
      </c>
      <c r="F41" s="10">
        <f ca="1">IFERROR(__xludf.DUMMYFUNCTION("""COMPUTED_VALUE"""),0.35)</f>
        <v>0.35</v>
      </c>
      <c r="G41" s="10">
        <f ca="1">IFERROR(__xludf.DUMMYFUNCTION("""COMPUTED_VALUE"""),0.05)</f>
        <v>0.05</v>
      </c>
      <c r="H41" s="10">
        <f ca="1">IFERROR(__xludf.DUMMYFUNCTION("""COMPUTED_VALUE"""),0.05)</f>
        <v>0.05</v>
      </c>
      <c r="I41" s="5" t="s">
        <v>67</v>
      </c>
    </row>
    <row r="42" spans="1:9">
      <c r="A42" s="3" t="str">
        <f ca="1">IFERROR(__xludf.DUMMYFUNCTION("split(I42, "" "")"),"주간")</f>
        <v>주간</v>
      </c>
      <c r="B42" s="3" t="str">
        <f ca="1">IFERROR(__xludf.DUMMYFUNCTION("""COMPUTED_VALUE"""),"11월")</f>
        <v>11월</v>
      </c>
      <c r="C42" s="3" t="str">
        <f ca="1">IFERROR(__xludf.DUMMYFUNCTION("""COMPUTED_VALUE"""),"2주(06~08)")</f>
        <v>2주(06~08)</v>
      </c>
      <c r="D42" s="9">
        <f ca="1">IFERROR(__xludf.DUMMYFUNCTION("""COMPUTED_VALUE"""),1002)</f>
        <v>1002</v>
      </c>
      <c r="E42" s="10">
        <f ca="1">IFERROR(__xludf.DUMMYFUNCTION("""COMPUTED_VALUE"""),0.54)</f>
        <v>0.54</v>
      </c>
      <c r="F42" s="10">
        <f ca="1">IFERROR(__xludf.DUMMYFUNCTION("""COMPUTED_VALUE"""),0.36)</f>
        <v>0.36</v>
      </c>
      <c r="G42" s="10">
        <f ca="1">IFERROR(__xludf.DUMMYFUNCTION("""COMPUTED_VALUE"""),0.05)</f>
        <v>0.05</v>
      </c>
      <c r="H42" s="10">
        <f ca="1">IFERROR(__xludf.DUMMYFUNCTION("""COMPUTED_VALUE"""),0.05)</f>
        <v>0.05</v>
      </c>
      <c r="I42" s="5" t="s">
        <v>68</v>
      </c>
    </row>
    <row r="43" spans="1:9">
      <c r="A43" s="3" t="str">
        <f ca="1">IFERROR(__xludf.DUMMYFUNCTION("split(I43, "" "")"),"주간")</f>
        <v>주간</v>
      </c>
      <c r="B43" s="3" t="str">
        <f ca="1">IFERROR(__xludf.DUMMYFUNCTION("""COMPUTED_VALUE"""),"11월")</f>
        <v>11월</v>
      </c>
      <c r="C43" s="3" t="str">
        <f ca="1">IFERROR(__xludf.DUMMYFUNCTION("""COMPUTED_VALUE"""),"3주(13~15)")</f>
        <v>3주(13~15)</v>
      </c>
      <c r="D43" s="9">
        <f ca="1">IFERROR(__xludf.DUMMYFUNCTION("""COMPUTED_VALUE"""),1001)</f>
        <v>1001</v>
      </c>
      <c r="E43" s="10">
        <f ca="1">IFERROR(__xludf.DUMMYFUNCTION("""COMPUTED_VALUE"""),0.52)</f>
        <v>0.52</v>
      </c>
      <c r="F43" s="10">
        <f ca="1">IFERROR(__xludf.DUMMYFUNCTION("""COMPUTED_VALUE"""),0.4)</f>
        <v>0.4</v>
      </c>
      <c r="G43" s="10">
        <f ca="1">IFERROR(__xludf.DUMMYFUNCTION("""COMPUTED_VALUE"""),0.05)</f>
        <v>0.05</v>
      </c>
      <c r="H43" s="10">
        <f ca="1">IFERROR(__xludf.DUMMYFUNCTION("""COMPUTED_VALUE"""),0.04)</f>
        <v>0.04</v>
      </c>
      <c r="I43" s="5" t="s">
        <v>69</v>
      </c>
    </row>
    <row r="44" spans="1:9">
      <c r="A44" s="3" t="str">
        <f ca="1">IFERROR(__xludf.DUMMYFUNCTION("split(I44, "" "")"),"주간")</f>
        <v>주간</v>
      </c>
      <c r="B44" s="3" t="str">
        <f ca="1">IFERROR(__xludf.DUMMYFUNCTION("""COMPUTED_VALUE"""),"11월")</f>
        <v>11월</v>
      </c>
      <c r="C44" s="3" t="str">
        <f ca="1">IFERROR(__xludf.DUMMYFUNCTION("""COMPUTED_VALUE"""),"4주(20~22)")</f>
        <v>4주(20~22)</v>
      </c>
      <c r="D44" s="9">
        <f ca="1">IFERROR(__xludf.DUMMYFUNCTION("""COMPUTED_VALUE"""),1001)</f>
        <v>1001</v>
      </c>
      <c r="E44" s="10">
        <f ca="1">IFERROR(__xludf.DUMMYFUNCTION("""COMPUTED_VALUE"""),0.53)</f>
        <v>0.53</v>
      </c>
      <c r="F44" s="10">
        <f ca="1">IFERROR(__xludf.DUMMYFUNCTION("""COMPUTED_VALUE"""),0.38)</f>
        <v>0.38</v>
      </c>
      <c r="G44" s="10">
        <f ca="1">IFERROR(__xludf.DUMMYFUNCTION("""COMPUTED_VALUE"""),0.06)</f>
        <v>0.06</v>
      </c>
      <c r="H44" s="10">
        <f ca="1">IFERROR(__xludf.DUMMYFUNCTION("""COMPUTED_VALUE"""),0.03)</f>
        <v>0.03</v>
      </c>
      <c r="I44" s="5" t="s">
        <v>70</v>
      </c>
    </row>
    <row r="45" spans="1:9">
      <c r="A45" s="3" t="str">
        <f ca="1">IFERROR(__xludf.DUMMYFUNCTION("split(I45, "" "")"),"주간")</f>
        <v>주간</v>
      </c>
      <c r="B45" s="3" t="str">
        <f ca="1">IFERROR(__xludf.DUMMYFUNCTION("""COMPUTED_VALUE"""),"11월")</f>
        <v>11월</v>
      </c>
      <c r="C45" s="3" t="str">
        <f ca="1">IFERROR(__xludf.DUMMYFUNCTION("""COMPUTED_VALUE"""),"5주(27~29)")</f>
        <v>5주(27~29)</v>
      </c>
      <c r="D45" s="9">
        <f ca="1">IFERROR(__xludf.DUMMYFUNCTION("""COMPUTED_VALUE"""),1001)</f>
        <v>1001</v>
      </c>
      <c r="E45" s="10">
        <f ca="1">IFERROR(__xludf.DUMMYFUNCTION("""COMPUTED_VALUE"""),0.53)</f>
        <v>0.53</v>
      </c>
      <c r="F45" s="10">
        <f ca="1">IFERROR(__xludf.DUMMYFUNCTION("""COMPUTED_VALUE"""),0.39)</f>
        <v>0.39</v>
      </c>
      <c r="G45" s="10">
        <f ca="1">IFERROR(__xludf.DUMMYFUNCTION("""COMPUTED_VALUE"""),0.04)</f>
        <v>0.04</v>
      </c>
      <c r="H45" s="10">
        <f ca="1">IFERROR(__xludf.DUMMYFUNCTION("""COMPUTED_VALUE"""),0.04)</f>
        <v>0.04</v>
      </c>
      <c r="I45" s="5" t="s">
        <v>71</v>
      </c>
    </row>
    <row r="46" spans="1:9">
      <c r="A46" s="3" t="str">
        <f ca="1">IFERROR(__xludf.DUMMYFUNCTION("split(I46, "" "")"),"주간")</f>
        <v>주간</v>
      </c>
      <c r="B46" s="3" t="str">
        <f ca="1">IFERROR(__xludf.DUMMYFUNCTION("""COMPUTED_VALUE"""),"12월")</f>
        <v>12월</v>
      </c>
      <c r="C46" s="3" t="str">
        <f ca="1">IFERROR(__xludf.DUMMYFUNCTION("""COMPUTED_VALUE"""),"1주(04~06)")</f>
        <v>1주(04~06)</v>
      </c>
      <c r="D46" s="9">
        <f ca="1">IFERROR(__xludf.DUMMYFUNCTION("""COMPUTED_VALUE"""),1002)</f>
        <v>1002</v>
      </c>
      <c r="E46" s="10">
        <f ca="1">IFERROR(__xludf.DUMMYFUNCTION("""COMPUTED_VALUE"""),0.49)</f>
        <v>0.49</v>
      </c>
      <c r="F46" s="10">
        <f ca="1">IFERROR(__xludf.DUMMYFUNCTION("""COMPUTED_VALUE"""),0.41)</f>
        <v>0.41</v>
      </c>
      <c r="G46" s="10">
        <f ca="1">IFERROR(__xludf.DUMMYFUNCTION("""COMPUTED_VALUE"""),0.05)</f>
        <v>0.05</v>
      </c>
      <c r="H46" s="10">
        <f ca="1">IFERROR(__xludf.DUMMYFUNCTION("""COMPUTED_VALUE"""),0.06)</f>
        <v>0.06</v>
      </c>
      <c r="I46" s="5" t="s">
        <v>72</v>
      </c>
    </row>
    <row r="47" spans="1:9">
      <c r="A47" s="3" t="str">
        <f ca="1">IFERROR(__xludf.DUMMYFUNCTION("split(I47, "" "")"),"주간")</f>
        <v>주간</v>
      </c>
      <c r="B47" s="3" t="str">
        <f ca="1">IFERROR(__xludf.DUMMYFUNCTION("""COMPUTED_VALUE"""),"12월")</f>
        <v>12월</v>
      </c>
      <c r="C47" s="3" t="str">
        <f ca="1">IFERROR(__xludf.DUMMYFUNCTION("""COMPUTED_VALUE"""),"2주(11~13)")</f>
        <v>2주(11~13)</v>
      </c>
      <c r="D47" s="9">
        <f ca="1">IFERROR(__xludf.DUMMYFUNCTION("""COMPUTED_VALUE"""),1003)</f>
        <v>1003</v>
      </c>
      <c r="E47" s="10">
        <f ca="1">IFERROR(__xludf.DUMMYFUNCTION("""COMPUTED_VALUE"""),0.45)</f>
        <v>0.45</v>
      </c>
      <c r="F47" s="10">
        <f ca="1">IFERROR(__xludf.DUMMYFUNCTION("""COMPUTED_VALUE"""),0.44)</f>
        <v>0.44</v>
      </c>
      <c r="G47" s="10">
        <f ca="1">IFERROR(__xludf.DUMMYFUNCTION("""COMPUTED_VALUE"""),0.05)</f>
        <v>0.05</v>
      </c>
      <c r="H47" s="10">
        <f ca="1">IFERROR(__xludf.DUMMYFUNCTION("""COMPUTED_VALUE"""),0.06)</f>
        <v>0.06</v>
      </c>
      <c r="I47" s="5" t="s">
        <v>73</v>
      </c>
    </row>
    <row r="48" spans="1:9">
      <c r="A48" s="3" t="str">
        <f ca="1">IFERROR(__xludf.DUMMYFUNCTION("split(I48, "" "")"),"주간")</f>
        <v>주간</v>
      </c>
      <c r="B48" s="3" t="str">
        <f ca="1">IFERROR(__xludf.DUMMYFUNCTION("""COMPUTED_VALUE"""),"12월")</f>
        <v>12월</v>
      </c>
      <c r="C48" s="3" t="str">
        <f ca="1">IFERROR(__xludf.DUMMYFUNCTION("""COMPUTED_VALUE"""),"3주(18~20)")</f>
        <v>3주(18~20)</v>
      </c>
      <c r="D48" s="9">
        <f ca="1">IFERROR(__xludf.DUMMYFUNCTION("""COMPUTED_VALUE"""),1002)</f>
        <v>1002</v>
      </c>
      <c r="E48" s="10">
        <f ca="1">IFERROR(__xludf.DUMMYFUNCTION("""COMPUTED_VALUE"""),0.45)</f>
        <v>0.45</v>
      </c>
      <c r="F48" s="10">
        <f ca="1">IFERROR(__xludf.DUMMYFUNCTION("""COMPUTED_VALUE"""),0.46)</f>
        <v>0.46</v>
      </c>
      <c r="G48" s="10">
        <f ca="1">IFERROR(__xludf.DUMMYFUNCTION("""COMPUTED_VALUE"""),0.04)</f>
        <v>0.04</v>
      </c>
      <c r="H48" s="10">
        <f ca="1">IFERROR(__xludf.DUMMYFUNCTION("""COMPUTED_VALUE"""),0.04)</f>
        <v>0.04</v>
      </c>
      <c r="I48" s="5" t="s">
        <v>74</v>
      </c>
    </row>
    <row r="49" spans="1:9">
      <c r="A49" s="3" t="str">
        <f ca="1">IFERROR(__xludf.DUMMYFUNCTION("split(I49, "" "")"),"주간")</f>
        <v>주간</v>
      </c>
      <c r="B49" s="3" t="str">
        <f ca="1">IFERROR(__xludf.DUMMYFUNCTION("""COMPUTED_VALUE"""),"12월")</f>
        <v>12월</v>
      </c>
      <c r="C49" s="3" t="str">
        <f ca="1">IFERROR(__xludf.DUMMYFUNCTION("""COMPUTED_VALUE"""),"4주(24~28)")</f>
        <v>4주(24~28)</v>
      </c>
      <c r="I49" s="5" t="s">
        <v>75</v>
      </c>
    </row>
    <row r="50" spans="1:9">
      <c r="A50" s="3" t="str">
        <f ca="1">IFERROR(__xludf.DUMMYFUNCTION("split(I50, "" "")"),"주간")</f>
        <v>주간</v>
      </c>
      <c r="B50" s="3" t="str">
        <f ca="1">IFERROR(__xludf.DUMMYFUNCTION("""COMPUTED_VALUE"""),"01월")</f>
        <v>01월</v>
      </c>
      <c r="C50" s="3" t="str">
        <f ca="1">IFERROR(__xludf.DUMMYFUNCTION("""COMPUTED_VALUE"""),"1주(31~04)")</f>
        <v>1주(31~04)</v>
      </c>
      <c r="I50" s="5" t="s">
        <v>76</v>
      </c>
    </row>
    <row r="51" spans="1:9">
      <c r="A51" s="3" t="str">
        <f ca="1">IFERROR(__xludf.DUMMYFUNCTION("split(I51, "" "")"),"주간")</f>
        <v>주간</v>
      </c>
      <c r="B51" s="3" t="str">
        <f ca="1">IFERROR(__xludf.DUMMYFUNCTION("""COMPUTED_VALUE"""),"01월")</f>
        <v>01월</v>
      </c>
      <c r="C51" s="3" t="str">
        <f ca="1">IFERROR(__xludf.DUMMYFUNCTION("""COMPUTED_VALUE"""),"2주(08~10)")</f>
        <v>2주(08~10)</v>
      </c>
      <c r="D51" s="9">
        <f ca="1">IFERROR(__xludf.DUMMYFUNCTION("""COMPUTED_VALUE"""),1002)</f>
        <v>1002</v>
      </c>
      <c r="E51" s="10">
        <f ca="1">IFERROR(__xludf.DUMMYFUNCTION("""COMPUTED_VALUE"""),0.48)</f>
        <v>0.48</v>
      </c>
      <c r="F51" s="10">
        <f ca="1">IFERROR(__xludf.DUMMYFUNCTION("""COMPUTED_VALUE"""),0.44)</f>
        <v>0.44</v>
      </c>
      <c r="G51" s="10">
        <f ca="1">IFERROR(__xludf.DUMMYFUNCTION("""COMPUTED_VALUE"""),0.05)</f>
        <v>0.05</v>
      </c>
      <c r="H51" s="10">
        <f ca="1">IFERROR(__xludf.DUMMYFUNCTION("""COMPUTED_VALUE"""),0.04)</f>
        <v>0.04</v>
      </c>
      <c r="I51" s="5" t="s">
        <v>77</v>
      </c>
    </row>
    <row r="52" spans="1:9">
      <c r="A52" s="3" t="str">
        <f ca="1">IFERROR(__xludf.DUMMYFUNCTION("split(I52, "" "")"),"주간")</f>
        <v>주간</v>
      </c>
      <c r="B52" s="3" t="str">
        <f ca="1">IFERROR(__xludf.DUMMYFUNCTION("""COMPUTED_VALUE"""),"01월")</f>
        <v>01월</v>
      </c>
      <c r="C52" s="3" t="str">
        <f ca="1">IFERROR(__xludf.DUMMYFUNCTION("""COMPUTED_VALUE"""),"3주(15~17)")</f>
        <v>3주(15~17)</v>
      </c>
      <c r="D52" s="9">
        <f ca="1">IFERROR(__xludf.DUMMYFUNCTION("""COMPUTED_VALUE"""),1002)</f>
        <v>1002</v>
      </c>
      <c r="E52" s="10">
        <f ca="1">IFERROR(__xludf.DUMMYFUNCTION("""COMPUTED_VALUE"""),0.47)</f>
        <v>0.47</v>
      </c>
      <c r="F52" s="10">
        <f ca="1">IFERROR(__xludf.DUMMYFUNCTION("""COMPUTED_VALUE"""),0.44)</f>
        <v>0.44</v>
      </c>
      <c r="G52" s="10">
        <f ca="1">IFERROR(__xludf.DUMMYFUNCTION("""COMPUTED_VALUE"""),0.06)</f>
        <v>0.06</v>
      </c>
      <c r="H52" s="10">
        <f ca="1">IFERROR(__xludf.DUMMYFUNCTION("""COMPUTED_VALUE"""),0.04)</f>
        <v>0.04</v>
      </c>
      <c r="I52" s="5" t="s">
        <v>78</v>
      </c>
    </row>
    <row r="53" spans="1:9">
      <c r="A53" s="3" t="str">
        <f ca="1">IFERROR(__xludf.DUMMYFUNCTION("split(I53, "" "")"),"주간")</f>
        <v>주간</v>
      </c>
      <c r="B53" s="3" t="str">
        <f ca="1">IFERROR(__xludf.DUMMYFUNCTION("""COMPUTED_VALUE"""),"01월")</f>
        <v>01월</v>
      </c>
      <c r="C53" s="3" t="str">
        <f ca="1">IFERROR(__xludf.DUMMYFUNCTION("""COMPUTED_VALUE"""),"4주(22~24)")</f>
        <v>4주(22~24)</v>
      </c>
      <c r="D53" s="9">
        <f ca="1">IFERROR(__xludf.DUMMYFUNCTION("""COMPUTED_VALUE"""),1002)</f>
        <v>1002</v>
      </c>
      <c r="E53" s="10">
        <f ca="1">IFERROR(__xludf.DUMMYFUNCTION("""COMPUTED_VALUE"""),0.46)</f>
        <v>0.46</v>
      </c>
      <c r="F53" s="10">
        <f ca="1">IFERROR(__xludf.DUMMYFUNCTION("""COMPUTED_VALUE"""),0.45)</f>
        <v>0.45</v>
      </c>
      <c r="G53" s="10">
        <f ca="1">IFERROR(__xludf.DUMMYFUNCTION("""COMPUTED_VALUE"""),0.04)</f>
        <v>0.04</v>
      </c>
      <c r="H53" s="10">
        <f ca="1">IFERROR(__xludf.DUMMYFUNCTION("""COMPUTED_VALUE"""),0.05)</f>
        <v>0.05</v>
      </c>
      <c r="I53" s="5" t="s">
        <v>79</v>
      </c>
    </row>
    <row r="54" spans="1:9">
      <c r="A54" s="3" t="str">
        <f ca="1">IFERROR(__xludf.DUMMYFUNCTION("split(I54, "" "")"),"주간")</f>
        <v>주간</v>
      </c>
      <c r="B54" s="3" t="str">
        <f ca="1">IFERROR(__xludf.DUMMYFUNCTION("""COMPUTED_VALUE"""),"01월")</f>
        <v>01월</v>
      </c>
      <c r="C54" s="3" t="str">
        <f ca="1">IFERROR(__xludf.DUMMYFUNCTION("""COMPUTED_VALUE"""),"5주(29~31)")</f>
        <v>5주(29~31)</v>
      </c>
      <c r="D54" s="9">
        <f ca="1">IFERROR(__xludf.DUMMYFUNCTION("""COMPUTED_VALUE"""),1004)</f>
        <v>1004</v>
      </c>
      <c r="E54" s="10">
        <f ca="1">IFERROR(__xludf.DUMMYFUNCTION("""COMPUTED_VALUE"""),0.47)</f>
        <v>0.47</v>
      </c>
      <c r="F54" s="10">
        <f ca="1">IFERROR(__xludf.DUMMYFUNCTION("""COMPUTED_VALUE"""),0.44)</f>
        <v>0.44</v>
      </c>
      <c r="G54" s="10">
        <f ca="1">IFERROR(__xludf.DUMMYFUNCTION("""COMPUTED_VALUE"""),0.04)</f>
        <v>0.04</v>
      </c>
      <c r="H54" s="10">
        <f ca="1">IFERROR(__xludf.DUMMYFUNCTION("""COMPUTED_VALUE"""),0.04)</f>
        <v>0.04</v>
      </c>
      <c r="I54" s="5" t="s">
        <v>80</v>
      </c>
    </row>
    <row r="55" spans="1:9">
      <c r="A55" s="3" t="str">
        <f ca="1">IFERROR(__xludf.DUMMYFUNCTION("split(I55, "" "")"),"주간")</f>
        <v>주간</v>
      </c>
      <c r="B55" s="3" t="str">
        <f ca="1">IFERROR(__xludf.DUMMYFUNCTION("""COMPUTED_VALUE"""),"02월")</f>
        <v>02월</v>
      </c>
      <c r="C55" s="3" t="str">
        <f ca="1">IFERROR(__xludf.DUMMYFUNCTION("""COMPUTED_VALUE"""),"1주(04~08)")</f>
        <v>1주(04~08)</v>
      </c>
      <c r="I55" s="5" t="s">
        <v>81</v>
      </c>
    </row>
    <row r="56" spans="1:9">
      <c r="A56" s="3" t="str">
        <f ca="1">IFERROR(__xludf.DUMMYFUNCTION("split(I56, "" "")"),"주간")</f>
        <v>주간</v>
      </c>
      <c r="B56" s="3" t="str">
        <f ca="1">IFERROR(__xludf.DUMMYFUNCTION("""COMPUTED_VALUE"""),"02월")</f>
        <v>02월</v>
      </c>
      <c r="C56" s="3" t="str">
        <f ca="1">IFERROR(__xludf.DUMMYFUNCTION("""COMPUTED_VALUE"""),"2주(12~14)")</f>
        <v>2주(12~14)</v>
      </c>
      <c r="D56" s="9">
        <f ca="1">IFERROR(__xludf.DUMMYFUNCTION("""COMPUTED_VALUE"""),1002)</f>
        <v>1002</v>
      </c>
      <c r="E56" s="10">
        <f ca="1">IFERROR(__xludf.DUMMYFUNCTION("""COMPUTED_VALUE"""),0.47)</f>
        <v>0.47</v>
      </c>
      <c r="F56" s="10">
        <f ca="1">IFERROR(__xludf.DUMMYFUNCTION("""COMPUTED_VALUE"""),0.44)</f>
        <v>0.44</v>
      </c>
      <c r="G56" s="10">
        <f ca="1">IFERROR(__xludf.DUMMYFUNCTION("""COMPUTED_VALUE"""),0.04)</f>
        <v>0.04</v>
      </c>
      <c r="H56" s="10">
        <f ca="1">IFERROR(__xludf.DUMMYFUNCTION("""COMPUTED_VALUE"""),0.06)</f>
        <v>0.06</v>
      </c>
      <c r="I56" s="5" t="s">
        <v>82</v>
      </c>
    </row>
    <row r="57" spans="1:9">
      <c r="A57" s="3" t="str">
        <f ca="1">IFERROR(__xludf.DUMMYFUNCTION("split(I57, "" "")"),"주간")</f>
        <v>주간</v>
      </c>
      <c r="B57" s="3" t="str">
        <f ca="1">IFERROR(__xludf.DUMMYFUNCTION("""COMPUTED_VALUE"""),"02월")</f>
        <v>02월</v>
      </c>
      <c r="C57" s="3" t="str">
        <f ca="1">IFERROR(__xludf.DUMMYFUNCTION("""COMPUTED_VALUE"""),"3주(19~21)")</f>
        <v>3주(19~21)</v>
      </c>
      <c r="D57" s="9">
        <f ca="1">IFERROR(__xludf.DUMMYFUNCTION("""COMPUTED_VALUE"""),1001)</f>
        <v>1001</v>
      </c>
      <c r="E57" s="10">
        <f ca="1">IFERROR(__xludf.DUMMYFUNCTION("""COMPUTED_VALUE"""),0.45)</f>
        <v>0.45</v>
      </c>
      <c r="F57" s="10">
        <f ca="1">IFERROR(__xludf.DUMMYFUNCTION("""COMPUTED_VALUE"""),0.45)</f>
        <v>0.45</v>
      </c>
      <c r="G57" s="10">
        <f ca="1">IFERROR(__xludf.DUMMYFUNCTION("""COMPUTED_VALUE"""),0.04)</f>
        <v>0.04</v>
      </c>
      <c r="H57" s="10">
        <f ca="1">IFERROR(__xludf.DUMMYFUNCTION("""COMPUTED_VALUE"""),0.06)</f>
        <v>0.06</v>
      </c>
      <c r="I57" s="5" t="s">
        <v>83</v>
      </c>
    </row>
    <row r="58" spans="1:9">
      <c r="A58" s="3" t="str">
        <f ca="1">IFERROR(__xludf.DUMMYFUNCTION("split(I58, "" "")"),"주간")</f>
        <v>주간</v>
      </c>
      <c r="B58" s="3" t="str">
        <f ca="1">IFERROR(__xludf.DUMMYFUNCTION("""COMPUTED_VALUE"""),"02월")</f>
        <v>02월</v>
      </c>
      <c r="C58" s="3" t="str">
        <f ca="1">IFERROR(__xludf.DUMMYFUNCTION("""COMPUTED_VALUE"""),"4주(26~28)")</f>
        <v>4주(26~28)</v>
      </c>
      <c r="D58" s="9">
        <f ca="1">IFERROR(__xludf.DUMMYFUNCTION("""COMPUTED_VALUE"""),1002)</f>
        <v>1002</v>
      </c>
      <c r="E58" s="10">
        <f ca="1">IFERROR(__xludf.DUMMYFUNCTION("""COMPUTED_VALUE"""),0.49)</f>
        <v>0.49</v>
      </c>
      <c r="F58" s="10">
        <f ca="1">IFERROR(__xludf.DUMMYFUNCTION("""COMPUTED_VALUE"""),0.42)</f>
        <v>0.42</v>
      </c>
      <c r="G58" s="10">
        <f ca="1">IFERROR(__xludf.DUMMYFUNCTION("""COMPUTED_VALUE"""),0.04)</f>
        <v>0.04</v>
      </c>
      <c r="H58" s="10">
        <f ca="1">IFERROR(__xludf.DUMMYFUNCTION("""COMPUTED_VALUE"""),0.05)</f>
        <v>0.05</v>
      </c>
      <c r="I58" s="5" t="s">
        <v>84</v>
      </c>
    </row>
    <row r="59" spans="1:9">
      <c r="A59" s="3" t="str">
        <f ca="1">IFERROR(__xludf.DUMMYFUNCTION("split(I59, "" "")"),"주간")</f>
        <v>주간</v>
      </c>
      <c r="B59" s="3" t="str">
        <f ca="1">IFERROR(__xludf.DUMMYFUNCTION("""COMPUTED_VALUE"""),"03월")</f>
        <v>03월</v>
      </c>
      <c r="C59" s="3" t="str">
        <f ca="1">IFERROR(__xludf.DUMMYFUNCTION("""COMPUTED_VALUE"""),"1주(05~07)")</f>
        <v>1주(05~07)</v>
      </c>
      <c r="D59" s="9">
        <f ca="1">IFERROR(__xludf.DUMMYFUNCTION("""COMPUTED_VALUE"""),1003)</f>
        <v>1003</v>
      </c>
      <c r="E59" s="10">
        <f ca="1">IFERROR(__xludf.DUMMYFUNCTION("""COMPUTED_VALUE"""),0.46)</f>
        <v>0.46</v>
      </c>
      <c r="F59" s="10">
        <f ca="1">IFERROR(__xludf.DUMMYFUNCTION("""COMPUTED_VALUE"""),0.45)</f>
        <v>0.45</v>
      </c>
      <c r="G59" s="10">
        <f ca="1">IFERROR(__xludf.DUMMYFUNCTION("""COMPUTED_VALUE"""),0.05)</f>
        <v>0.05</v>
      </c>
      <c r="H59" s="10">
        <f ca="1">IFERROR(__xludf.DUMMYFUNCTION("""COMPUTED_VALUE"""),0.05)</f>
        <v>0.05</v>
      </c>
      <c r="I59" s="5" t="s">
        <v>85</v>
      </c>
    </row>
    <row r="60" spans="1:9">
      <c r="A60" s="3" t="str">
        <f ca="1">IFERROR(__xludf.DUMMYFUNCTION("split(I60, "" "")"),"주간")</f>
        <v>주간</v>
      </c>
      <c r="B60" s="3" t="str">
        <f ca="1">IFERROR(__xludf.DUMMYFUNCTION("""COMPUTED_VALUE"""),"03월")</f>
        <v>03월</v>
      </c>
      <c r="C60" s="3" t="str">
        <f ca="1">IFERROR(__xludf.DUMMYFUNCTION("""COMPUTED_VALUE"""),"2주(12~14)")</f>
        <v>2주(12~14)</v>
      </c>
      <c r="D60" s="9">
        <f ca="1">IFERROR(__xludf.DUMMYFUNCTION("""COMPUTED_VALUE"""),1004)</f>
        <v>1004</v>
      </c>
      <c r="E60" s="10">
        <f ca="1">IFERROR(__xludf.DUMMYFUNCTION("""COMPUTED_VALUE"""),0.44)</f>
        <v>0.44</v>
      </c>
      <c r="F60" s="10">
        <f ca="1">IFERROR(__xludf.DUMMYFUNCTION("""COMPUTED_VALUE"""),0.46)</f>
        <v>0.46</v>
      </c>
      <c r="G60" s="10">
        <f ca="1">IFERROR(__xludf.DUMMYFUNCTION("""COMPUTED_VALUE"""),0.05)</f>
        <v>0.05</v>
      </c>
      <c r="H60" s="10">
        <f ca="1">IFERROR(__xludf.DUMMYFUNCTION("""COMPUTED_VALUE"""),0.05)</f>
        <v>0.05</v>
      </c>
      <c r="I60" s="5" t="s">
        <v>86</v>
      </c>
    </row>
    <row r="61" spans="1:9">
      <c r="A61" s="3" t="str">
        <f ca="1">IFERROR(__xludf.DUMMYFUNCTION("split(I61, "" "")"),"주간")</f>
        <v>주간</v>
      </c>
      <c r="B61" s="3" t="str">
        <f ca="1">IFERROR(__xludf.DUMMYFUNCTION("""COMPUTED_VALUE"""),"03월")</f>
        <v>03월</v>
      </c>
      <c r="C61" s="3" t="str">
        <f ca="1">IFERROR(__xludf.DUMMYFUNCTION("""COMPUTED_VALUE"""),"3주(19~21)")</f>
        <v>3주(19~21)</v>
      </c>
      <c r="D61" s="9">
        <f ca="1">IFERROR(__xludf.DUMMYFUNCTION("""COMPUTED_VALUE"""),1002)</f>
        <v>1002</v>
      </c>
      <c r="E61" s="10">
        <f ca="1">IFERROR(__xludf.DUMMYFUNCTION("""COMPUTED_VALUE"""),0.45)</f>
        <v>0.45</v>
      </c>
      <c r="F61" s="10">
        <f ca="1">IFERROR(__xludf.DUMMYFUNCTION("""COMPUTED_VALUE"""),0.44)</f>
        <v>0.44</v>
      </c>
      <c r="G61" s="10">
        <f ca="1">IFERROR(__xludf.DUMMYFUNCTION("""COMPUTED_VALUE"""),0.05)</f>
        <v>0.05</v>
      </c>
      <c r="H61" s="10">
        <f ca="1">IFERROR(__xludf.DUMMYFUNCTION("""COMPUTED_VALUE"""),0.06)</f>
        <v>0.06</v>
      </c>
      <c r="I61" s="5" t="s">
        <v>87</v>
      </c>
    </row>
    <row r="62" spans="1:9">
      <c r="A62" s="3" t="str">
        <f ca="1">IFERROR(__xludf.DUMMYFUNCTION("split(I62, "" "")"),"주간")</f>
        <v>주간</v>
      </c>
      <c r="B62" s="3" t="str">
        <f ca="1">IFERROR(__xludf.DUMMYFUNCTION("""COMPUTED_VALUE"""),"03월")</f>
        <v>03월</v>
      </c>
      <c r="C62" s="3" t="str">
        <f ca="1">IFERROR(__xludf.DUMMYFUNCTION("""COMPUTED_VALUE"""),"4주(26~28)")</f>
        <v>4주(26~28)</v>
      </c>
      <c r="D62" s="9">
        <f ca="1">IFERROR(__xludf.DUMMYFUNCTION("""COMPUTED_VALUE"""),1003)</f>
        <v>1003</v>
      </c>
      <c r="E62" s="10">
        <f ca="1">IFERROR(__xludf.DUMMYFUNCTION("""COMPUTED_VALUE"""),0.43)</f>
        <v>0.43</v>
      </c>
      <c r="F62" s="10">
        <f ca="1">IFERROR(__xludf.DUMMYFUNCTION("""COMPUTED_VALUE"""),0.46)</f>
        <v>0.46</v>
      </c>
      <c r="G62" s="10">
        <f ca="1">IFERROR(__xludf.DUMMYFUNCTION("""COMPUTED_VALUE"""),0.05)</f>
        <v>0.05</v>
      </c>
      <c r="H62" s="10">
        <f ca="1">IFERROR(__xludf.DUMMYFUNCTION("""COMPUTED_VALUE"""),0.06)</f>
        <v>0.06</v>
      </c>
      <c r="I62" s="5" t="s">
        <v>88</v>
      </c>
    </row>
    <row r="63" spans="1:9">
      <c r="A63" s="3" t="str">
        <f ca="1">IFERROR(__xludf.DUMMYFUNCTION("split(I63, "" "")"),"주간")</f>
        <v>주간</v>
      </c>
      <c r="B63" s="3" t="str">
        <f ca="1">IFERROR(__xludf.DUMMYFUNCTION("""COMPUTED_VALUE"""),"04월")</f>
        <v>04월</v>
      </c>
      <c r="C63" s="3" t="str">
        <f ca="1">IFERROR(__xludf.DUMMYFUNCTION("""COMPUTED_VALUE"""),"1주(02~04)")</f>
        <v>1주(02~04)</v>
      </c>
      <c r="D63" s="9">
        <f ca="1">IFERROR(__xludf.DUMMYFUNCTION("""COMPUTED_VALUE"""),1003)</f>
        <v>1003</v>
      </c>
      <c r="E63" s="10">
        <f ca="1">IFERROR(__xludf.DUMMYFUNCTION("""COMPUTED_VALUE"""),0.41)</f>
        <v>0.41</v>
      </c>
      <c r="F63" s="10">
        <f ca="1">IFERROR(__xludf.DUMMYFUNCTION("""COMPUTED_VALUE"""),0.49)</f>
        <v>0.49</v>
      </c>
      <c r="G63" s="10">
        <f ca="1">IFERROR(__xludf.DUMMYFUNCTION("""COMPUTED_VALUE"""),0.04)</f>
        <v>0.04</v>
      </c>
      <c r="H63" s="10">
        <f ca="1">IFERROR(__xludf.DUMMYFUNCTION("""COMPUTED_VALUE"""),0.05)</f>
        <v>0.05</v>
      </c>
      <c r="I63" s="5" t="s">
        <v>89</v>
      </c>
    </row>
    <row r="64" spans="1:9">
      <c r="A64" s="3" t="str">
        <f ca="1">IFERROR(__xludf.DUMMYFUNCTION("split(I64, "" "")"),"주간")</f>
        <v>주간</v>
      </c>
      <c r="B64" s="3" t="str">
        <f ca="1">IFERROR(__xludf.DUMMYFUNCTION("""COMPUTED_VALUE"""),"04월")</f>
        <v>04월</v>
      </c>
      <c r="C64" s="3" t="str">
        <f ca="1">IFERROR(__xludf.DUMMYFUNCTION("""COMPUTED_VALUE"""),"2주(09~11)")</f>
        <v>2주(09~11)</v>
      </c>
      <c r="D64" s="9">
        <f ca="1">IFERROR(__xludf.DUMMYFUNCTION("""COMPUTED_VALUE"""),1002)</f>
        <v>1002</v>
      </c>
      <c r="E64" s="10">
        <f ca="1">IFERROR(__xludf.DUMMYFUNCTION("""COMPUTED_VALUE"""),0.47)</f>
        <v>0.47</v>
      </c>
      <c r="F64" s="10">
        <f ca="1">IFERROR(__xludf.DUMMYFUNCTION("""COMPUTED_VALUE"""),0.45)</f>
        <v>0.45</v>
      </c>
      <c r="G64" s="10">
        <f ca="1">IFERROR(__xludf.DUMMYFUNCTION("""COMPUTED_VALUE"""),0.03)</f>
        <v>0.03</v>
      </c>
      <c r="H64" s="10">
        <f ca="1">IFERROR(__xludf.DUMMYFUNCTION("""COMPUTED_VALUE"""),0.05)</f>
        <v>0.05</v>
      </c>
      <c r="I64" s="5" t="s">
        <v>90</v>
      </c>
    </row>
    <row r="65" spans="1:9">
      <c r="A65" s="3" t="str">
        <f ca="1">IFERROR(__xludf.DUMMYFUNCTION("split(I65, "" "")"),"주간")</f>
        <v>주간</v>
      </c>
      <c r="B65" s="3" t="str">
        <f ca="1">IFERROR(__xludf.DUMMYFUNCTION("""COMPUTED_VALUE"""),"04월")</f>
        <v>04월</v>
      </c>
      <c r="C65" s="3" t="str">
        <f ca="1">IFERROR(__xludf.DUMMYFUNCTION("""COMPUTED_VALUE"""),"3주(16~18)")</f>
        <v>3주(16~18)</v>
      </c>
      <c r="D65" s="9">
        <f ca="1">IFERROR(__xludf.DUMMYFUNCTION("""COMPUTED_VALUE"""),1001)</f>
        <v>1001</v>
      </c>
      <c r="E65" s="10">
        <f ca="1">IFERROR(__xludf.DUMMYFUNCTION("""COMPUTED_VALUE"""),0.48)</f>
        <v>0.48</v>
      </c>
      <c r="F65" s="10">
        <f ca="1">IFERROR(__xludf.DUMMYFUNCTION("""COMPUTED_VALUE"""),0.42)</f>
        <v>0.42</v>
      </c>
      <c r="G65" s="10">
        <f ca="1">IFERROR(__xludf.DUMMYFUNCTION("""COMPUTED_VALUE"""),0.04)</f>
        <v>0.04</v>
      </c>
      <c r="H65" s="10">
        <f ca="1">IFERROR(__xludf.DUMMYFUNCTION("""COMPUTED_VALUE"""),0.06)</f>
        <v>0.06</v>
      </c>
      <c r="I65" s="5" t="s">
        <v>91</v>
      </c>
    </row>
    <row r="66" spans="1:9">
      <c r="A66" s="3" t="str">
        <f ca="1">IFERROR(__xludf.DUMMYFUNCTION("split(I66, "" "")"),"주간")</f>
        <v>주간</v>
      </c>
      <c r="B66" s="3" t="str">
        <f ca="1">IFERROR(__xludf.DUMMYFUNCTION("""COMPUTED_VALUE"""),"04월")</f>
        <v>04월</v>
      </c>
      <c r="C66" s="3" t="str">
        <f ca="1">IFERROR(__xludf.DUMMYFUNCTION("""COMPUTED_VALUE"""),"4주(23~25)")</f>
        <v>4주(23~25)</v>
      </c>
      <c r="D66" s="9">
        <f ca="1">IFERROR(__xludf.DUMMYFUNCTION("""COMPUTED_VALUE"""),1003)</f>
        <v>1003</v>
      </c>
      <c r="E66" s="10">
        <f ca="1">IFERROR(__xludf.DUMMYFUNCTION("""COMPUTED_VALUE"""),0.44)</f>
        <v>0.44</v>
      </c>
      <c r="F66" s="10">
        <f ca="1">IFERROR(__xludf.DUMMYFUNCTION("""COMPUTED_VALUE"""),0.47)</f>
        <v>0.47</v>
      </c>
      <c r="G66" s="10">
        <f ca="1">IFERROR(__xludf.DUMMYFUNCTION("""COMPUTED_VALUE"""),0.03)</f>
        <v>0.03</v>
      </c>
      <c r="H66" s="10">
        <f ca="1">IFERROR(__xludf.DUMMYFUNCTION("""COMPUTED_VALUE"""),0.06)</f>
        <v>0.06</v>
      </c>
      <c r="I66" s="5" t="s">
        <v>92</v>
      </c>
    </row>
    <row r="67" spans="1:9">
      <c r="A67" s="3" t="str">
        <f ca="1">IFERROR(__xludf.DUMMYFUNCTION("split(I67, "" "")"),"주간")</f>
        <v>주간</v>
      </c>
      <c r="B67" s="3" t="str">
        <f ca="1">IFERROR(__xludf.DUMMYFUNCTION("""COMPUTED_VALUE"""),"5월")</f>
        <v>5월</v>
      </c>
      <c r="C67" s="3" t="str">
        <f ca="1">IFERROR(__xludf.DUMMYFUNCTION("""COMPUTED_VALUE"""),"1주(4/30,5/2)")</f>
        <v>1주(4/30,5/2)</v>
      </c>
      <c r="D67" s="9">
        <f ca="1">IFERROR(__xludf.DUMMYFUNCTION("""COMPUTED_VALUE"""),1004)</f>
        <v>1004</v>
      </c>
      <c r="E67" s="10">
        <f ca="1">IFERROR(__xludf.DUMMYFUNCTION("""COMPUTED_VALUE"""),0.45)</f>
        <v>0.45</v>
      </c>
      <c r="F67" s="10">
        <f ca="1">IFERROR(__xludf.DUMMYFUNCTION("""COMPUTED_VALUE"""),0.46)</f>
        <v>0.46</v>
      </c>
      <c r="G67" s="10">
        <f ca="1">IFERROR(__xludf.DUMMYFUNCTION("""COMPUTED_VALUE"""),0.05)</f>
        <v>0.05</v>
      </c>
      <c r="H67" s="10">
        <f ca="1">IFERROR(__xludf.DUMMYFUNCTION("""COMPUTED_VALUE"""),0.04)</f>
        <v>0.04</v>
      </c>
      <c r="I67" s="5" t="s">
        <v>93</v>
      </c>
    </row>
    <row r="68" spans="1:9">
      <c r="A68" s="3" t="str">
        <f ca="1">IFERROR(__xludf.DUMMYFUNCTION("split(I68, "" "")"),"주간")</f>
        <v>주간</v>
      </c>
      <c r="B68" s="3" t="str">
        <f ca="1">IFERROR(__xludf.DUMMYFUNCTION("""COMPUTED_VALUE"""),"05월")</f>
        <v>05월</v>
      </c>
      <c r="C68" s="3" t="str">
        <f ca="1">IFERROR(__xludf.DUMMYFUNCTION("""COMPUTED_VALUE"""),"2주(07~09)")</f>
        <v>2주(07~09)</v>
      </c>
      <c r="D68" s="9">
        <f ca="1">IFERROR(__xludf.DUMMYFUNCTION("""COMPUTED_VALUE"""),1002)</f>
        <v>1002</v>
      </c>
      <c r="E68" s="10">
        <f ca="1">IFERROR(__xludf.DUMMYFUNCTION("""COMPUTED_VALUE"""),0.47)</f>
        <v>0.47</v>
      </c>
      <c r="F68" s="10">
        <f ca="1">IFERROR(__xludf.DUMMYFUNCTION("""COMPUTED_VALUE"""),0.45)</f>
        <v>0.45</v>
      </c>
      <c r="G68" s="10">
        <f ca="1">IFERROR(__xludf.DUMMYFUNCTION("""COMPUTED_VALUE"""),0.03)</f>
        <v>0.03</v>
      </c>
      <c r="H68" s="10">
        <f ca="1">IFERROR(__xludf.DUMMYFUNCTION("""COMPUTED_VALUE"""),0.05)</f>
        <v>0.05</v>
      </c>
      <c r="I68" s="5" t="s">
        <v>94</v>
      </c>
    </row>
    <row r="69" spans="1:9">
      <c r="A69" s="3" t="str">
        <f ca="1">IFERROR(__xludf.DUMMYFUNCTION("split(I69, "" "")"),"주간")</f>
        <v>주간</v>
      </c>
      <c r="B69" s="3" t="str">
        <f ca="1">IFERROR(__xludf.DUMMYFUNCTION("""COMPUTED_VALUE"""),"05월")</f>
        <v>05월</v>
      </c>
      <c r="C69" s="3" t="str">
        <f ca="1">IFERROR(__xludf.DUMMYFUNCTION("""COMPUTED_VALUE"""),"3주(14~16)")</f>
        <v>3주(14~16)</v>
      </c>
      <c r="D69" s="9">
        <f ca="1">IFERROR(__xludf.DUMMYFUNCTION("""COMPUTED_VALUE"""),1004)</f>
        <v>1004</v>
      </c>
      <c r="E69" s="10">
        <f ca="1">IFERROR(__xludf.DUMMYFUNCTION("""COMPUTED_VALUE"""),0.44)</f>
        <v>0.44</v>
      </c>
      <c r="F69" s="10">
        <f ca="1">IFERROR(__xludf.DUMMYFUNCTION("""COMPUTED_VALUE"""),0.47)</f>
        <v>0.47</v>
      </c>
      <c r="G69" s="10">
        <f ca="1">IFERROR(__xludf.DUMMYFUNCTION("""COMPUTED_VALUE"""),0.04)</f>
        <v>0.04</v>
      </c>
      <c r="H69" s="10">
        <f ca="1">IFERROR(__xludf.DUMMYFUNCTION("""COMPUTED_VALUE"""),0.05)</f>
        <v>0.05</v>
      </c>
      <c r="I69" s="5" t="s">
        <v>95</v>
      </c>
    </row>
    <row r="70" spans="1:9">
      <c r="A70" s="3" t="str">
        <f ca="1">IFERROR(__xludf.DUMMYFUNCTION("split(I70, "" "")"),"주간")</f>
        <v>주간</v>
      </c>
      <c r="B70" s="3" t="str">
        <f ca="1">IFERROR(__xludf.DUMMYFUNCTION("""COMPUTED_VALUE"""),"05월")</f>
        <v>05월</v>
      </c>
      <c r="C70" s="3" t="str">
        <f ca="1">IFERROR(__xludf.DUMMYFUNCTION("""COMPUTED_VALUE"""),"4주(21~23)")</f>
        <v>4주(21~23)</v>
      </c>
      <c r="D70" s="9">
        <f ca="1">IFERROR(__xludf.DUMMYFUNCTION("""COMPUTED_VALUE"""),1001)</f>
        <v>1001</v>
      </c>
      <c r="E70" s="10">
        <f ca="1">IFERROR(__xludf.DUMMYFUNCTION("""COMPUTED_VALUE"""),0.46)</f>
        <v>0.46</v>
      </c>
      <c r="F70" s="10">
        <f ca="1">IFERROR(__xludf.DUMMYFUNCTION("""COMPUTED_VALUE"""),0.44)</f>
        <v>0.44</v>
      </c>
      <c r="G70" s="10">
        <f ca="1">IFERROR(__xludf.DUMMYFUNCTION("""COMPUTED_VALUE"""),0.06)</f>
        <v>0.06</v>
      </c>
      <c r="H70" s="10">
        <f ca="1">IFERROR(__xludf.DUMMYFUNCTION("""COMPUTED_VALUE"""),0.04)</f>
        <v>0.04</v>
      </c>
      <c r="I70" s="5" t="s">
        <v>96</v>
      </c>
    </row>
    <row r="71" spans="1:9">
      <c r="A71" s="3" t="str">
        <f ca="1">IFERROR(__xludf.DUMMYFUNCTION("split(I71, "" "")"),"주간")</f>
        <v>주간</v>
      </c>
      <c r="B71" s="3" t="str">
        <f ca="1">IFERROR(__xludf.DUMMYFUNCTION("""COMPUTED_VALUE"""),"05월")</f>
        <v>05월</v>
      </c>
      <c r="C71" s="3" t="str">
        <f ca="1">IFERROR(__xludf.DUMMYFUNCTION("""COMPUTED_VALUE"""),"5주(28~30)")</f>
        <v>5주(28~30)</v>
      </c>
      <c r="D71" s="9">
        <f ca="1">IFERROR(__xludf.DUMMYFUNCTION("""COMPUTED_VALUE"""),1002)</f>
        <v>1002</v>
      </c>
      <c r="E71" s="10">
        <f ca="1">IFERROR(__xludf.DUMMYFUNCTION("""COMPUTED_VALUE"""),0.45)</f>
        <v>0.45</v>
      </c>
      <c r="F71" s="10">
        <f ca="1">IFERROR(__xludf.DUMMYFUNCTION("""COMPUTED_VALUE"""),0.45)</f>
        <v>0.45</v>
      </c>
      <c r="G71" s="10">
        <f ca="1">IFERROR(__xludf.DUMMYFUNCTION("""COMPUTED_VALUE"""),0.04)</f>
        <v>0.04</v>
      </c>
      <c r="H71" s="10">
        <f ca="1">IFERROR(__xludf.DUMMYFUNCTION("""COMPUTED_VALUE"""),0.06)</f>
        <v>0.06</v>
      </c>
      <c r="I71" s="5" t="s">
        <v>97</v>
      </c>
    </row>
    <row r="72" spans="1:9">
      <c r="A72" s="3" t="str">
        <f ca="1">IFERROR(__xludf.DUMMYFUNCTION("split(I72, "" "")"),"주간")</f>
        <v>주간</v>
      </c>
      <c r="B72" s="3" t="str">
        <f ca="1">IFERROR(__xludf.DUMMYFUNCTION("""COMPUTED_VALUE"""),"06월")</f>
        <v>06월</v>
      </c>
      <c r="C72" s="3" t="str">
        <f ca="1">IFERROR(__xludf.DUMMYFUNCTION("""COMPUTED_VALUE"""),"1주(04~05)")</f>
        <v>1주(04~05)</v>
      </c>
      <c r="D72" s="9">
        <f ca="1">IFERROR(__xludf.DUMMYFUNCTION("""COMPUTED_VALUE"""),1006)</f>
        <v>1006</v>
      </c>
      <c r="E72" s="10">
        <f ca="1">IFERROR(__xludf.DUMMYFUNCTION("""COMPUTED_VALUE"""),0.46)</f>
        <v>0.46</v>
      </c>
      <c r="F72" s="10">
        <f ca="1">IFERROR(__xludf.DUMMYFUNCTION("""COMPUTED_VALUE"""),0.46)</f>
        <v>0.46</v>
      </c>
      <c r="G72" s="10">
        <f ca="1">IFERROR(__xludf.DUMMYFUNCTION("""COMPUTED_VALUE"""),0.04)</f>
        <v>0.04</v>
      </c>
      <c r="H72" s="10">
        <f ca="1">IFERROR(__xludf.DUMMYFUNCTION("""COMPUTED_VALUE"""),0.05)</f>
        <v>0.05</v>
      </c>
      <c r="I72" s="5" t="s">
        <v>98</v>
      </c>
    </row>
    <row r="73" spans="1:9">
      <c r="A73" s="3" t="str">
        <f ca="1">IFERROR(__xludf.DUMMYFUNCTION("split(I73, "" "")"),"주간")</f>
        <v>주간</v>
      </c>
      <c r="B73" s="3" t="str">
        <f ca="1">IFERROR(__xludf.DUMMYFUNCTION("""COMPUTED_VALUE"""),"06월")</f>
        <v>06월</v>
      </c>
      <c r="C73" s="3" t="str">
        <f ca="1">IFERROR(__xludf.DUMMYFUNCTION("""COMPUTED_VALUE"""),"2주(11~13)")</f>
        <v>2주(11~13)</v>
      </c>
      <c r="D73" s="9">
        <f ca="1">IFERROR(__xludf.DUMMYFUNCTION("""COMPUTED_VALUE"""),1002)</f>
        <v>1002</v>
      </c>
      <c r="E73" s="10">
        <f ca="1">IFERROR(__xludf.DUMMYFUNCTION("""COMPUTED_VALUE"""),0.47)</f>
        <v>0.47</v>
      </c>
      <c r="F73" s="10">
        <f ca="1">IFERROR(__xludf.DUMMYFUNCTION("""COMPUTED_VALUE"""),0.44)</f>
        <v>0.44</v>
      </c>
      <c r="G73" s="10">
        <f ca="1">IFERROR(__xludf.DUMMYFUNCTION("""COMPUTED_VALUE"""),0.04)</f>
        <v>0.04</v>
      </c>
      <c r="H73" s="10">
        <f ca="1">IFERROR(__xludf.DUMMYFUNCTION("""COMPUTED_VALUE"""),0.06)</f>
        <v>0.06</v>
      </c>
      <c r="I73" s="5" t="s">
        <v>99</v>
      </c>
    </row>
    <row r="74" spans="1:9">
      <c r="A74" s="3" t="str">
        <f ca="1">IFERROR(__xludf.DUMMYFUNCTION("split(I74, "" "")"),"주간")</f>
        <v>주간</v>
      </c>
      <c r="B74" s="3" t="str">
        <f ca="1">IFERROR(__xludf.DUMMYFUNCTION("""COMPUTED_VALUE"""),"06월")</f>
        <v>06월</v>
      </c>
      <c r="C74" s="3" t="str">
        <f ca="1">IFERROR(__xludf.DUMMYFUNCTION("""COMPUTED_VALUE"""),"3주(18~20)")</f>
        <v>3주(18~20)</v>
      </c>
      <c r="D74" s="9">
        <f ca="1">IFERROR(__xludf.DUMMYFUNCTION("""COMPUTED_VALUE"""),1005)</f>
        <v>1005</v>
      </c>
      <c r="E74" s="10">
        <f ca="1">IFERROR(__xludf.DUMMYFUNCTION("""COMPUTED_VALUE"""),0.45)</f>
        <v>0.45</v>
      </c>
      <c r="F74" s="10">
        <f ca="1">IFERROR(__xludf.DUMMYFUNCTION("""COMPUTED_VALUE"""),0.45)</f>
        <v>0.45</v>
      </c>
      <c r="G74" s="10">
        <f ca="1">IFERROR(__xludf.DUMMYFUNCTION("""COMPUTED_VALUE"""),0.04)</f>
        <v>0.04</v>
      </c>
      <c r="H74" s="10">
        <f ca="1">IFERROR(__xludf.DUMMYFUNCTION("""COMPUTED_VALUE"""),0.07)</f>
        <v>7.0000000000000007E-2</v>
      </c>
      <c r="I74" s="5" t="s">
        <v>100</v>
      </c>
    </row>
    <row r="75" spans="1:9">
      <c r="A75" s="3" t="str">
        <f ca="1">IFERROR(__xludf.DUMMYFUNCTION("split(I75, "" "")"),"주간")</f>
        <v>주간</v>
      </c>
      <c r="B75" s="3" t="str">
        <f ca="1">IFERROR(__xludf.DUMMYFUNCTION("""COMPUTED_VALUE"""),"06월")</f>
        <v>06월</v>
      </c>
      <c r="C75" s="3" t="str">
        <f ca="1">IFERROR(__xludf.DUMMYFUNCTION("""COMPUTED_VALUE"""),"4주(25~27)")</f>
        <v>4주(25~27)</v>
      </c>
      <c r="D75" s="9">
        <f ca="1">IFERROR(__xludf.DUMMYFUNCTION("""COMPUTED_VALUE"""),1003)</f>
        <v>1003</v>
      </c>
      <c r="E75" s="10">
        <f ca="1">IFERROR(__xludf.DUMMYFUNCTION("""COMPUTED_VALUE"""),0.46)</f>
        <v>0.46</v>
      </c>
      <c r="F75" s="10">
        <f ca="1">IFERROR(__xludf.DUMMYFUNCTION("""COMPUTED_VALUE"""),0.45)</f>
        <v>0.45</v>
      </c>
      <c r="G75" s="10">
        <f ca="1">IFERROR(__xludf.DUMMYFUNCTION("""COMPUTED_VALUE"""),0.05)</f>
        <v>0.05</v>
      </c>
      <c r="H75" s="10">
        <f ca="1">IFERROR(__xludf.DUMMYFUNCTION("""COMPUTED_VALUE"""),0.05)</f>
        <v>0.05</v>
      </c>
      <c r="I75" s="5" t="s">
        <v>101</v>
      </c>
    </row>
    <row r="76" spans="1:9">
      <c r="A76" s="3" t="str">
        <f ca="1">IFERROR(__xludf.DUMMYFUNCTION("split(I76, "" "")"),"주간")</f>
        <v>주간</v>
      </c>
      <c r="B76" s="3" t="str">
        <f ca="1">IFERROR(__xludf.DUMMYFUNCTION("""COMPUTED_VALUE"""),"07월")</f>
        <v>07월</v>
      </c>
      <c r="C76" s="3" t="str">
        <f ca="1">IFERROR(__xludf.DUMMYFUNCTION("""COMPUTED_VALUE"""),"1주(02~04)")</f>
        <v>1주(02~04)</v>
      </c>
      <c r="D76" s="9">
        <f ca="1">IFERROR(__xludf.DUMMYFUNCTION("""COMPUTED_VALUE"""),1008)</f>
        <v>1008</v>
      </c>
      <c r="E76" s="10">
        <f ca="1">IFERROR(__xludf.DUMMYFUNCTION("""COMPUTED_VALUE"""),0.49)</f>
        <v>0.49</v>
      </c>
      <c r="F76" s="10">
        <f ca="1">IFERROR(__xludf.DUMMYFUNCTION("""COMPUTED_VALUE"""),0.4)</f>
        <v>0.4</v>
      </c>
      <c r="G76" s="10">
        <f ca="1">IFERROR(__xludf.DUMMYFUNCTION("""COMPUTED_VALUE"""),0.05)</f>
        <v>0.05</v>
      </c>
      <c r="H76" s="10">
        <f ca="1">IFERROR(__xludf.DUMMYFUNCTION("""COMPUTED_VALUE"""),0.05)</f>
        <v>0.05</v>
      </c>
      <c r="I76" s="5" t="s">
        <v>102</v>
      </c>
    </row>
    <row r="77" spans="1:9">
      <c r="A77" s="3" t="str">
        <f ca="1">IFERROR(__xludf.DUMMYFUNCTION("split(I77, "" "")"),"주간")</f>
        <v>주간</v>
      </c>
      <c r="B77" s="3" t="str">
        <f ca="1">IFERROR(__xludf.DUMMYFUNCTION("""COMPUTED_VALUE"""),"07월")</f>
        <v>07월</v>
      </c>
      <c r="C77" s="3" t="str">
        <f ca="1">IFERROR(__xludf.DUMMYFUNCTION("""COMPUTED_VALUE"""),"2주(09~11)")</f>
        <v>2주(09~11)</v>
      </c>
      <c r="D77" s="9">
        <f ca="1">IFERROR(__xludf.DUMMYFUNCTION("""COMPUTED_VALUE"""),1005)</f>
        <v>1005</v>
      </c>
      <c r="E77" s="10">
        <f ca="1">IFERROR(__xludf.DUMMYFUNCTION("""COMPUTED_VALUE"""),0.45)</f>
        <v>0.45</v>
      </c>
      <c r="F77" s="10">
        <f ca="1">IFERROR(__xludf.DUMMYFUNCTION("""COMPUTED_VALUE"""),0.45)</f>
        <v>0.45</v>
      </c>
      <c r="G77" s="10">
        <f ca="1">IFERROR(__xludf.DUMMYFUNCTION("""COMPUTED_VALUE"""),0.04)</f>
        <v>0.04</v>
      </c>
      <c r="H77" s="10">
        <f ca="1">IFERROR(__xludf.DUMMYFUNCTION("""COMPUTED_VALUE"""),0.05)</f>
        <v>0.05</v>
      </c>
      <c r="I77" s="5" t="s">
        <v>103</v>
      </c>
    </row>
    <row r="78" spans="1:9">
      <c r="A78" s="3" t="str">
        <f ca="1">IFERROR(__xludf.DUMMYFUNCTION("split(I78, "" "")"),"주간")</f>
        <v>주간</v>
      </c>
      <c r="B78" s="3" t="str">
        <f ca="1">IFERROR(__xludf.DUMMYFUNCTION("""COMPUTED_VALUE"""),"07월")</f>
        <v>07월</v>
      </c>
      <c r="C78" s="3" t="str">
        <f ca="1">IFERROR(__xludf.DUMMYFUNCTION("""COMPUTED_VALUE"""),"3주(16~18)")</f>
        <v>3주(16~18)</v>
      </c>
      <c r="D78" s="9">
        <f ca="1">IFERROR(__xludf.DUMMYFUNCTION("""COMPUTED_VALUE"""),1002)</f>
        <v>1002</v>
      </c>
      <c r="E78" s="10">
        <f ca="1">IFERROR(__xludf.DUMMYFUNCTION("""COMPUTED_VALUE"""),0.48)</f>
        <v>0.48</v>
      </c>
      <c r="F78" s="10">
        <f ca="1">IFERROR(__xludf.DUMMYFUNCTION("""COMPUTED_VALUE"""),0.44)</f>
        <v>0.44</v>
      </c>
      <c r="G78" s="10">
        <f ca="1">IFERROR(__xludf.DUMMYFUNCTION("""COMPUTED_VALUE"""),0.04)</f>
        <v>0.04</v>
      </c>
      <c r="H78" s="10">
        <f ca="1">IFERROR(__xludf.DUMMYFUNCTION("""COMPUTED_VALUE"""),0.05)</f>
        <v>0.05</v>
      </c>
      <c r="I78" s="5" t="s">
        <v>104</v>
      </c>
    </row>
    <row r="79" spans="1:9">
      <c r="A79" s="3" t="str">
        <f ca="1">IFERROR(__xludf.DUMMYFUNCTION("split(I79, "" "")"),"주간")</f>
        <v>주간</v>
      </c>
      <c r="B79" s="3" t="str">
        <f ca="1">IFERROR(__xludf.DUMMYFUNCTION("""COMPUTED_VALUE"""),"07월")</f>
        <v>07월</v>
      </c>
      <c r="C79" s="3" t="str">
        <f ca="1">IFERROR(__xludf.DUMMYFUNCTION("""COMPUTED_VALUE"""),"4주(23~25)")</f>
        <v>4주(23~25)</v>
      </c>
      <c r="D79" s="9">
        <f ca="1">IFERROR(__xludf.DUMMYFUNCTION("""COMPUTED_VALUE"""),1006)</f>
        <v>1006</v>
      </c>
      <c r="E79" s="10">
        <f ca="1">IFERROR(__xludf.DUMMYFUNCTION("""COMPUTED_VALUE"""),0.48)</f>
        <v>0.48</v>
      </c>
      <c r="F79" s="10">
        <f ca="1">IFERROR(__xludf.DUMMYFUNCTION("""COMPUTED_VALUE"""),0.42)</f>
        <v>0.42</v>
      </c>
      <c r="G79" s="10">
        <f ca="1">IFERROR(__xludf.DUMMYFUNCTION("""COMPUTED_VALUE"""),0.05)</f>
        <v>0.05</v>
      </c>
      <c r="H79" s="10">
        <f ca="1">IFERROR(__xludf.DUMMYFUNCTION("""COMPUTED_VALUE"""),0.05)</f>
        <v>0.05</v>
      </c>
      <c r="I79" s="5" t="s">
        <v>105</v>
      </c>
    </row>
    <row r="80" spans="1:9">
      <c r="A80" s="3" t="str">
        <f ca="1">IFERROR(__xludf.DUMMYFUNCTION("split(I80, "" "")"),"주간")</f>
        <v>주간</v>
      </c>
      <c r="B80" s="3" t="str">
        <f ca="1">IFERROR(__xludf.DUMMYFUNCTION("""COMPUTED_VALUE"""),"8월")</f>
        <v>8월</v>
      </c>
      <c r="C80" s="3" t="str">
        <f ca="1">IFERROR(__xludf.DUMMYFUNCTION("""COMPUTED_VALUE"""),"1주(7/30~8/1)")</f>
        <v>1주(7/30~8/1)</v>
      </c>
      <c r="D80" s="9">
        <f ca="1">IFERROR(__xludf.DUMMYFUNCTION("""COMPUTED_VALUE"""),1002)</f>
        <v>1002</v>
      </c>
      <c r="E80" s="10">
        <f ca="1">IFERROR(__xludf.DUMMYFUNCTION("""COMPUTED_VALUE"""),0.48)</f>
        <v>0.48</v>
      </c>
      <c r="F80" s="10">
        <f ca="1">IFERROR(__xludf.DUMMYFUNCTION("""COMPUTED_VALUE"""),0.41)</f>
        <v>0.41</v>
      </c>
      <c r="G80" s="10">
        <f ca="1">IFERROR(__xludf.DUMMYFUNCTION("""COMPUTED_VALUE"""),0.03)</f>
        <v>0.03</v>
      </c>
      <c r="H80" s="10">
        <f ca="1">IFERROR(__xludf.DUMMYFUNCTION("""COMPUTED_VALUE"""),0.07)</f>
        <v>7.0000000000000007E-2</v>
      </c>
      <c r="I80" s="5" t="s">
        <v>106</v>
      </c>
    </row>
    <row r="81" spans="1:9">
      <c r="A81" s="3" t="str">
        <f ca="1">IFERROR(__xludf.DUMMYFUNCTION("split(I81, "" "")"),"주간")</f>
        <v>주간</v>
      </c>
      <c r="B81" s="3" t="str">
        <f ca="1">IFERROR(__xludf.DUMMYFUNCTION("""COMPUTED_VALUE"""),"08월")</f>
        <v>08월</v>
      </c>
      <c r="C81" s="3" t="str">
        <f ca="1">IFERROR(__xludf.DUMMYFUNCTION("""COMPUTED_VALUE"""),"2주(06~08)")</f>
        <v>2주(06~08)</v>
      </c>
      <c r="D81" s="9">
        <f ca="1">IFERROR(__xludf.DUMMYFUNCTION("""COMPUTED_VALUE"""),1009)</f>
        <v>1009</v>
      </c>
      <c r="E81" s="10">
        <f ca="1">IFERROR(__xludf.DUMMYFUNCTION("""COMPUTED_VALUE"""),0.47)</f>
        <v>0.47</v>
      </c>
      <c r="F81" s="10">
        <f ca="1">IFERROR(__xludf.DUMMYFUNCTION("""COMPUTED_VALUE"""),0.43)</f>
        <v>0.43</v>
      </c>
      <c r="G81" s="10">
        <f ca="1">IFERROR(__xludf.DUMMYFUNCTION("""COMPUTED_VALUE"""),0.03)</f>
        <v>0.03</v>
      </c>
      <c r="H81" s="10">
        <f ca="1">IFERROR(__xludf.DUMMYFUNCTION("""COMPUTED_VALUE"""),0.07)</f>
        <v>7.0000000000000007E-2</v>
      </c>
      <c r="I81" s="5" t="s">
        <v>107</v>
      </c>
    </row>
    <row r="82" spans="1:9">
      <c r="A82" s="3" t="str">
        <f ca="1">IFERROR(__xludf.DUMMYFUNCTION("split(I82, "" "")"),"주간")</f>
        <v>주간</v>
      </c>
      <c r="B82" s="3" t="str">
        <f ca="1">IFERROR(__xludf.DUMMYFUNCTION("""COMPUTED_VALUE"""),"08월")</f>
        <v>08월</v>
      </c>
      <c r="C82" s="3" t="str">
        <f ca="1">IFERROR(__xludf.DUMMYFUNCTION("""COMPUTED_VALUE"""),"3주(12~16)")</f>
        <v>3주(12~16)</v>
      </c>
      <c r="I82" s="5" t="s">
        <v>108</v>
      </c>
    </row>
    <row r="83" spans="1:9">
      <c r="A83" s="3" t="str">
        <f ca="1">IFERROR(__xludf.DUMMYFUNCTION("split(I83, "" "")"),"주간")</f>
        <v>주간</v>
      </c>
      <c r="B83" s="3" t="str">
        <f ca="1">IFERROR(__xludf.DUMMYFUNCTION("""COMPUTED_VALUE"""),"08월")</f>
        <v>08월</v>
      </c>
      <c r="C83" s="3" t="str">
        <f ca="1">IFERROR(__xludf.DUMMYFUNCTION("""COMPUTED_VALUE"""),"4주(20~22)")</f>
        <v>4주(20~22)</v>
      </c>
      <c r="D83" s="9">
        <f ca="1">IFERROR(__xludf.DUMMYFUNCTION("""COMPUTED_VALUE"""),1002)</f>
        <v>1002</v>
      </c>
      <c r="E83" s="10">
        <f ca="1">IFERROR(__xludf.DUMMYFUNCTION("""COMPUTED_VALUE"""),0.45)</f>
        <v>0.45</v>
      </c>
      <c r="F83" s="10">
        <f ca="1">IFERROR(__xludf.DUMMYFUNCTION("""COMPUTED_VALUE"""),0.49)</f>
        <v>0.49</v>
      </c>
      <c r="G83" s="10">
        <f ca="1">IFERROR(__xludf.DUMMYFUNCTION("""COMPUTED_VALUE"""),0.03)</f>
        <v>0.03</v>
      </c>
      <c r="H83" s="10">
        <f ca="1">IFERROR(__xludf.DUMMYFUNCTION("""COMPUTED_VALUE"""),0.04)</f>
        <v>0.04</v>
      </c>
      <c r="I83" s="5" t="s">
        <v>109</v>
      </c>
    </row>
    <row r="84" spans="1:9">
      <c r="A84" s="3" t="str">
        <f ca="1">IFERROR(__xludf.DUMMYFUNCTION("split(I84, "" "")"),"주간")</f>
        <v>주간</v>
      </c>
      <c r="B84" s="3" t="str">
        <f ca="1">IFERROR(__xludf.DUMMYFUNCTION("""COMPUTED_VALUE"""),"08월")</f>
        <v>08월</v>
      </c>
      <c r="C84" s="3" t="str">
        <f ca="1">IFERROR(__xludf.DUMMYFUNCTION("""COMPUTED_VALUE"""),"5주(27~29)")</f>
        <v>5주(27~29)</v>
      </c>
      <c r="D84" s="9">
        <f ca="1">IFERROR(__xludf.DUMMYFUNCTION("""COMPUTED_VALUE"""),1004)</f>
        <v>1004</v>
      </c>
      <c r="E84" s="10">
        <f ca="1">IFERROR(__xludf.DUMMYFUNCTION("""COMPUTED_VALUE"""),0.44)</f>
        <v>0.44</v>
      </c>
      <c r="F84" s="10">
        <f ca="1">IFERROR(__xludf.DUMMYFUNCTION("""COMPUTED_VALUE"""),0.49)</f>
        <v>0.49</v>
      </c>
      <c r="G84" s="10">
        <f ca="1">IFERROR(__xludf.DUMMYFUNCTION("""COMPUTED_VALUE"""),0.03)</f>
        <v>0.03</v>
      </c>
      <c r="H84" s="10">
        <f ca="1">IFERROR(__xludf.DUMMYFUNCTION("""COMPUTED_VALUE"""),0.04)</f>
        <v>0.04</v>
      </c>
      <c r="I84" s="5" t="s">
        <v>110</v>
      </c>
    </row>
    <row r="85" spans="1:9">
      <c r="A85" s="3" t="str">
        <f ca="1">IFERROR(__xludf.DUMMYFUNCTION("split(I85, "" "")"),"주간")</f>
        <v>주간</v>
      </c>
      <c r="B85" s="3" t="str">
        <f ca="1">IFERROR(__xludf.DUMMYFUNCTION("""COMPUTED_VALUE"""),"09월")</f>
        <v>09월</v>
      </c>
      <c r="C85" s="3" t="str">
        <f ca="1">IFERROR(__xludf.DUMMYFUNCTION("""COMPUTED_VALUE"""),"1주(03~05)")</f>
        <v>1주(03~05)</v>
      </c>
      <c r="D85" s="9">
        <f ca="1">IFERROR(__xludf.DUMMYFUNCTION("""COMPUTED_VALUE"""),1002)</f>
        <v>1002</v>
      </c>
      <c r="E85" s="10">
        <f ca="1">IFERROR(__xludf.DUMMYFUNCTION("""COMPUTED_VALUE"""),0.43)</f>
        <v>0.43</v>
      </c>
      <c r="F85" s="10">
        <f ca="1">IFERROR(__xludf.DUMMYFUNCTION("""COMPUTED_VALUE"""),0.49)</f>
        <v>0.49</v>
      </c>
      <c r="G85" s="10">
        <f ca="1">IFERROR(__xludf.DUMMYFUNCTION("""COMPUTED_VALUE"""),0.03)</f>
        <v>0.03</v>
      </c>
      <c r="H85" s="10">
        <f ca="1">IFERROR(__xludf.DUMMYFUNCTION("""COMPUTED_VALUE"""),0.05)</f>
        <v>0.05</v>
      </c>
      <c r="I85" s="5" t="s">
        <v>111</v>
      </c>
    </row>
    <row r="86" spans="1:9">
      <c r="A86" s="3" t="str">
        <f ca="1">IFERROR(__xludf.DUMMYFUNCTION("split(I86, "" "")"),"주간")</f>
        <v>주간</v>
      </c>
      <c r="B86" s="3" t="str">
        <f ca="1">IFERROR(__xludf.DUMMYFUNCTION("""COMPUTED_VALUE"""),"09월")</f>
        <v>09월</v>
      </c>
      <c r="C86" s="3" t="str">
        <f ca="1">IFERROR(__xludf.DUMMYFUNCTION("""COMPUTED_VALUE"""),"2주(09~13)")</f>
        <v>2주(09~13)</v>
      </c>
      <c r="I86" s="5" t="s">
        <v>112</v>
      </c>
    </row>
    <row r="87" spans="1:9">
      <c r="A87" s="3" t="str">
        <f ca="1">IFERROR(__xludf.DUMMYFUNCTION("split(I87, "" "")"),"주간")</f>
        <v>주간</v>
      </c>
      <c r="B87" s="3" t="str">
        <f ca="1">IFERROR(__xludf.DUMMYFUNCTION("""COMPUTED_VALUE"""),"09월")</f>
        <v>09월</v>
      </c>
      <c r="C87" s="3" t="str">
        <f ca="1">IFERROR(__xludf.DUMMYFUNCTION("""COMPUTED_VALUE"""),"3주(17~19)")</f>
        <v>3주(17~19)</v>
      </c>
      <c r="D87" s="9">
        <f ca="1">IFERROR(__xludf.DUMMYFUNCTION("""COMPUTED_VALUE"""),1000)</f>
        <v>1000</v>
      </c>
      <c r="E87" s="10">
        <f ca="1">IFERROR(__xludf.DUMMYFUNCTION("""COMPUTED_VALUE"""),0.4)</f>
        <v>0.4</v>
      </c>
      <c r="F87" s="10">
        <f ca="1">IFERROR(__xludf.DUMMYFUNCTION("""COMPUTED_VALUE"""),0.53)</f>
        <v>0.53</v>
      </c>
      <c r="G87" s="10">
        <f ca="1">IFERROR(__xludf.DUMMYFUNCTION("""COMPUTED_VALUE"""),0.03)</f>
        <v>0.03</v>
      </c>
      <c r="H87" s="10">
        <f ca="1">IFERROR(__xludf.DUMMYFUNCTION("""COMPUTED_VALUE"""),0.04)</f>
        <v>0.04</v>
      </c>
      <c r="I87" s="5" t="s">
        <v>113</v>
      </c>
    </row>
    <row r="88" spans="1:9">
      <c r="A88" s="3" t="str">
        <f ca="1">IFERROR(__xludf.DUMMYFUNCTION("split(I88, "" "")"),"주간")</f>
        <v>주간</v>
      </c>
      <c r="B88" s="3" t="str">
        <f ca="1">IFERROR(__xludf.DUMMYFUNCTION("""COMPUTED_VALUE"""),"09월")</f>
        <v>09월</v>
      </c>
      <c r="C88" s="3" t="str">
        <f ca="1">IFERROR(__xludf.DUMMYFUNCTION("""COMPUTED_VALUE"""),"4주(24~26)")</f>
        <v>4주(24~26)</v>
      </c>
      <c r="D88" s="9">
        <f ca="1">IFERROR(__xludf.DUMMYFUNCTION("""COMPUTED_VALUE"""),1002)</f>
        <v>1002</v>
      </c>
      <c r="E88" s="10">
        <f ca="1">IFERROR(__xludf.DUMMYFUNCTION("""COMPUTED_VALUE"""),0.41)</f>
        <v>0.41</v>
      </c>
      <c r="F88" s="10">
        <f ca="1">IFERROR(__xludf.DUMMYFUNCTION("""COMPUTED_VALUE"""),0.5)</f>
        <v>0.5</v>
      </c>
      <c r="G88" s="10">
        <f ca="1">IFERROR(__xludf.DUMMYFUNCTION("""COMPUTED_VALUE"""),0.03)</f>
        <v>0.03</v>
      </c>
      <c r="H88" s="10">
        <f ca="1">IFERROR(__xludf.DUMMYFUNCTION("""COMPUTED_VALUE"""),0.06)</f>
        <v>0.06</v>
      </c>
      <c r="I88" s="5" t="s">
        <v>114</v>
      </c>
    </row>
    <row r="89" spans="1:9">
      <c r="A89" s="3" t="str">
        <f ca="1">IFERROR(__xludf.DUMMYFUNCTION("split(I89, "" "")"),"주간")</f>
        <v>주간</v>
      </c>
      <c r="B89" s="3" t="str">
        <f ca="1">IFERROR(__xludf.DUMMYFUNCTION("""COMPUTED_VALUE"""),"10월")</f>
        <v>10월</v>
      </c>
      <c r="C89" s="3" t="str">
        <f ca="1">IFERROR(__xludf.DUMMYFUNCTION("""COMPUTED_VALUE"""),"1주(01~02)")</f>
        <v>1주(01~02)</v>
      </c>
      <c r="D89" s="9">
        <f ca="1">IFERROR(__xludf.DUMMYFUNCTION("""COMPUTED_VALUE"""),1004)</f>
        <v>1004</v>
      </c>
      <c r="E89" s="10">
        <f ca="1">IFERROR(__xludf.DUMMYFUNCTION("""COMPUTED_VALUE"""),0.42)</f>
        <v>0.42</v>
      </c>
      <c r="F89" s="10">
        <f ca="1">IFERROR(__xludf.DUMMYFUNCTION("""COMPUTED_VALUE"""),0.51)</f>
        <v>0.51</v>
      </c>
      <c r="G89" s="10">
        <f ca="1">IFERROR(__xludf.DUMMYFUNCTION("""COMPUTED_VALUE"""),0.02)</f>
        <v>0.02</v>
      </c>
      <c r="H89" s="10">
        <f ca="1">IFERROR(__xludf.DUMMYFUNCTION("""COMPUTED_VALUE"""),0.04)</f>
        <v>0.04</v>
      </c>
      <c r="I89" s="5" t="s">
        <v>115</v>
      </c>
    </row>
    <row r="90" spans="1:9">
      <c r="A90" s="3" t="str">
        <f ca="1">IFERROR(__xludf.DUMMYFUNCTION("split(I90, "" "")"),"주간")</f>
        <v>주간</v>
      </c>
      <c r="B90" s="3" t="str">
        <f ca="1">IFERROR(__xludf.DUMMYFUNCTION("""COMPUTED_VALUE"""),"10월")</f>
        <v>10월</v>
      </c>
      <c r="C90" s="3" t="str">
        <f ca="1">IFERROR(__xludf.DUMMYFUNCTION("""COMPUTED_VALUE"""),"2주(0810)")</f>
        <v>2주(0810)</v>
      </c>
      <c r="D90" s="9">
        <f ca="1">IFERROR(__xludf.DUMMYFUNCTION("""COMPUTED_VALUE"""),1002)</f>
        <v>1002</v>
      </c>
      <c r="E90" s="10">
        <f ca="1">IFERROR(__xludf.DUMMYFUNCTION("""COMPUTED_VALUE"""),0.43)</f>
        <v>0.43</v>
      </c>
      <c r="F90" s="10">
        <f ca="1">IFERROR(__xludf.DUMMYFUNCTION("""COMPUTED_VALUE"""),0.51)</f>
        <v>0.51</v>
      </c>
      <c r="G90" s="10">
        <f ca="1">IFERROR(__xludf.DUMMYFUNCTION("""COMPUTED_VALUE"""),0.03)</f>
        <v>0.03</v>
      </c>
      <c r="H90" s="10">
        <f ca="1">IFERROR(__xludf.DUMMYFUNCTION("""COMPUTED_VALUE"""),0.04)</f>
        <v>0.04</v>
      </c>
      <c r="I90" s="5" t="s">
        <v>116</v>
      </c>
    </row>
    <row r="91" spans="1:9">
      <c r="A91" s="3" t="str">
        <f ca="1">IFERROR(__xludf.DUMMYFUNCTION("split(I91, "" "")"),"주간")</f>
        <v>주간</v>
      </c>
      <c r="B91" s="3" t="str">
        <f ca="1">IFERROR(__xludf.DUMMYFUNCTION("""COMPUTED_VALUE"""),"10월")</f>
        <v>10월</v>
      </c>
      <c r="C91" s="3" t="str">
        <f ca="1">IFERROR(__xludf.DUMMYFUNCTION("""COMPUTED_VALUE"""),"3주(15~17)")</f>
        <v>3주(15~17)</v>
      </c>
      <c r="D91" s="9">
        <f ca="1">IFERROR(__xludf.DUMMYFUNCTION("""COMPUTED_VALUE"""),1004)</f>
        <v>1004</v>
      </c>
      <c r="E91" s="10">
        <f ca="1">IFERROR(__xludf.DUMMYFUNCTION("""COMPUTED_VALUE"""),0.39)</f>
        <v>0.39</v>
      </c>
      <c r="F91" s="10">
        <f ca="1">IFERROR(__xludf.DUMMYFUNCTION("""COMPUTED_VALUE"""),0.53)</f>
        <v>0.53</v>
      </c>
      <c r="G91" s="10">
        <f ca="1">IFERROR(__xludf.DUMMYFUNCTION("""COMPUTED_VALUE"""),0.03)</f>
        <v>0.03</v>
      </c>
      <c r="H91" s="10">
        <f ca="1">IFERROR(__xludf.DUMMYFUNCTION("""COMPUTED_VALUE"""),0.05)</f>
        <v>0.05</v>
      </c>
      <c r="I91" s="5" t="s">
        <v>117</v>
      </c>
    </row>
    <row r="92" spans="1:9">
      <c r="A92" s="3" t="str">
        <f ca="1">IFERROR(__xludf.DUMMYFUNCTION("split(I92, "" "")"),"주간")</f>
        <v>주간</v>
      </c>
      <c r="B92" s="3" t="str">
        <f ca="1">IFERROR(__xludf.DUMMYFUNCTION("""COMPUTED_VALUE"""),"10월")</f>
        <v>10월</v>
      </c>
      <c r="C92" s="3" t="str">
        <f ca="1">IFERROR(__xludf.DUMMYFUNCTION("""COMPUTED_VALUE"""),"4주(22~24)")</f>
        <v>4주(22~24)</v>
      </c>
      <c r="D92" s="9">
        <f ca="1">IFERROR(__xludf.DUMMYFUNCTION("""COMPUTED_VALUE"""),1001)</f>
        <v>1001</v>
      </c>
      <c r="E92" s="10">
        <f ca="1">IFERROR(__xludf.DUMMYFUNCTION("""COMPUTED_VALUE"""),0.41)</f>
        <v>0.41</v>
      </c>
      <c r="F92" s="10">
        <f ca="1">IFERROR(__xludf.DUMMYFUNCTION("""COMPUTED_VALUE"""),0.5)</f>
        <v>0.5</v>
      </c>
      <c r="G92" s="10">
        <f ca="1">IFERROR(__xludf.DUMMYFUNCTION("""COMPUTED_VALUE"""),0.03)</f>
        <v>0.03</v>
      </c>
      <c r="H92" s="10">
        <f ca="1">IFERROR(__xludf.DUMMYFUNCTION("""COMPUTED_VALUE"""),0.05)</f>
        <v>0.05</v>
      </c>
      <c r="I92" s="5" t="s">
        <v>118</v>
      </c>
    </row>
    <row r="93" spans="1:9">
      <c r="A93" s="3" t="str">
        <f ca="1">IFERROR(__xludf.DUMMYFUNCTION("split(I93, "" "")"),"주간")</f>
        <v>주간</v>
      </c>
      <c r="B93" s="3" t="str">
        <f ca="1">IFERROR(__xludf.DUMMYFUNCTION("""COMPUTED_VALUE"""),"10월")</f>
        <v>10월</v>
      </c>
      <c r="C93" s="3" t="str">
        <f ca="1">IFERROR(__xludf.DUMMYFUNCTION("""COMPUTED_VALUE"""),"5주(29~31)")</f>
        <v>5주(29~31)</v>
      </c>
      <c r="D93" s="9">
        <f ca="1">IFERROR(__xludf.DUMMYFUNCTION("""COMPUTED_VALUE"""),1000)</f>
        <v>1000</v>
      </c>
      <c r="E93" s="10">
        <f ca="1">IFERROR(__xludf.DUMMYFUNCTION("""COMPUTED_VALUE"""),0.44)</f>
        <v>0.44</v>
      </c>
      <c r="F93" s="10">
        <f ca="1">IFERROR(__xludf.DUMMYFUNCTION("""COMPUTED_VALUE"""),0.47)</f>
        <v>0.47</v>
      </c>
      <c r="G93" s="10">
        <f ca="1">IFERROR(__xludf.DUMMYFUNCTION("""COMPUTED_VALUE"""),0.03)</f>
        <v>0.03</v>
      </c>
      <c r="H93" s="10">
        <f ca="1">IFERROR(__xludf.DUMMYFUNCTION("""COMPUTED_VALUE"""),0.05)</f>
        <v>0.05</v>
      </c>
      <c r="I93" s="5" t="s">
        <v>119</v>
      </c>
    </row>
    <row r="94" spans="1:9">
      <c r="A94" s="3" t="str">
        <f ca="1">IFERROR(__xludf.DUMMYFUNCTION("split(I94, "" "")"),"주간")</f>
        <v>주간</v>
      </c>
      <c r="B94" s="3" t="str">
        <f ca="1">IFERROR(__xludf.DUMMYFUNCTION("""COMPUTED_VALUE"""),"11월")</f>
        <v>11월</v>
      </c>
      <c r="C94" s="3" t="str">
        <f ca="1">IFERROR(__xludf.DUMMYFUNCTION("""COMPUTED_VALUE"""),"1주(05~07)")</f>
        <v>1주(05~07)</v>
      </c>
      <c r="D94" s="9">
        <f ca="1">IFERROR(__xludf.DUMMYFUNCTION("""COMPUTED_VALUE"""),1003)</f>
        <v>1003</v>
      </c>
      <c r="E94" s="10">
        <f ca="1">IFERROR(__xludf.DUMMYFUNCTION("""COMPUTED_VALUE"""),0.45)</f>
        <v>0.45</v>
      </c>
      <c r="F94" s="10">
        <f ca="1">IFERROR(__xludf.DUMMYFUNCTION("""COMPUTED_VALUE"""),0.47)</f>
        <v>0.47</v>
      </c>
      <c r="G94" s="10">
        <f ca="1">IFERROR(__xludf.DUMMYFUNCTION("""COMPUTED_VALUE"""),0.03)</f>
        <v>0.03</v>
      </c>
      <c r="H94" s="10">
        <f ca="1">IFERROR(__xludf.DUMMYFUNCTION("""COMPUTED_VALUE"""),0.05)</f>
        <v>0.05</v>
      </c>
      <c r="I94" s="5" t="s">
        <v>120</v>
      </c>
    </row>
    <row r="95" spans="1:9">
      <c r="A95" s="3" t="str">
        <f ca="1">IFERROR(__xludf.DUMMYFUNCTION("split(I95, "" "")"),"주간")</f>
        <v>주간</v>
      </c>
      <c r="B95" s="3" t="str">
        <f ca="1">IFERROR(__xludf.DUMMYFUNCTION("""COMPUTED_VALUE"""),"11월")</f>
        <v>11월</v>
      </c>
      <c r="C95" s="3" t="str">
        <f ca="1">IFERROR(__xludf.DUMMYFUNCTION("""COMPUTED_VALUE"""),"2주(12~14)")</f>
        <v>2주(12~14)</v>
      </c>
      <c r="D95" s="9">
        <f ca="1">IFERROR(__xludf.DUMMYFUNCTION("""COMPUTED_VALUE"""),1002)</f>
        <v>1002</v>
      </c>
      <c r="E95" s="10">
        <f ca="1">IFERROR(__xludf.DUMMYFUNCTION("""COMPUTED_VALUE"""),0.46)</f>
        <v>0.46</v>
      </c>
      <c r="F95" s="10">
        <f ca="1">IFERROR(__xludf.DUMMYFUNCTION("""COMPUTED_VALUE"""),0.46)</f>
        <v>0.46</v>
      </c>
      <c r="G95" s="10">
        <f ca="1">IFERROR(__xludf.DUMMYFUNCTION("""COMPUTED_VALUE"""),0.05)</f>
        <v>0.05</v>
      </c>
      <c r="H95" s="10">
        <f ca="1">IFERROR(__xludf.DUMMYFUNCTION("""COMPUTED_VALUE"""),0.04)</f>
        <v>0.04</v>
      </c>
      <c r="I95" s="5" t="s">
        <v>121</v>
      </c>
    </row>
    <row r="96" spans="1:9">
      <c r="A96" s="3" t="str">
        <f ca="1">IFERROR(__xludf.DUMMYFUNCTION("split(I96, "" "")"),"주간")</f>
        <v>주간</v>
      </c>
      <c r="B96" s="3" t="str">
        <f ca="1">IFERROR(__xludf.DUMMYFUNCTION("""COMPUTED_VALUE"""),"11월")</f>
        <v>11월</v>
      </c>
      <c r="C96" s="3" t="str">
        <f ca="1">IFERROR(__xludf.DUMMYFUNCTION("""COMPUTED_VALUE"""),"3주(19~21)")</f>
        <v>3주(19~21)</v>
      </c>
      <c r="D96" s="9">
        <f ca="1">IFERROR(__xludf.DUMMYFUNCTION("""COMPUTED_VALUE"""),1001)</f>
        <v>1001</v>
      </c>
      <c r="E96" s="10">
        <f ca="1">IFERROR(__xludf.DUMMYFUNCTION("""COMPUTED_VALUE"""),0.45)</f>
        <v>0.45</v>
      </c>
      <c r="F96" s="10">
        <f ca="1">IFERROR(__xludf.DUMMYFUNCTION("""COMPUTED_VALUE"""),0.48)</f>
        <v>0.48</v>
      </c>
      <c r="G96" s="10">
        <f ca="1">IFERROR(__xludf.DUMMYFUNCTION("""COMPUTED_VALUE"""),0.03)</f>
        <v>0.03</v>
      </c>
      <c r="H96" s="10">
        <f ca="1">IFERROR(__xludf.DUMMYFUNCTION("""COMPUTED_VALUE"""),0.05)</f>
        <v>0.05</v>
      </c>
      <c r="I96" s="5" t="s">
        <v>122</v>
      </c>
    </row>
    <row r="97" spans="2:9">
      <c r="B97" s="3" t="str">
        <f ca="1">IFERROR(__xludf.DUMMYFUNCTION("split(I97, "" "")"),"11월")</f>
        <v>11월</v>
      </c>
      <c r="C97" s="3" t="str">
        <f ca="1">IFERROR(__xludf.DUMMYFUNCTION("""COMPUTED_VALUE"""),"4주(26~28)")</f>
        <v>4주(26~28)</v>
      </c>
      <c r="D97" s="9">
        <f ca="1">IFERROR(__xludf.DUMMYFUNCTION("""COMPUTED_VALUE"""),1001)</f>
        <v>1001</v>
      </c>
      <c r="E97" s="10">
        <f ca="1">IFERROR(__xludf.DUMMYFUNCTION("""COMPUTED_VALUE"""),0.46)</f>
        <v>0.46</v>
      </c>
      <c r="F97" s="10">
        <f ca="1">IFERROR(__xludf.DUMMYFUNCTION("""COMPUTED_VALUE"""),0.46)</f>
        <v>0.46</v>
      </c>
      <c r="G97" s="10">
        <f ca="1">IFERROR(__xludf.DUMMYFUNCTION("""COMPUTED_VALUE"""),0.04)</f>
        <v>0.04</v>
      </c>
      <c r="H97" s="10">
        <f ca="1">IFERROR(__xludf.DUMMYFUNCTION("""COMPUTED_VALUE"""),0.04)</f>
        <v>0.04</v>
      </c>
      <c r="I97" s="5" t="s">
        <v>123</v>
      </c>
    </row>
    <row r="98" spans="2:9">
      <c r="B98" s="3" t="str">
        <f ca="1">IFERROR(__xludf.DUMMYFUNCTION("split(I98, "" "")"),"12월")</f>
        <v>12월</v>
      </c>
      <c r="C98" s="3" t="str">
        <f ca="1">IFERROR(__xludf.DUMMYFUNCTION("""COMPUTED_VALUE"""),"1주(03~05)")</f>
        <v>1주(03~05)</v>
      </c>
      <c r="D98" s="9">
        <f ca="1">IFERROR(__xludf.DUMMYFUNCTION("""COMPUTED_VALUE"""),1006)</f>
        <v>1006</v>
      </c>
      <c r="E98" s="10">
        <f ca="1">IFERROR(__xludf.DUMMYFUNCTION("""COMPUTED_VALUE"""),0.48)</f>
        <v>0.48</v>
      </c>
      <c r="F98" s="10">
        <f ca="1">IFERROR(__xludf.DUMMYFUNCTION("""COMPUTED_VALUE"""),0.45)</f>
        <v>0.45</v>
      </c>
      <c r="G98" s="10">
        <f ca="1">IFERROR(__xludf.DUMMYFUNCTION("""COMPUTED_VALUE"""),0.03)</f>
        <v>0.03</v>
      </c>
      <c r="H98" s="10">
        <f ca="1">IFERROR(__xludf.DUMMYFUNCTION("""COMPUTED_VALUE"""),0.04)</f>
        <v>0.04</v>
      </c>
      <c r="I98" s="5" t="s">
        <v>124</v>
      </c>
    </row>
    <row r="99" spans="2:9">
      <c r="B99" s="3" t="str">
        <f ca="1">IFERROR(__xludf.DUMMYFUNCTION("split(I99, "" "")"),"12월")</f>
        <v>12월</v>
      </c>
      <c r="C99" s="3" t="str">
        <f ca="1">IFERROR(__xludf.DUMMYFUNCTION("""COMPUTED_VALUE"""),"2주(10~12)")</f>
        <v>2주(10~12)</v>
      </c>
      <c r="D99" s="9">
        <f ca="1">IFERROR(__xludf.DUMMYFUNCTION("""COMPUTED_VALUE"""),1001)</f>
        <v>1001</v>
      </c>
      <c r="E99" s="10">
        <f ca="1">IFERROR(__xludf.DUMMYFUNCTION("""COMPUTED_VALUE"""),0.49)</f>
        <v>0.49</v>
      </c>
      <c r="F99" s="10">
        <f ca="1">IFERROR(__xludf.DUMMYFUNCTION("""COMPUTED_VALUE"""),0.43)</f>
        <v>0.43</v>
      </c>
      <c r="G99" s="10">
        <f ca="1">IFERROR(__xludf.DUMMYFUNCTION("""COMPUTED_VALUE"""),0.04)</f>
        <v>0.04</v>
      </c>
      <c r="H99" s="10">
        <f ca="1">IFERROR(__xludf.DUMMYFUNCTION("""COMPUTED_VALUE"""),0.04)</f>
        <v>0.04</v>
      </c>
      <c r="I99" s="5" t="s">
        <v>125</v>
      </c>
    </row>
    <row r="100" spans="2:9">
      <c r="B100" s="3" t="str">
        <f ca="1">IFERROR(__xludf.DUMMYFUNCTION("split(I100, "" "")"),"12월")</f>
        <v>12월</v>
      </c>
      <c r="C100" s="3" t="str">
        <f ca="1">IFERROR(__xludf.DUMMYFUNCTION("""COMPUTED_VALUE"""),"3주(17~19)")</f>
        <v>3주(17~19)</v>
      </c>
      <c r="D100" s="9">
        <f ca="1">IFERROR(__xludf.DUMMYFUNCTION("""COMPUTED_VALUE"""),1002)</f>
        <v>1002</v>
      </c>
      <c r="E100" s="10">
        <f ca="1">IFERROR(__xludf.DUMMYFUNCTION("""COMPUTED_VALUE"""),0.44)</f>
        <v>0.44</v>
      </c>
      <c r="F100" s="10">
        <f ca="1">IFERROR(__xludf.DUMMYFUNCTION("""COMPUTED_VALUE"""),0.46)</f>
        <v>0.46</v>
      </c>
      <c r="G100" s="10">
        <f ca="1">IFERROR(__xludf.DUMMYFUNCTION("""COMPUTED_VALUE"""),0.03)</f>
        <v>0.03</v>
      </c>
      <c r="H100" s="10">
        <f ca="1">IFERROR(__xludf.DUMMYFUNCTION("""COMPUTED_VALUE"""),0.06)</f>
        <v>0.06</v>
      </c>
      <c r="I100" s="5" t="s">
        <v>126</v>
      </c>
    </row>
    <row r="101" spans="2:9">
      <c r="B101" s="3" t="str">
        <f ca="1">IFERROR(__xludf.DUMMYFUNCTION("split(I101, "" "")"),"12월")</f>
        <v>12월</v>
      </c>
      <c r="C101" s="3" t="str">
        <f ca="1">IFERROR(__xludf.DUMMYFUNCTION("""COMPUTED_VALUE"""),"4주(23~27)")</f>
        <v>4주(23~27)</v>
      </c>
      <c r="I101" s="5" t="s">
        <v>127</v>
      </c>
    </row>
    <row r="102" spans="2:9">
      <c r="B102" s="3" t="str">
        <f ca="1">IFERROR(__xludf.DUMMYFUNCTION("split(I102, "" "")"),"01월")</f>
        <v>01월</v>
      </c>
      <c r="C102" s="3" t="str">
        <f ca="1">IFERROR(__xludf.DUMMYFUNCTION("""COMPUTED_VALUE"""),"1주(30~03)")</f>
        <v>1주(30~03)</v>
      </c>
      <c r="I102" s="5" t="s">
        <v>128</v>
      </c>
    </row>
    <row r="103" spans="2:9">
      <c r="B103" s="3" t="str">
        <f ca="1">IFERROR(__xludf.DUMMYFUNCTION("split(I103, "" "")"),"01월")</f>
        <v>01월</v>
      </c>
      <c r="C103" s="3" t="str">
        <f ca="1">IFERROR(__xludf.DUMMYFUNCTION("""COMPUTED_VALUE"""),"2주(07~09)")</f>
        <v>2주(07~09)</v>
      </c>
      <c r="D103" s="9">
        <f ca="1">IFERROR(__xludf.DUMMYFUNCTION("""COMPUTED_VALUE"""),1000)</f>
        <v>1000</v>
      </c>
      <c r="E103" s="10">
        <f ca="1">IFERROR(__xludf.DUMMYFUNCTION("""COMPUTED_VALUE"""),0.47)</f>
        <v>0.47</v>
      </c>
      <c r="F103" s="10">
        <f ca="1">IFERROR(__xludf.DUMMYFUNCTION("""COMPUTED_VALUE"""),0.43)</f>
        <v>0.43</v>
      </c>
      <c r="G103" s="10">
        <f ca="1">IFERROR(__xludf.DUMMYFUNCTION("""COMPUTED_VALUE"""),0.05)</f>
        <v>0.05</v>
      </c>
      <c r="H103" s="10">
        <f ca="1">IFERROR(__xludf.DUMMYFUNCTION("""COMPUTED_VALUE"""),0.05)</f>
        <v>0.05</v>
      </c>
      <c r="I103" s="5" t="s">
        <v>129</v>
      </c>
    </row>
    <row r="104" spans="2:9">
      <c r="B104" s="3" t="str">
        <f ca="1">IFERROR(__xludf.DUMMYFUNCTION("split(I104, "" "")"),"01월")</f>
        <v>01월</v>
      </c>
      <c r="C104" s="3" t="str">
        <f ca="1">IFERROR(__xludf.DUMMYFUNCTION("""COMPUTED_VALUE"""),"3주(14~16)")</f>
        <v>3주(14~16)</v>
      </c>
      <c r="D104" s="9">
        <f ca="1">IFERROR(__xludf.DUMMYFUNCTION("""COMPUTED_VALUE"""),1000)</f>
        <v>1000</v>
      </c>
      <c r="E104" s="10">
        <f ca="1">IFERROR(__xludf.DUMMYFUNCTION("""COMPUTED_VALUE"""),0.45)</f>
        <v>0.45</v>
      </c>
      <c r="F104" s="10">
        <f ca="1">IFERROR(__xludf.DUMMYFUNCTION("""COMPUTED_VALUE"""),0.46)</f>
        <v>0.46</v>
      </c>
      <c r="G104" s="10">
        <f ca="1">IFERROR(__xludf.DUMMYFUNCTION("""COMPUTED_VALUE"""),0.04)</f>
        <v>0.04</v>
      </c>
      <c r="H104" s="10">
        <f ca="1">IFERROR(__xludf.DUMMYFUNCTION("""COMPUTED_VALUE"""),0.06)</f>
        <v>0.06</v>
      </c>
      <c r="I104" s="5" t="s">
        <v>130</v>
      </c>
    </row>
    <row r="105" spans="2:9">
      <c r="B105" s="3" t="str">
        <f ca="1">IFERROR(__xludf.DUMMYFUNCTION("split(I105, "" "")"),"01월")</f>
        <v>01월</v>
      </c>
      <c r="C105" s="3" t="str">
        <f ca="1">IFERROR(__xludf.DUMMYFUNCTION("""COMPUTED_VALUE"""),"4주(20~24)")</f>
        <v>4주(20~24)</v>
      </c>
      <c r="I105" s="5" t="s">
        <v>131</v>
      </c>
    </row>
    <row r="106" spans="2:9">
      <c r="B106" s="3" t="str">
        <f ca="1">IFERROR(__xludf.DUMMYFUNCTION("split(I106, "" "")"),"01월")</f>
        <v>01월</v>
      </c>
      <c r="C106" s="3" t="str">
        <f ca="1">IFERROR(__xludf.DUMMYFUNCTION("""COMPUTED_VALUE"""),"5주(28~30)")</f>
        <v>5주(28~30)</v>
      </c>
      <c r="D106" s="9">
        <f ca="1">IFERROR(__xludf.DUMMYFUNCTION("""COMPUTED_VALUE"""),1000)</f>
        <v>1000</v>
      </c>
      <c r="E106" s="10">
        <f ca="1">IFERROR(__xludf.DUMMYFUNCTION("""COMPUTED_VALUE"""),0.41)</f>
        <v>0.41</v>
      </c>
      <c r="F106" s="10">
        <f ca="1">IFERROR(__xludf.DUMMYFUNCTION("""COMPUTED_VALUE"""),0.5)</f>
        <v>0.5</v>
      </c>
      <c r="G106" s="10">
        <f ca="1">IFERROR(__xludf.DUMMYFUNCTION("""COMPUTED_VALUE"""),0.03)</f>
        <v>0.03</v>
      </c>
      <c r="H106" s="10">
        <f ca="1">IFERROR(__xludf.DUMMYFUNCTION("""COMPUTED_VALUE"""),0.06)</f>
        <v>0.06</v>
      </c>
      <c r="I106" s="5" t="s">
        <v>132</v>
      </c>
    </row>
    <row r="107" spans="2:9">
      <c r="B107" s="3" t="str">
        <f ca="1">IFERROR(__xludf.DUMMYFUNCTION("split(I107, "" "")"),"02월")</f>
        <v>02월</v>
      </c>
      <c r="C107" s="3" t="str">
        <f ca="1">IFERROR(__xludf.DUMMYFUNCTION("""COMPUTED_VALUE"""),"1주(04~06)")</f>
        <v>1주(04~06)</v>
      </c>
      <c r="D107" s="9">
        <f ca="1">IFERROR(__xludf.DUMMYFUNCTION("""COMPUTED_VALUE"""),1000)</f>
        <v>1000</v>
      </c>
      <c r="E107" s="10">
        <f ca="1">IFERROR(__xludf.DUMMYFUNCTION("""COMPUTED_VALUE"""),0.44)</f>
        <v>0.44</v>
      </c>
      <c r="F107" s="10">
        <f ca="1">IFERROR(__xludf.DUMMYFUNCTION("""COMPUTED_VALUE"""),0.49)</f>
        <v>0.49</v>
      </c>
      <c r="G107" s="10">
        <f ca="1">IFERROR(__xludf.DUMMYFUNCTION("""COMPUTED_VALUE"""),0.03)</f>
        <v>0.03</v>
      </c>
      <c r="H107" s="10">
        <f ca="1">IFERROR(__xludf.DUMMYFUNCTION("""COMPUTED_VALUE"""),0.05)</f>
        <v>0.05</v>
      </c>
      <c r="I107" s="5" t="s">
        <v>133</v>
      </c>
    </row>
    <row r="108" spans="2:9">
      <c r="B108" s="3" t="str">
        <f ca="1">IFERROR(__xludf.DUMMYFUNCTION("split(I108, "" "")"),"02월")</f>
        <v>02월</v>
      </c>
      <c r="C108" s="3" t="str">
        <f ca="1">IFERROR(__xludf.DUMMYFUNCTION("""COMPUTED_VALUE"""),"2주(11~13)")</f>
        <v>2주(11~13)</v>
      </c>
      <c r="D108" s="9">
        <f ca="1">IFERROR(__xludf.DUMMYFUNCTION("""COMPUTED_VALUE"""),1001)</f>
        <v>1001</v>
      </c>
      <c r="E108" s="10">
        <f ca="1">IFERROR(__xludf.DUMMYFUNCTION("""COMPUTED_VALUE"""),0.44)</f>
        <v>0.44</v>
      </c>
      <c r="F108" s="10">
        <f ca="1">IFERROR(__xludf.DUMMYFUNCTION("""COMPUTED_VALUE"""),0.49)</f>
        <v>0.49</v>
      </c>
      <c r="G108" s="10">
        <f ca="1">IFERROR(__xludf.DUMMYFUNCTION("""COMPUTED_VALUE"""),0.02)</f>
        <v>0.02</v>
      </c>
      <c r="H108" s="10">
        <f ca="1">IFERROR(__xludf.DUMMYFUNCTION("""COMPUTED_VALUE"""),0.05)</f>
        <v>0.05</v>
      </c>
      <c r="I108" s="5" t="s">
        <v>134</v>
      </c>
    </row>
    <row r="109" spans="2:9">
      <c r="B109" s="3" t="str">
        <f ca="1">IFERROR(__xludf.DUMMYFUNCTION("split(I109, "" "")"),"02월")</f>
        <v>02월</v>
      </c>
      <c r="C109" s="3" t="str">
        <f ca="1">IFERROR(__xludf.DUMMYFUNCTION("""COMPUTED_VALUE"""),"3주(18~20)")</f>
        <v>3주(18~20)</v>
      </c>
      <c r="D109" s="9">
        <f ca="1">IFERROR(__xludf.DUMMYFUNCTION("""COMPUTED_VALUE"""),1002)</f>
        <v>1002</v>
      </c>
      <c r="E109" s="10">
        <f ca="1">IFERROR(__xludf.DUMMYFUNCTION("""COMPUTED_VALUE"""),0.45)</f>
        <v>0.45</v>
      </c>
      <c r="F109" s="10">
        <f ca="1">IFERROR(__xludf.DUMMYFUNCTION("""COMPUTED_VALUE"""),0.46)</f>
        <v>0.46</v>
      </c>
      <c r="G109" s="10">
        <f ca="1">IFERROR(__xludf.DUMMYFUNCTION("""COMPUTED_VALUE"""),0.03)</f>
        <v>0.03</v>
      </c>
      <c r="H109" s="10">
        <f ca="1">IFERROR(__xludf.DUMMYFUNCTION("""COMPUTED_VALUE"""),0.05)</f>
        <v>0.05</v>
      </c>
      <c r="I109" s="5" t="s">
        <v>135</v>
      </c>
    </row>
    <row r="110" spans="2:9">
      <c r="B110" s="3" t="str">
        <f ca="1">IFERROR(__xludf.DUMMYFUNCTION("split(I110, "" "")"),"02월")</f>
        <v>02월</v>
      </c>
      <c r="C110" s="3" t="str">
        <f ca="1">IFERROR(__xludf.DUMMYFUNCTION("""COMPUTED_VALUE"""),"4주(25~27)")</f>
        <v>4주(25~27)</v>
      </c>
      <c r="D110" s="9">
        <f ca="1">IFERROR(__xludf.DUMMYFUNCTION("""COMPUTED_VALUE"""),1001)</f>
        <v>1001</v>
      </c>
      <c r="E110" s="10">
        <f ca="1">IFERROR(__xludf.DUMMYFUNCTION("""COMPUTED_VALUE"""),0.42)</f>
        <v>0.42</v>
      </c>
      <c r="F110" s="10">
        <f ca="1">IFERROR(__xludf.DUMMYFUNCTION("""COMPUTED_VALUE"""),0.51)</f>
        <v>0.51</v>
      </c>
      <c r="G110" s="10">
        <f ca="1">IFERROR(__xludf.DUMMYFUNCTION("""COMPUTED_VALUE"""),0.03)</f>
        <v>0.03</v>
      </c>
      <c r="H110" s="10">
        <f ca="1">IFERROR(__xludf.DUMMYFUNCTION("""COMPUTED_VALUE"""),0.03)</f>
        <v>0.03</v>
      </c>
      <c r="I110" s="5" t="s">
        <v>136</v>
      </c>
    </row>
    <row r="111" spans="2:9">
      <c r="B111" s="3" t="str">
        <f ca="1">IFERROR(__xludf.DUMMYFUNCTION("split(I111, "" "")"),"03월")</f>
        <v>03월</v>
      </c>
      <c r="C111" s="3" t="str">
        <f ca="1">IFERROR(__xludf.DUMMYFUNCTION("""COMPUTED_VALUE"""),"1주(03~05)")</f>
        <v>1주(03~05)</v>
      </c>
      <c r="D111" s="9">
        <f ca="1">IFERROR(__xludf.DUMMYFUNCTION("""COMPUTED_VALUE"""),1000)</f>
        <v>1000</v>
      </c>
      <c r="E111" s="10">
        <f ca="1">IFERROR(__xludf.DUMMYFUNCTION("""COMPUTED_VALUE"""),0.44)</f>
        <v>0.44</v>
      </c>
      <c r="F111" s="10">
        <f ca="1">IFERROR(__xludf.DUMMYFUNCTION("""COMPUTED_VALUE"""),0.48)</f>
        <v>0.48</v>
      </c>
      <c r="G111" s="10">
        <f ca="1">IFERROR(__xludf.DUMMYFUNCTION("""COMPUTED_VALUE"""),0.03)</f>
        <v>0.03</v>
      </c>
      <c r="H111" s="10">
        <f ca="1">IFERROR(__xludf.DUMMYFUNCTION("""COMPUTED_VALUE"""),0.05)</f>
        <v>0.05</v>
      </c>
      <c r="I111" s="5" t="s">
        <v>137</v>
      </c>
    </row>
    <row r="112" spans="2:9">
      <c r="B112" s="3" t="str">
        <f ca="1">IFERROR(__xludf.DUMMYFUNCTION("split(I112, "" "")"),"03월")</f>
        <v>03월</v>
      </c>
      <c r="C112" s="3" t="str">
        <f ca="1">IFERROR(__xludf.DUMMYFUNCTION("""COMPUTED_VALUE"""),"2주(10~12)")</f>
        <v>2주(10~12)</v>
      </c>
      <c r="D112" s="9">
        <f ca="1">IFERROR(__xludf.DUMMYFUNCTION("""COMPUTED_VALUE"""),1001)</f>
        <v>1001</v>
      </c>
      <c r="E112" s="10">
        <f ca="1">IFERROR(__xludf.DUMMYFUNCTION("""COMPUTED_VALUE"""),0.49)</f>
        <v>0.49</v>
      </c>
      <c r="F112" s="10">
        <f ca="1">IFERROR(__xludf.DUMMYFUNCTION("""COMPUTED_VALUE"""),0.45)</f>
        <v>0.45</v>
      </c>
      <c r="G112" s="10">
        <f ca="1">IFERROR(__xludf.DUMMYFUNCTION("""COMPUTED_VALUE"""),0.03)</f>
        <v>0.03</v>
      </c>
      <c r="H112" s="10">
        <f ca="1">IFERROR(__xludf.DUMMYFUNCTION("""COMPUTED_VALUE"""),0.03)</f>
        <v>0.03</v>
      </c>
      <c r="I112" s="5" t="s">
        <v>138</v>
      </c>
    </row>
    <row r="113" spans="2:9">
      <c r="B113" s="3" t="str">
        <f ca="1">IFERROR(__xludf.DUMMYFUNCTION("split(I113, "" "")"),"03월")</f>
        <v>03월</v>
      </c>
      <c r="C113" s="3" t="str">
        <f ca="1">IFERROR(__xludf.DUMMYFUNCTION("""COMPUTED_VALUE"""),"3주(17~19)")</f>
        <v>3주(17~19)</v>
      </c>
      <c r="D113" s="9">
        <f ca="1">IFERROR(__xludf.DUMMYFUNCTION("""COMPUTED_VALUE"""),1000)</f>
        <v>1000</v>
      </c>
      <c r="E113" s="10">
        <f ca="1">IFERROR(__xludf.DUMMYFUNCTION("""COMPUTED_VALUE"""),0.49)</f>
        <v>0.49</v>
      </c>
      <c r="F113" s="10">
        <f ca="1">IFERROR(__xludf.DUMMYFUNCTION("""COMPUTED_VALUE"""),0.42)</f>
        <v>0.42</v>
      </c>
      <c r="G113" s="10">
        <f ca="1">IFERROR(__xludf.DUMMYFUNCTION("""COMPUTED_VALUE"""),0.04)</f>
        <v>0.04</v>
      </c>
      <c r="H113" s="10">
        <f ca="1">IFERROR(__xludf.DUMMYFUNCTION("""COMPUTED_VALUE"""),0.05)</f>
        <v>0.05</v>
      </c>
      <c r="I113" s="5" t="s">
        <v>139</v>
      </c>
    </row>
    <row r="114" spans="2:9">
      <c r="B114" s="3" t="str">
        <f ca="1">IFERROR(__xludf.DUMMYFUNCTION("split(I114, "" "")"),"03월")</f>
        <v>03월</v>
      </c>
      <c r="C114" s="3" t="str">
        <f ca="1">IFERROR(__xludf.DUMMYFUNCTION("""COMPUTED_VALUE"""),"4주(24~26)")</f>
        <v>4주(24~26)</v>
      </c>
      <c r="D114" s="9">
        <f ca="1">IFERROR(__xludf.DUMMYFUNCTION("""COMPUTED_VALUE"""),1001)</f>
        <v>1001</v>
      </c>
      <c r="E114" s="10">
        <f ca="1">IFERROR(__xludf.DUMMYFUNCTION("""COMPUTED_VALUE"""),0.55)</f>
        <v>0.55000000000000004</v>
      </c>
      <c r="F114" s="10">
        <f ca="1">IFERROR(__xludf.DUMMYFUNCTION("""COMPUTED_VALUE"""),0.39)</f>
        <v>0.39</v>
      </c>
      <c r="G114" s="10">
        <f ca="1">IFERROR(__xludf.DUMMYFUNCTION("""COMPUTED_VALUE"""),0.03)</f>
        <v>0.03</v>
      </c>
      <c r="H114" s="10">
        <f ca="1">IFERROR(__xludf.DUMMYFUNCTION("""COMPUTED_VALUE"""),0.03)</f>
        <v>0.03</v>
      </c>
      <c r="I114" s="5" t="s">
        <v>140</v>
      </c>
    </row>
    <row r="115" spans="2:9">
      <c r="B115" s="3" t="str">
        <f ca="1">IFERROR(__xludf.DUMMYFUNCTION("split(I115, "" "")"),"04월")</f>
        <v>04월</v>
      </c>
      <c r="C115" s="3" t="str">
        <f ca="1">IFERROR(__xludf.DUMMYFUNCTION("""COMPUTED_VALUE"""),"1주(31~02)")</f>
        <v>1주(31~02)</v>
      </c>
      <c r="D115" s="9">
        <f ca="1">IFERROR(__xludf.DUMMYFUNCTION("""COMPUTED_VALUE"""),1002)</f>
        <v>1002</v>
      </c>
      <c r="E115" s="10">
        <f ca="1">IFERROR(__xludf.DUMMYFUNCTION("""COMPUTED_VALUE"""),0.56)</f>
        <v>0.56000000000000005</v>
      </c>
      <c r="F115" s="10">
        <f ca="1">IFERROR(__xludf.DUMMYFUNCTION("""COMPUTED_VALUE"""),0.36)</f>
        <v>0.36</v>
      </c>
      <c r="G115" s="10">
        <f ca="1">IFERROR(__xludf.DUMMYFUNCTION("""COMPUTED_VALUE"""),0.04)</f>
        <v>0.04</v>
      </c>
      <c r="H115" s="10">
        <f ca="1">IFERROR(__xludf.DUMMYFUNCTION("""COMPUTED_VALUE"""),0.04)</f>
        <v>0.04</v>
      </c>
      <c r="I115" s="5" t="s">
        <v>141</v>
      </c>
    </row>
    <row r="116" spans="2:9">
      <c r="B116" s="3" t="str">
        <f ca="1">IFERROR(__xludf.DUMMYFUNCTION("split(I116, "" "")"),"04월")</f>
        <v>04월</v>
      </c>
      <c r="C116" s="3" t="str">
        <f ca="1">IFERROR(__xludf.DUMMYFUNCTION("""COMPUTED_VALUE"""),"2주(07~08)")</f>
        <v>2주(07~08)</v>
      </c>
      <c r="D116" s="9">
        <f ca="1">IFERROR(__xludf.DUMMYFUNCTION("""COMPUTED_VALUE"""),1000)</f>
        <v>1000</v>
      </c>
      <c r="E116" s="10">
        <f ca="1">IFERROR(__xludf.DUMMYFUNCTION("""COMPUTED_VALUE"""),0.57)</f>
        <v>0.56999999999999995</v>
      </c>
      <c r="F116" s="10">
        <f ca="1">IFERROR(__xludf.DUMMYFUNCTION("""COMPUTED_VALUE"""),0.35)</f>
        <v>0.35</v>
      </c>
      <c r="G116" s="10">
        <f ca="1">IFERROR(__xludf.DUMMYFUNCTION("""COMPUTED_VALUE"""),0.05)</f>
        <v>0.05</v>
      </c>
      <c r="H116" s="10">
        <f ca="1">IFERROR(__xludf.DUMMYFUNCTION("""COMPUTED_VALUE"""),0.03)</f>
        <v>0.03</v>
      </c>
      <c r="I116" s="5" t="s">
        <v>142</v>
      </c>
    </row>
    <row r="117" spans="2:9">
      <c r="B117" s="3" t="str">
        <f ca="1">IFERROR(__xludf.DUMMYFUNCTION("split(I117, "" "")"),"04월")</f>
        <v>04월</v>
      </c>
      <c r="C117" s="3" t="str">
        <f ca="1">IFERROR(__xludf.DUMMYFUNCTION("""COMPUTED_VALUE"""),"3주(13~14)")</f>
        <v>3주(13~14)</v>
      </c>
      <c r="D117" s="9">
        <f ca="1">IFERROR(__xludf.DUMMYFUNCTION("""COMPUTED_VALUE"""),1004)</f>
        <v>1004</v>
      </c>
      <c r="E117" s="10">
        <f ca="1">IFERROR(__xludf.DUMMYFUNCTION("""COMPUTED_VALUE"""),0.59)</f>
        <v>0.59</v>
      </c>
      <c r="F117" s="10">
        <f ca="1">IFERROR(__xludf.DUMMYFUNCTION("""COMPUTED_VALUE"""),0.33)</f>
        <v>0.33</v>
      </c>
      <c r="G117" s="10">
        <f ca="1">IFERROR(__xludf.DUMMYFUNCTION("""COMPUTED_VALUE"""),0.04)</f>
        <v>0.04</v>
      </c>
      <c r="H117" s="10">
        <f ca="1">IFERROR(__xludf.DUMMYFUNCTION("""COMPUTED_VALUE"""),0.04)</f>
        <v>0.04</v>
      </c>
      <c r="I117" s="5" t="s">
        <v>143</v>
      </c>
    </row>
    <row r="118" spans="2:9">
      <c r="B118" s="3" t="str">
        <f ca="1">IFERROR(__xludf.DUMMYFUNCTION("split(I118, "" "")"),"04월")</f>
        <v>04월</v>
      </c>
      <c r="C118" s="3" t="str">
        <f ca="1">IFERROR(__xludf.DUMMYFUNCTION("""COMPUTED_VALUE"""),"4주(21~23)")</f>
        <v>4주(21~23)</v>
      </c>
      <c r="D118" s="9">
        <f ca="1">IFERROR(__xludf.DUMMYFUNCTION("""COMPUTED_VALUE"""),1001)</f>
        <v>1001</v>
      </c>
      <c r="E118" s="10">
        <f ca="1">IFERROR(__xludf.DUMMYFUNCTION("""COMPUTED_VALUE"""),0.62)</f>
        <v>0.62</v>
      </c>
      <c r="F118" s="10">
        <f ca="1">IFERROR(__xludf.DUMMYFUNCTION("""COMPUTED_VALUE"""),0.3)</f>
        <v>0.3</v>
      </c>
      <c r="G118" s="10">
        <f ca="1">IFERROR(__xludf.DUMMYFUNCTION("""COMPUTED_VALUE"""),0.03)</f>
        <v>0.03</v>
      </c>
      <c r="H118" s="10">
        <f ca="1">IFERROR(__xludf.DUMMYFUNCTION("""COMPUTED_VALUE"""),0.05)</f>
        <v>0.05</v>
      </c>
      <c r="I118" s="5" t="s">
        <v>144</v>
      </c>
    </row>
    <row r="119" spans="2:9">
      <c r="B119" s="3" t="str">
        <f ca="1">IFERROR(__xludf.DUMMYFUNCTION("split(I119, "" "")"),"04월")</f>
        <v>04월</v>
      </c>
      <c r="C119" s="3" t="str">
        <f ca="1">IFERROR(__xludf.DUMMYFUNCTION("""COMPUTED_VALUE"""),"5주(28~29)")</f>
        <v>5주(28~29)</v>
      </c>
      <c r="D119" s="9">
        <f ca="1">IFERROR(__xludf.DUMMYFUNCTION("""COMPUTED_VALUE"""),1000)</f>
        <v>1000</v>
      </c>
      <c r="E119" s="10">
        <f ca="1">IFERROR(__xludf.DUMMYFUNCTION("""COMPUTED_VALUE"""),0.64)</f>
        <v>0.64</v>
      </c>
      <c r="F119" s="10">
        <f ca="1">IFERROR(__xludf.DUMMYFUNCTION("""COMPUTED_VALUE"""),0.26)</f>
        <v>0.26</v>
      </c>
      <c r="G119" s="10">
        <f ca="1">IFERROR(__xludf.DUMMYFUNCTION("""COMPUTED_VALUE"""),0.04)</f>
        <v>0.04</v>
      </c>
      <c r="H119" s="10">
        <f ca="1">IFERROR(__xludf.DUMMYFUNCTION("""COMPUTED_VALUE"""),0.06)</f>
        <v>0.06</v>
      </c>
      <c r="I119" s="5" t="s">
        <v>145</v>
      </c>
    </row>
    <row r="120" spans="2:9">
      <c r="B120" s="3" t="str">
        <f ca="1">IFERROR(__xludf.DUMMYFUNCTION("split(I120, "" "")"),"05월")</f>
        <v>05월</v>
      </c>
      <c r="C120" s="3" t="str">
        <f ca="1">IFERROR(__xludf.DUMMYFUNCTION("""COMPUTED_VALUE"""),"1주(06~07)")</f>
        <v>1주(06~07)</v>
      </c>
      <c r="D120" s="9">
        <f ca="1">IFERROR(__xludf.DUMMYFUNCTION("""COMPUTED_VALUE"""),1004)</f>
        <v>1004</v>
      </c>
      <c r="E120" s="10">
        <f ca="1">IFERROR(__xludf.DUMMYFUNCTION("""COMPUTED_VALUE"""),0.71)</f>
        <v>0.71</v>
      </c>
      <c r="F120" s="10">
        <f ca="1">IFERROR(__xludf.DUMMYFUNCTION("""COMPUTED_VALUE"""),0.21)</f>
        <v>0.21</v>
      </c>
      <c r="G120" s="10">
        <f ca="1">IFERROR(__xludf.DUMMYFUNCTION("""COMPUTED_VALUE"""),0.03)</f>
        <v>0.03</v>
      </c>
      <c r="H120" s="10">
        <f ca="1">IFERROR(__xludf.DUMMYFUNCTION("""COMPUTED_VALUE"""),0.05)</f>
        <v>0.05</v>
      </c>
      <c r="I120" s="5" t="s">
        <v>146</v>
      </c>
    </row>
    <row r="121" spans="2:9">
      <c r="B121" s="3" t="str">
        <f ca="1">IFERROR(__xludf.DUMMYFUNCTION("split(I121, "" "")"),"05월")</f>
        <v>05월</v>
      </c>
      <c r="C121" s="3" t="str">
        <f ca="1">IFERROR(__xludf.DUMMYFUNCTION("""COMPUTED_VALUE"""),"2주(12~14)")</f>
        <v>2주(12~14)</v>
      </c>
      <c r="D121" s="9">
        <f ca="1">IFERROR(__xludf.DUMMYFUNCTION("""COMPUTED_VALUE"""),1000)</f>
        <v>1000</v>
      </c>
      <c r="E121" s="10">
        <f ca="1">IFERROR(__xludf.DUMMYFUNCTION("""COMPUTED_VALUE"""),0.65)</f>
        <v>0.65</v>
      </c>
      <c r="F121" s="10">
        <f ca="1">IFERROR(__xludf.DUMMYFUNCTION("""COMPUTED_VALUE"""),0.27)</f>
        <v>0.27</v>
      </c>
      <c r="G121" s="10">
        <f ca="1">IFERROR(__xludf.DUMMYFUNCTION("""COMPUTED_VALUE"""),0.03)</f>
        <v>0.03</v>
      </c>
      <c r="H121" s="10">
        <f ca="1">IFERROR(__xludf.DUMMYFUNCTION("""COMPUTED_VALUE"""),0.05)</f>
        <v>0.05</v>
      </c>
      <c r="I121" s="5" t="s">
        <v>147</v>
      </c>
    </row>
    <row r="122" spans="2:9">
      <c r="B122" s="3" t="str">
        <f ca="1">IFERROR(__xludf.DUMMYFUNCTION("split(I122, "" "")"),"05월")</f>
        <v>05월</v>
      </c>
      <c r="C122" s="3" t="str">
        <f ca="1">IFERROR(__xludf.DUMMYFUNCTION("""COMPUTED_VALUE"""),"3주(19~21)")</f>
        <v>3주(19~21)</v>
      </c>
      <c r="D122" s="9">
        <f ca="1">IFERROR(__xludf.DUMMYFUNCTION("""COMPUTED_VALUE"""),1000)</f>
        <v>1000</v>
      </c>
      <c r="E122" s="10">
        <f ca="1">IFERROR(__xludf.DUMMYFUNCTION("""COMPUTED_VALUE"""),0.65)</f>
        <v>0.65</v>
      </c>
      <c r="F122" s="10">
        <f ca="1">IFERROR(__xludf.DUMMYFUNCTION("""COMPUTED_VALUE"""),0.26)</f>
        <v>0.26</v>
      </c>
      <c r="G122" s="10">
        <f ca="1">IFERROR(__xludf.DUMMYFUNCTION("""COMPUTED_VALUE"""),0.05)</f>
        <v>0.05</v>
      </c>
      <c r="H122" s="10">
        <f ca="1">IFERROR(__xludf.DUMMYFUNCTION("""COMPUTED_VALUE"""),0.04)</f>
        <v>0.04</v>
      </c>
      <c r="I122" s="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rlmeter</vt:lpstr>
      <vt:lpstr>gallup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Byeongjun Cho</cp:lastModifiedBy>
  <dcterms:modified xsi:type="dcterms:W3CDTF">2020-06-12T16:03:08Z</dcterms:modified>
</cp:coreProperties>
</file>