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d71f098f361c6e30/Formação/PhD/Aulas/LabHIDA/"/>
    </mc:Choice>
  </mc:AlternateContent>
  <xr:revisionPtr revIDLastSave="2500" documentId="8_{8545B527-8B56-46CF-AE64-BFCE2EC575D1}" xr6:coauthVersionLast="47" xr6:coauthVersionMax="47" xr10:uidLastSave="{881AE9C6-B030-48E3-ABA9-AD6DA5FFC702}"/>
  <bookViews>
    <workbookView xWindow="-108" yWindow="-108" windowWidth="23256" windowHeight="12456" activeTab="2" xr2:uid="{75F34EAE-E94D-47D0-98FD-2BDCE3AB5985}"/>
  </bookViews>
  <sheets>
    <sheet name="Análise" sheetId="8" r:id="rId1"/>
    <sheet name="Fonte Consumos" sheetId="9" r:id="rId2"/>
    <sheet name="Resistencias vs Consumos" sheetId="10" r:id="rId3"/>
    <sheet name="Costs" sheetId="11" r:id="rId4"/>
    <sheet name="Deaths and Dalys by PAT&amp;AB" sheetId="2" r:id="rId5"/>
    <sheet name="Deaths and DALYs by REG" sheetId="5" r:id="rId6"/>
    <sheet name="Deaths and DALYs by Age&amp;Reg" sheetId="7" r:id="rId7"/>
    <sheet name="Model components" sheetId="6" r:id="rId8"/>
    <sheet name="HAQ Index" sheetId="4" r:id="rId9"/>
    <sheet name="Sheet3" sheetId="3" r:id="rId10"/>
    <sheet name="Sheet1" sheetId="1" r:id="rId11"/>
  </sheets>
  <definedNames>
    <definedName name="solver_adj" localSheetId="0" hidden="1">Análise!#REF!</definedName>
    <definedName name="solver_eng" localSheetId="0" hidden="1">1</definedName>
    <definedName name="solver_lhs1" localSheetId="0" hidden="1">Análise!#REF!</definedName>
    <definedName name="solver_neg" localSheetId="0" hidden="1">1</definedName>
    <definedName name="solver_num" localSheetId="0" hidden="1">1</definedName>
    <definedName name="solver_opt" localSheetId="0" hidden="1">Análise!#REF!</definedName>
    <definedName name="solver_rel1" localSheetId="0" hidden="1">1</definedName>
    <definedName name="solver_rhs1" localSheetId="0" hidden="1">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0" l="1"/>
  <c r="N4" i="10"/>
  <c r="N5" i="10"/>
  <c r="N6" i="10"/>
  <c r="N7" i="10"/>
  <c r="N8" i="10"/>
  <c r="N9" i="10"/>
  <c r="N11" i="10"/>
  <c r="N12" i="10"/>
  <c r="N13" i="10"/>
  <c r="N14" i="10"/>
  <c r="N15" i="10"/>
  <c r="N16" i="10"/>
  <c r="N17" i="10"/>
  <c r="N18" i="10"/>
  <c r="N19" i="10"/>
  <c r="N3" i="10"/>
  <c r="O3" i="10"/>
  <c r="J14" i="11"/>
  <c r="I14" i="11"/>
  <c r="H14" i="11"/>
  <c r="J13" i="11"/>
  <c r="I13" i="11"/>
  <c r="H13" i="11"/>
  <c r="J12" i="11"/>
  <c r="I12" i="11"/>
  <c r="H12" i="11"/>
  <c r="J11" i="11"/>
  <c r="I11" i="11"/>
  <c r="H11" i="11"/>
  <c r="J10" i="11"/>
  <c r="I10" i="11"/>
  <c r="H10" i="11"/>
  <c r="J9" i="11"/>
  <c r="I9" i="11"/>
  <c r="H9" i="11"/>
  <c r="J8" i="11"/>
  <c r="I8" i="11"/>
  <c r="H8" i="11"/>
  <c r="J7" i="11"/>
  <c r="I7" i="11"/>
  <c r="H7" i="11"/>
  <c r="J6" i="11"/>
  <c r="I6" i="11"/>
  <c r="H6" i="11"/>
  <c r="J5" i="11"/>
  <c r="I5" i="11"/>
  <c r="H5" i="11"/>
  <c r="J4" i="11"/>
  <c r="I4" i="11"/>
  <c r="H4" i="11"/>
  <c r="J3" i="11"/>
  <c r="I3" i="11"/>
  <c r="H3" i="11"/>
  <c r="J4" i="10"/>
  <c r="J5" i="10"/>
  <c r="J6" i="10"/>
  <c r="J3" i="10"/>
  <c r="I12" i="10"/>
  <c r="K12" i="10" s="1"/>
  <c r="H6" i="10"/>
  <c r="G19" i="10"/>
  <c r="F19" i="10"/>
  <c r="G18" i="10"/>
  <c r="F18" i="10"/>
  <c r="G17" i="10"/>
  <c r="F17" i="10"/>
  <c r="G16" i="10"/>
  <c r="F16" i="10"/>
  <c r="G15" i="10"/>
  <c r="F15" i="10"/>
  <c r="G14" i="10"/>
  <c r="F14" i="10"/>
  <c r="G13" i="10"/>
  <c r="F13" i="10"/>
  <c r="G12" i="10"/>
  <c r="F12" i="10"/>
  <c r="G11" i="10"/>
  <c r="F11" i="10"/>
  <c r="E19" i="10"/>
  <c r="H19" i="10" s="1"/>
  <c r="J19" i="10" s="1"/>
  <c r="E18" i="10"/>
  <c r="H18" i="10" s="1"/>
  <c r="J18" i="10" s="1"/>
  <c r="E17" i="10"/>
  <c r="H17" i="10" s="1"/>
  <c r="J17" i="10" s="1"/>
  <c r="E16" i="10"/>
  <c r="H16" i="10" s="1"/>
  <c r="J16" i="10" s="1"/>
  <c r="E15" i="10"/>
  <c r="H15" i="10" s="1"/>
  <c r="J15" i="10" s="1"/>
  <c r="E14" i="10"/>
  <c r="H14" i="10" s="1"/>
  <c r="J14" i="10" s="1"/>
  <c r="E13" i="10"/>
  <c r="H13" i="10" s="1"/>
  <c r="J13" i="10" s="1"/>
  <c r="E12" i="10"/>
  <c r="H12" i="10" s="1"/>
  <c r="J12" i="10" s="1"/>
  <c r="E11" i="10"/>
  <c r="H11" i="10" s="1"/>
  <c r="J11" i="10" s="1"/>
  <c r="C9" i="10"/>
  <c r="H9" i="10" s="1"/>
  <c r="J9" i="10" s="1"/>
  <c r="C8" i="10"/>
  <c r="H8" i="10" s="1"/>
  <c r="J8" i="10" s="1"/>
  <c r="C7" i="10"/>
  <c r="H7" i="10" s="1"/>
  <c r="J7" i="10" s="1"/>
  <c r="B8" i="10"/>
  <c r="B9" i="10" s="1"/>
  <c r="B10" i="10" s="1"/>
  <c r="B11" i="10" s="1"/>
  <c r="B12" i="10" s="1"/>
  <c r="B13" i="10" s="1"/>
  <c r="B14" i="10" s="1"/>
  <c r="B15" i="10" s="1"/>
  <c r="B16" i="10" s="1"/>
  <c r="B17" i="10" s="1"/>
  <c r="B18" i="10" s="1"/>
  <c r="B19" i="10" s="1"/>
  <c r="C6" i="10"/>
  <c r="I6" i="10" s="1"/>
  <c r="K6" i="10" s="1"/>
  <c r="C5" i="10"/>
  <c r="I5" i="10" s="1"/>
  <c r="K5" i="10" s="1"/>
  <c r="C4" i="10"/>
  <c r="I4" i="10" s="1"/>
  <c r="K4" i="10" s="1"/>
  <c r="C3" i="10"/>
  <c r="D27" i="8"/>
  <c r="D35" i="8"/>
  <c r="D43" i="8"/>
  <c r="D51" i="8"/>
  <c r="D28" i="8"/>
  <c r="D36" i="8"/>
  <c r="D44" i="8"/>
  <c r="D52" i="8"/>
  <c r="D29" i="8"/>
  <c r="D37" i="8"/>
  <c r="D45" i="8"/>
  <c r="D53" i="8"/>
  <c r="D30" i="8"/>
  <c r="D38" i="8"/>
  <c r="D46" i="8"/>
  <c r="D54" i="8"/>
  <c r="D50" i="8"/>
  <c r="D31" i="8"/>
  <c r="D39" i="8"/>
  <c r="D47" i="8"/>
  <c r="D55" i="8"/>
  <c r="D32" i="8"/>
  <c r="D40" i="8"/>
  <c r="D48" i="8"/>
  <c r="D42" i="8"/>
  <c r="D33" i="8"/>
  <c r="D41" i="8"/>
  <c r="D49" i="8"/>
  <c r="D34" i="8"/>
  <c r="M19" i="10"/>
  <c r="M18" i="10"/>
  <c r="M17" i="10"/>
  <c r="M16" i="10"/>
  <c r="M15" i="10"/>
  <c r="M14" i="10"/>
  <c r="M13" i="10"/>
  <c r="M12" i="10"/>
  <c r="M11" i="10"/>
  <c r="M10" i="10"/>
  <c r="D26" i="8"/>
  <c r="E10" i="10" l="1"/>
  <c r="H10" i="10" s="1"/>
  <c r="J10" i="10" s="1"/>
  <c r="O17" i="10"/>
  <c r="P17" i="10" s="1"/>
  <c r="I17" i="10"/>
  <c r="K17" i="10" s="1"/>
  <c r="L17" i="10" s="1"/>
  <c r="I13" i="10"/>
  <c r="K13" i="10" s="1"/>
  <c r="L13" i="10" s="1"/>
  <c r="O13" i="10" s="1"/>
  <c r="L9" i="10"/>
  <c r="O9" i="10" s="1"/>
  <c r="P9" i="10" s="1"/>
  <c r="I3" i="10"/>
  <c r="K3" i="10" s="1"/>
  <c r="L3" i="10" s="1"/>
  <c r="P3" i="10" s="1"/>
  <c r="I19" i="10"/>
  <c r="K19" i="10" s="1"/>
  <c r="L19" i="10" s="1"/>
  <c r="I11" i="10"/>
  <c r="K11" i="10" s="1"/>
  <c r="L16" i="10"/>
  <c r="O16" i="10" s="1"/>
  <c r="P16" i="10" s="1"/>
  <c r="L8" i="10"/>
  <c r="O8" i="10" s="1"/>
  <c r="P8" i="10" s="1"/>
  <c r="I9" i="10"/>
  <c r="K9" i="10" s="1"/>
  <c r="I18" i="10"/>
  <c r="K18" i="10" s="1"/>
  <c r="L18" i="10" s="1"/>
  <c r="O18" i="10" s="1"/>
  <c r="P18" i="10" s="1"/>
  <c r="I8" i="10"/>
  <c r="K8" i="10" s="1"/>
  <c r="L6" i="10"/>
  <c r="O6" i="10" s="1"/>
  <c r="P6" i="10" s="1"/>
  <c r="I7" i="10"/>
  <c r="K7" i="10" s="1"/>
  <c r="L7" i="10" s="1"/>
  <c r="O7" i="10" s="1"/>
  <c r="P7" i="10" s="1"/>
  <c r="I16" i="10"/>
  <c r="K16" i="10" s="1"/>
  <c r="L5" i="10"/>
  <c r="O5" i="10" s="1"/>
  <c r="P5" i="10" s="1"/>
  <c r="I15" i="10"/>
  <c r="K15" i="10" s="1"/>
  <c r="L15" i="10" s="1"/>
  <c r="O15" i="10" s="1"/>
  <c r="P15" i="10" s="1"/>
  <c r="L12" i="10"/>
  <c r="O12" i="10" s="1"/>
  <c r="P12" i="10" s="1"/>
  <c r="L4" i="10"/>
  <c r="O4" i="10" s="1"/>
  <c r="P4" i="10" s="1"/>
  <c r="I14" i="10"/>
  <c r="K14" i="10" s="1"/>
  <c r="L14" i="10" s="1"/>
  <c r="O14" i="10" s="1"/>
  <c r="P14" i="10" s="1"/>
  <c r="O19" i="10"/>
  <c r="P19" i="10" s="1"/>
  <c r="L11" i="10"/>
  <c r="O11" i="10" s="1"/>
  <c r="P11" i="10" s="1"/>
  <c r="E9" i="10"/>
  <c r="F9" i="10" s="1"/>
  <c r="G9" i="10" s="1"/>
  <c r="M25" i="8"/>
  <c r="M24" i="8"/>
  <c r="M23" i="8"/>
  <c r="M22" i="8"/>
  <c r="M21" i="8"/>
  <c r="M20" i="8"/>
  <c r="M19" i="8"/>
  <c r="M18" i="8"/>
  <c r="M17" i="8"/>
  <c r="M16" i="8"/>
  <c r="M15" i="8"/>
  <c r="M14" i="8"/>
  <c r="M13" i="8"/>
  <c r="M11" i="8"/>
  <c r="M10" i="8"/>
  <c r="M9" i="8"/>
  <c r="M8" i="8"/>
  <c r="M7" i="8"/>
  <c r="M6" i="8"/>
  <c r="M5" i="8"/>
  <c r="M4" i="8"/>
  <c r="M3" i="8"/>
  <c r="M2" i="8"/>
  <c r="I25" i="8"/>
  <c r="I24" i="8"/>
  <c r="I23" i="8"/>
  <c r="I22" i="8"/>
  <c r="I21" i="8"/>
  <c r="I20" i="8"/>
  <c r="I19" i="8"/>
  <c r="I18" i="8"/>
  <c r="I17" i="8"/>
  <c r="I16" i="8"/>
  <c r="I15" i="8"/>
  <c r="I14" i="8"/>
  <c r="C25" i="8"/>
  <c r="C24" i="8"/>
  <c r="C23" i="8"/>
  <c r="C22" i="8"/>
  <c r="C21" i="8"/>
  <c r="C20" i="8"/>
  <c r="C19" i="8"/>
  <c r="AG19" i="8" s="1"/>
  <c r="AH19" i="8" s="1"/>
  <c r="C18" i="8"/>
  <c r="C17" i="8"/>
  <c r="C16" i="8"/>
  <c r="C15" i="8"/>
  <c r="C14" i="8"/>
  <c r="M12" i="8"/>
  <c r="AG14" i="8"/>
  <c r="AH14" i="8" s="1"/>
  <c r="AG22" i="8"/>
  <c r="AH22" i="8" s="1"/>
  <c r="D21" i="9"/>
  <c r="AH10" i="8"/>
  <c r="J25" i="8"/>
  <c r="K25" i="8" s="1"/>
  <c r="L25" i="8" s="1"/>
  <c r="D25" i="8"/>
  <c r="E25" i="8" s="1"/>
  <c r="F25" i="8" s="1"/>
  <c r="AG24" i="8"/>
  <c r="AH24" i="8" s="1"/>
  <c r="AG20" i="8"/>
  <c r="AH20" i="8" s="1"/>
  <c r="AG18" i="8"/>
  <c r="AH18" i="8" s="1"/>
  <c r="AG17" i="8"/>
  <c r="AH17" i="8" s="1"/>
  <c r="AG16" i="8"/>
  <c r="AH16" i="8" s="1"/>
  <c r="AK22" i="8"/>
  <c r="AL22" i="8" s="1"/>
  <c r="AM22" i="8" s="1"/>
  <c r="AF2" i="8"/>
  <c r="AG3" i="8"/>
  <c r="AH3" i="8" s="1"/>
  <c r="AG4" i="8"/>
  <c r="AH4" i="8" s="1"/>
  <c r="AG5" i="8"/>
  <c r="AH5" i="8" s="1"/>
  <c r="AG6" i="8"/>
  <c r="AH6" i="8" s="1"/>
  <c r="AG7" i="8"/>
  <c r="AH7" i="8" s="1"/>
  <c r="AG8" i="8"/>
  <c r="AH8" i="8" s="1"/>
  <c r="AG9" i="8"/>
  <c r="AH9" i="8" s="1"/>
  <c r="AG10" i="8"/>
  <c r="AG11" i="8"/>
  <c r="AH11" i="8" s="1"/>
  <c r="AG12" i="8"/>
  <c r="AH12" i="8" s="1"/>
  <c r="AG13" i="8"/>
  <c r="AH13" i="8" s="1"/>
  <c r="AG15" i="8"/>
  <c r="AH15" i="8" s="1"/>
  <c r="AG21" i="8"/>
  <c r="AH21" i="8" s="1"/>
  <c r="AG23" i="8"/>
  <c r="AH23" i="8" s="1"/>
  <c r="AG25" i="8"/>
  <c r="AH25" i="8" s="1"/>
  <c r="AG2" i="8"/>
  <c r="AH2" i="8" s="1"/>
  <c r="N25" i="8"/>
  <c r="O25" i="8" s="1"/>
  <c r="P25" i="8" s="1"/>
  <c r="B3" i="8"/>
  <c r="B4" i="8" s="1"/>
  <c r="B5" i="8" s="1"/>
  <c r="B6" i="8" s="1"/>
  <c r="B7" i="8" s="1"/>
  <c r="B8" i="8" s="1"/>
  <c r="B9" i="8" s="1"/>
  <c r="B10" i="8" s="1"/>
  <c r="B11" i="8" s="1"/>
  <c r="AF11" i="8" s="1"/>
  <c r="AK24" i="8"/>
  <c r="I10" i="10" l="1"/>
  <c r="K10" i="10" s="1"/>
  <c r="P13" i="10"/>
  <c r="Q13" i="10"/>
  <c r="Q17" i="10"/>
  <c r="Q12" i="10"/>
  <c r="Q15" i="10"/>
  <c r="Q18" i="10"/>
  <c r="Q11" i="10"/>
  <c r="Q19" i="10"/>
  <c r="Q16" i="10"/>
  <c r="Q14" i="10"/>
  <c r="Q8" i="10"/>
  <c r="Q6" i="10"/>
  <c r="Q4" i="10"/>
  <c r="Q7" i="10"/>
  <c r="Q9" i="10"/>
  <c r="Q5" i="10"/>
  <c r="AF3" i="8"/>
  <c r="AF10" i="8"/>
  <c r="AF9" i="8"/>
  <c r="AF6" i="8"/>
  <c r="AF4" i="8"/>
  <c r="AF8" i="8"/>
  <c r="AF7" i="8"/>
  <c r="AF5" i="8"/>
  <c r="B12" i="8"/>
  <c r="N10" i="10" l="1"/>
  <c r="L10" i="10"/>
  <c r="O10" i="10" s="1"/>
  <c r="B13" i="8"/>
  <c r="AF12" i="8"/>
  <c r="P10" i="10" l="1"/>
  <c r="Q10" i="10"/>
  <c r="B14" i="8"/>
  <c r="AF13" i="8"/>
  <c r="AF14" i="8" l="1"/>
  <c r="B15" i="8"/>
  <c r="AF15" i="8" l="1"/>
  <c r="B16" i="8"/>
  <c r="AF16" i="8" l="1"/>
  <c r="B17" i="8"/>
  <c r="AF17" i="8" l="1"/>
  <c r="B18" i="8"/>
  <c r="AF18" i="8" l="1"/>
  <c r="B19" i="8"/>
  <c r="AF19" i="8" l="1"/>
  <c r="B20" i="8"/>
  <c r="AF20" i="8" l="1"/>
  <c r="B21" i="8"/>
  <c r="AF21" i="8" l="1"/>
  <c r="B22" i="8"/>
  <c r="AF22" i="8" l="1"/>
  <c r="B23" i="8"/>
  <c r="AF23" i="8" l="1"/>
  <c r="B24" i="8"/>
  <c r="AK23" i="8"/>
  <c r="AF24" i="8" l="1"/>
  <c r="B25" i="8"/>
  <c r="AL23" i="8"/>
  <c r="AM23" i="8"/>
  <c r="AF25" i="8" l="1"/>
  <c r="B26" i="8"/>
  <c r="AM24" i="8"/>
  <c r="AL24" i="8"/>
  <c r="AK25" i="8"/>
  <c r="N26" i="8"/>
  <c r="J26" i="8"/>
  <c r="O26" i="8"/>
  <c r="P26" i="8"/>
  <c r="F26" i="8"/>
  <c r="E26" i="8"/>
  <c r="F10" i="10" l="1"/>
  <c r="G10" i="10"/>
  <c r="AG26" i="8"/>
  <c r="AH26" i="8" s="1"/>
  <c r="AF26" i="8"/>
  <c r="B27" i="8"/>
  <c r="AM25" i="8"/>
  <c r="AL25" i="8"/>
  <c r="AK26" i="8"/>
  <c r="N27" i="8"/>
  <c r="L26" i="8"/>
  <c r="K26" i="8"/>
  <c r="J27" i="8"/>
  <c r="E27" i="8"/>
  <c r="F27" i="8"/>
  <c r="O27" i="8"/>
  <c r="P27" i="8"/>
  <c r="AG27" i="8" l="1"/>
  <c r="AH27" i="8" s="1"/>
  <c r="AF27" i="8"/>
  <c r="B28" i="8"/>
  <c r="AL26" i="8"/>
  <c r="AM26" i="8"/>
  <c r="N28" i="8"/>
  <c r="AK27" i="8"/>
  <c r="L27" i="8"/>
  <c r="K27" i="8"/>
  <c r="J28" i="8"/>
  <c r="E28" i="8"/>
  <c r="F28" i="8"/>
  <c r="O28" i="8"/>
  <c r="P28" i="8"/>
  <c r="AG28" i="8" l="1"/>
  <c r="AH28" i="8" s="1"/>
  <c r="AF28" i="8"/>
  <c r="B29" i="8"/>
  <c r="AL27" i="8"/>
  <c r="AM27" i="8"/>
  <c r="N29" i="8"/>
  <c r="AK28" i="8"/>
  <c r="L28" i="8"/>
  <c r="K28" i="8"/>
  <c r="J29" i="8"/>
  <c r="E29" i="8"/>
  <c r="F29" i="8"/>
  <c r="O29" i="8"/>
  <c r="P29" i="8"/>
  <c r="AG29" i="8" l="1"/>
  <c r="AH29" i="8" s="1"/>
  <c r="AF29" i="8"/>
  <c r="B30" i="8"/>
  <c r="AM28" i="8"/>
  <c r="AK29" i="8"/>
  <c r="AL28" i="8"/>
  <c r="N30" i="8"/>
  <c r="K29" i="8"/>
  <c r="L29" i="8"/>
  <c r="J30" i="8"/>
  <c r="E30" i="8"/>
  <c r="F30" i="8"/>
  <c r="O30" i="8"/>
  <c r="P30" i="8"/>
  <c r="AG30" i="8" l="1"/>
  <c r="AH30" i="8" s="1"/>
  <c r="AF30" i="8"/>
  <c r="B31" i="8"/>
  <c r="AL29" i="8"/>
  <c r="AM29" i="8"/>
  <c r="AK30" i="8"/>
  <c r="N31" i="8"/>
  <c r="L30" i="8"/>
  <c r="J31" i="8"/>
  <c r="K30" i="8"/>
  <c r="E31" i="8"/>
  <c r="F31" i="8"/>
  <c r="O31" i="8"/>
  <c r="P31" i="8"/>
  <c r="AG31" i="8" l="1"/>
  <c r="AH31" i="8" s="1"/>
  <c r="AF31" i="8"/>
  <c r="B32" i="8"/>
  <c r="AL30" i="8"/>
  <c r="N32" i="8"/>
  <c r="AM30" i="8"/>
  <c r="AK31" i="8"/>
  <c r="L31" i="8"/>
  <c r="K31" i="8"/>
  <c r="J32" i="8"/>
  <c r="E32" i="8"/>
  <c r="F32" i="8"/>
  <c r="O32" i="8"/>
  <c r="P32" i="8"/>
  <c r="AG32" i="8" l="1"/>
  <c r="AH32" i="8" s="1"/>
  <c r="AF32" i="8"/>
  <c r="B33" i="8"/>
  <c r="AL31" i="8"/>
  <c r="AM31" i="8"/>
  <c r="N33" i="8"/>
  <c r="AK32" i="8"/>
  <c r="K32" i="8"/>
  <c r="J33" i="8"/>
  <c r="L32" i="8"/>
  <c r="E33" i="8"/>
  <c r="F33" i="8"/>
  <c r="O33" i="8"/>
  <c r="P33" i="8"/>
  <c r="AG33" i="8" l="1"/>
  <c r="AH33" i="8" s="1"/>
  <c r="AF33" i="8"/>
  <c r="B34" i="8"/>
  <c r="AM32" i="8"/>
  <c r="N34" i="8"/>
  <c r="AL32" i="8"/>
  <c r="AK33" i="8"/>
  <c r="L33" i="8"/>
  <c r="J34" i="8"/>
  <c r="K33" i="8"/>
  <c r="E34" i="8"/>
  <c r="F34" i="8"/>
  <c r="O34" i="8"/>
  <c r="P34" i="8"/>
  <c r="AG34" i="8" l="1"/>
  <c r="AH34" i="8" s="1"/>
  <c r="AF34" i="8"/>
  <c r="B35" i="8"/>
  <c r="AM33" i="8"/>
  <c r="AL33" i="8"/>
  <c r="N35" i="8"/>
  <c r="AK34" i="8"/>
  <c r="K34" i="8"/>
  <c r="L34" i="8"/>
  <c r="J35" i="8"/>
  <c r="E35" i="8"/>
  <c r="F35" i="8"/>
  <c r="O35" i="8"/>
  <c r="P35" i="8"/>
  <c r="AD44" i="8" l="1"/>
  <c r="AD25" i="8"/>
  <c r="AD5" i="8"/>
  <c r="AG35" i="8"/>
  <c r="AH35" i="8" s="1"/>
  <c r="AF35" i="8"/>
  <c r="B36" i="8"/>
  <c r="AM34" i="8"/>
  <c r="AL34" i="8"/>
  <c r="N36" i="8"/>
  <c r="AK35" i="8"/>
  <c r="L35" i="8"/>
  <c r="K35" i="8"/>
  <c r="J36" i="8"/>
  <c r="E36" i="8"/>
  <c r="F36" i="8"/>
  <c r="O36" i="8"/>
  <c r="P36" i="8"/>
  <c r="AG36" i="8" l="1"/>
  <c r="AH36" i="8" s="1"/>
  <c r="AF36" i="8"/>
  <c r="B37" i="8"/>
  <c r="AL35" i="8"/>
  <c r="AK36" i="8"/>
  <c r="AM35" i="8"/>
  <c r="N37" i="8"/>
  <c r="K36" i="8"/>
  <c r="L36" i="8"/>
  <c r="J37" i="8"/>
  <c r="E37" i="8"/>
  <c r="F37" i="8"/>
  <c r="O37" i="8"/>
  <c r="P37" i="8"/>
  <c r="AG37" i="8" l="1"/>
  <c r="AH37" i="8" s="1"/>
  <c r="AF37" i="8"/>
  <c r="B38" i="8"/>
  <c r="AM36" i="8"/>
  <c r="AL36" i="8"/>
  <c r="AK37" i="8"/>
  <c r="N38" i="8"/>
  <c r="K37" i="8"/>
  <c r="L37" i="8"/>
  <c r="J38" i="8"/>
  <c r="E38" i="8"/>
  <c r="F38" i="8"/>
  <c r="O38" i="8"/>
  <c r="P38" i="8"/>
  <c r="AG38" i="8" l="1"/>
  <c r="AH38" i="8" s="1"/>
  <c r="AF38" i="8"/>
  <c r="B39" i="8"/>
  <c r="AM37" i="8"/>
  <c r="N39" i="8"/>
  <c r="AL37" i="8"/>
  <c r="AK38" i="8"/>
  <c r="L38" i="8"/>
  <c r="J39" i="8"/>
  <c r="K38" i="8"/>
  <c r="E39" i="8"/>
  <c r="F39" i="8"/>
  <c r="O39" i="8"/>
  <c r="P39" i="8"/>
  <c r="AG39" i="8" l="1"/>
  <c r="AH39" i="8" s="1"/>
  <c r="AF39" i="8"/>
  <c r="B40" i="8"/>
  <c r="AM38" i="8"/>
  <c r="AK39" i="8"/>
  <c r="AL38" i="8"/>
  <c r="N40" i="8"/>
  <c r="L39" i="8"/>
  <c r="K39" i="8"/>
  <c r="J40" i="8"/>
  <c r="E40" i="8"/>
  <c r="F40" i="8"/>
  <c r="O40" i="8"/>
  <c r="P40" i="8"/>
  <c r="AG40" i="8" l="1"/>
  <c r="AH40" i="8" s="1"/>
  <c r="AF40" i="8"/>
  <c r="B41" i="8"/>
  <c r="AL39" i="8"/>
  <c r="AM39" i="8"/>
  <c r="AK40" i="8"/>
  <c r="N41" i="8"/>
  <c r="L40" i="8"/>
  <c r="J41" i="8"/>
  <c r="K40" i="8"/>
  <c r="E41" i="8"/>
  <c r="F41" i="8"/>
  <c r="O41" i="8"/>
  <c r="P41" i="8"/>
  <c r="AG41" i="8" l="1"/>
  <c r="AH41" i="8" s="1"/>
  <c r="AF41" i="8"/>
  <c r="B42" i="8"/>
  <c r="AL40" i="8"/>
  <c r="AM40" i="8"/>
  <c r="AK41" i="8"/>
  <c r="N42" i="8"/>
  <c r="K41" i="8"/>
  <c r="J42" i="8"/>
  <c r="L41" i="8"/>
  <c r="E42" i="8"/>
  <c r="F42" i="8"/>
  <c r="O42" i="8"/>
  <c r="P42" i="8"/>
  <c r="AG42" i="8" l="1"/>
  <c r="AH42" i="8" s="1"/>
  <c r="AF42" i="8"/>
  <c r="B43" i="8"/>
  <c r="AM41" i="8"/>
  <c r="AK42" i="8"/>
  <c r="AL41" i="8"/>
  <c r="N43" i="8"/>
  <c r="L42" i="8"/>
  <c r="K42" i="8"/>
  <c r="J43" i="8"/>
  <c r="E43" i="8"/>
  <c r="F43" i="8"/>
  <c r="O43" i="8"/>
  <c r="P43" i="8"/>
  <c r="AG43" i="8" l="1"/>
  <c r="AH43" i="8" s="1"/>
  <c r="AF43" i="8"/>
  <c r="B44" i="8"/>
  <c r="AM42" i="8"/>
  <c r="AL42" i="8"/>
  <c r="AK43" i="8"/>
  <c r="N44" i="8"/>
  <c r="L43" i="8"/>
  <c r="K43" i="8"/>
  <c r="J44" i="8"/>
  <c r="E44" i="8"/>
  <c r="F44" i="8"/>
  <c r="O44" i="8"/>
  <c r="P44" i="8"/>
  <c r="AG44" i="8" l="1"/>
  <c r="AH44" i="8" s="1"/>
  <c r="AF44" i="8"/>
  <c r="B45" i="8"/>
  <c r="AL43" i="8"/>
  <c r="N45" i="8"/>
  <c r="AK44" i="8"/>
  <c r="AM43" i="8"/>
  <c r="L44" i="8"/>
  <c r="J45" i="8"/>
  <c r="K44" i="8"/>
  <c r="E45" i="8"/>
  <c r="F45" i="8"/>
  <c r="O45" i="8"/>
  <c r="P45" i="8"/>
  <c r="AG45" i="8" l="1"/>
  <c r="AH45" i="8" s="1"/>
  <c r="AF45" i="8"/>
  <c r="B46" i="8"/>
  <c r="AL44" i="8"/>
  <c r="N46" i="8"/>
  <c r="AM44" i="8"/>
  <c r="AK45" i="8"/>
  <c r="K45" i="8"/>
  <c r="J46" i="8"/>
  <c r="L45" i="8"/>
  <c r="E46" i="8"/>
  <c r="F46" i="8"/>
  <c r="O46" i="8"/>
  <c r="P46" i="8"/>
  <c r="AG46" i="8" l="1"/>
  <c r="AH46" i="8" s="1"/>
  <c r="AF46" i="8"/>
  <c r="B47" i="8"/>
  <c r="AL45" i="8"/>
  <c r="AM45" i="8"/>
  <c r="N47" i="8"/>
  <c r="AK46" i="8"/>
  <c r="L46" i="8"/>
  <c r="J47" i="8"/>
  <c r="K46" i="8"/>
  <c r="E47" i="8"/>
  <c r="F47" i="8"/>
  <c r="O47" i="8"/>
  <c r="P47" i="8"/>
  <c r="AG47" i="8" l="1"/>
  <c r="AH47" i="8" s="1"/>
  <c r="AF47" i="8"/>
  <c r="B48" i="8"/>
  <c r="AM46" i="8"/>
  <c r="AL46" i="8"/>
  <c r="N48" i="8"/>
  <c r="AK47" i="8"/>
  <c r="L47" i="8"/>
  <c r="K47" i="8"/>
  <c r="J48" i="8"/>
  <c r="E48" i="8"/>
  <c r="F48" i="8"/>
  <c r="O48" i="8"/>
  <c r="P48" i="8"/>
  <c r="AG48" i="8" l="1"/>
  <c r="AH48" i="8" s="1"/>
  <c r="AF48" i="8"/>
  <c r="B49" i="8"/>
  <c r="AM47" i="8"/>
  <c r="AL47" i="8"/>
  <c r="N49" i="8"/>
  <c r="AK48" i="8"/>
  <c r="L48" i="8"/>
  <c r="J49" i="8"/>
  <c r="K48" i="8"/>
  <c r="E49" i="8"/>
  <c r="F49" i="8"/>
  <c r="O49" i="8"/>
  <c r="P49" i="8"/>
  <c r="AG49" i="8" l="1"/>
  <c r="AH49" i="8" s="1"/>
  <c r="AF49" i="8"/>
  <c r="B50" i="8"/>
  <c r="AL48" i="8"/>
  <c r="AM48" i="8"/>
  <c r="N50" i="8"/>
  <c r="AK49" i="8"/>
  <c r="L49" i="8"/>
  <c r="K49" i="8"/>
  <c r="J50" i="8"/>
  <c r="E50" i="8"/>
  <c r="F50" i="8"/>
  <c r="O50" i="8"/>
  <c r="P50" i="8"/>
  <c r="AG50" i="8" l="1"/>
  <c r="AH50" i="8" s="1"/>
  <c r="AF50" i="8"/>
  <c r="B51" i="8"/>
  <c r="AL49" i="8"/>
  <c r="N51" i="8"/>
  <c r="AK50" i="8"/>
  <c r="AM49" i="8"/>
  <c r="L50" i="8"/>
  <c r="K50" i="8"/>
  <c r="J51" i="8"/>
  <c r="E51" i="8"/>
  <c r="F51" i="8"/>
  <c r="O51" i="8"/>
  <c r="P51" i="8"/>
  <c r="AG51" i="8" l="1"/>
  <c r="AH51" i="8" s="1"/>
  <c r="AF51" i="8"/>
  <c r="B52" i="8"/>
  <c r="AM50" i="8"/>
  <c r="AL50" i="8"/>
  <c r="N52" i="8"/>
  <c r="AK51" i="8"/>
  <c r="L51" i="8"/>
  <c r="K51" i="8"/>
  <c r="J52" i="8"/>
  <c r="E52" i="8"/>
  <c r="F52" i="8"/>
  <c r="O52" i="8"/>
  <c r="P52" i="8"/>
  <c r="AG52" i="8" l="1"/>
  <c r="AH52" i="8" s="1"/>
  <c r="AF52" i="8"/>
  <c r="B53" i="8"/>
  <c r="AM51" i="8"/>
  <c r="N53" i="8"/>
  <c r="AK52" i="8"/>
  <c r="AL51" i="8"/>
  <c r="L52" i="8"/>
  <c r="K52" i="8"/>
  <c r="J53" i="8"/>
  <c r="E53" i="8"/>
  <c r="F53" i="8"/>
  <c r="O53" i="8"/>
  <c r="P53" i="8"/>
  <c r="AG53" i="8" l="1"/>
  <c r="AH53" i="8" s="1"/>
  <c r="AF53" i="8"/>
  <c r="B54" i="8"/>
  <c r="AM52" i="8"/>
  <c r="AL52" i="8"/>
  <c r="AK53" i="8"/>
  <c r="N54" i="8"/>
  <c r="K53" i="8"/>
  <c r="J54" i="8"/>
  <c r="L53" i="8"/>
  <c r="E54" i="8"/>
  <c r="F54" i="8"/>
  <c r="O54" i="8"/>
  <c r="P54" i="8"/>
  <c r="AG54" i="8" l="1"/>
  <c r="AH54" i="8" s="1"/>
  <c r="AF54" i="8"/>
  <c r="B55" i="8"/>
  <c r="AL53" i="8"/>
  <c r="AM53" i="8"/>
  <c r="AK54" i="8"/>
  <c r="N55" i="8"/>
  <c r="K54" i="8"/>
  <c r="L54" i="8"/>
  <c r="J55" i="8"/>
  <c r="E55" i="8"/>
  <c r="F55" i="8"/>
  <c r="O55" i="8"/>
  <c r="P55" i="8"/>
  <c r="AG55" i="8" l="1"/>
  <c r="AH55" i="8" s="1"/>
  <c r="AF55" i="8"/>
  <c r="AL54" i="8"/>
  <c r="AM54" i="8"/>
  <c r="AK55" i="8"/>
  <c r="L55" i="8"/>
  <c r="K55" i="8"/>
  <c r="AL55" i="8"/>
  <c r="AM55" i="8"/>
</calcChain>
</file>

<file path=xl/sharedStrings.xml><?xml version="1.0" encoding="utf-8"?>
<sst xmlns="http://schemas.openxmlformats.org/spreadsheetml/2006/main" count="1160" uniqueCount="861">
  <si>
    <t>Parameter</t>
  </si>
  <si>
    <t>Region</t>
  </si>
  <si>
    <t>Source</t>
  </si>
  <si>
    <t>Value</t>
  </si>
  <si>
    <t>Rationale</t>
  </si>
  <si>
    <t>https://www.thelancet.com/cms/10.1016/S0140-6736(21)02724-0/attachment/b227deb3-ff04-497f-82ac-637d8ab7f679/mmc1.pdf</t>
  </si>
  <si>
    <t>Central Europe, eastern Europe, and central Asia</t>
  </si>
  <si>
    <t>27.9% (20.5 - 35.8)</t>
  </si>
  <si>
    <t>Urinary tract infections and pyelonephritis</t>
  </si>
  <si>
    <t>48.4% (32.4 - 61.5)</t>
  </si>
  <si>
    <t>Model predictions for proportion of deaths in 2019 that were hospital-acquired by GBD super-region and infectious syndrome</t>
  </si>
  <si>
    <t>Title</t>
  </si>
  <si>
    <t>Lower respiratory infections and all related infections in the thorax</t>
  </si>
  <si>
    <t>Table S22. Global deaths and DALYs (in counts and all-age rates) associated with and attributable to bacterial antimicrobial resistance by pathogen–drug combination, 2019</t>
  </si>
  <si>
    <t>Associated with resistance</t>
  </si>
  <si>
    <t>Attributable to resistance</t>
  </si>
  <si>
    <t>Pathogen</t>
  </si>
  <si>
    <t>Antibiotic Class</t>
  </si>
  <si>
    <t>Deaths</t>
  </si>
  <si>
    <t>DALYs</t>
  </si>
  <si>
    <t>Counts (thousands)</t>
  </si>
  <si>
    <t>Rate per 100 000</t>
  </si>
  <si>
    <t>All pathogens</t>
  </si>
  <si>
    <t>Resistance to one or more antibiotics</t>
  </si>
  <si>
    <t>4,950 (3,620-6,570)</t>
  </si>
  <si>
    <t>64.0 (46.8-84.9)</t>
  </si>
  <si>
    <t>192,000 (146,000-248,000)</t>
  </si>
  <si>
    <t>2,477.7 (1,889.9-3,199.1)</t>
  </si>
  <si>
    <t>1,270 (911-1,710)</t>
  </si>
  <si>
    <t>16.4 (11.8-22.0)</t>
  </si>
  <si>
    <t>47,900 (35,300-63,700)</t>
  </si>
  <si>
    <t>618.7 (455.7-823.2)</t>
  </si>
  <si>
    <t>Acinetobacter baumannii</t>
  </si>
  <si>
    <t>Aminoglycosides</t>
  </si>
  <si>
    <t>239 (140-374)</t>
  </si>
  <si>
    <t>3.1 (1.8-4.8)</t>
  </si>
  <si>
    <t>6,730 (4,120-10,300)</t>
  </si>
  <si>
    <t>86.9 (53.3-133.5)</t>
  </si>
  <si>
    <t>10.4 (0-26.7)</t>
  </si>
  <si>
    <t>0.1 (0.0-0.3)</t>
  </si>
  <si>
    <t>296 (1.84-737)</t>
  </si>
  <si>
    <t>3.8 (0.0-9.5)</t>
  </si>
  <si>
    <t>Anti-pseudomonal penicillin/Beta-Lactamase inhibitors</t>
  </si>
  <si>
    <t>359 (213-551)</t>
  </si>
  <si>
    <t>4.6 (2.8-7.1)</t>
  </si>
  <si>
    <t>10,300 (6,400-15,600)</t>
  </si>
  <si>
    <t>132.7 (82.7-202.2)</t>
  </si>
  <si>
    <t>13.3 (6.88-22.6)</t>
  </si>
  <si>
    <t>0.2 (0.1-0.3)</t>
  </si>
  <si>
    <t>463 (243-753)</t>
  </si>
  <si>
    <t>6.0 (3.1-9.7)</t>
  </si>
  <si>
    <t>Beta Lactam/Beta-lactamase inhibitors</t>
  </si>
  <si>
    <t>306 (182-469)</t>
  </si>
  <si>
    <t>3.9 (2.4-6.1)</t>
  </si>
  <si>
    <t>8,490 (5,260-13,000)</t>
  </si>
  <si>
    <t>109.8 (68.0-167.5)</t>
  </si>
  <si>
    <t>0.811 (0.219-1.65)</t>
  </si>
  <si>
    <t>0.0 (0.0-0.0)</t>
  </si>
  <si>
    <t>17.3 (4.64-35.1)</t>
  </si>
  <si>
    <t>0.2 (0.1-0.5)</t>
  </si>
  <si>
    <t>Carbapenem</t>
  </si>
  <si>
    <t>326 (192-504)</t>
  </si>
  <si>
    <t>4.2 (2.5-6.5)</t>
  </si>
  <si>
    <t>8,790 (5,380-13,400)</t>
  </si>
  <si>
    <t>113.6 (69.5-173.5)</t>
  </si>
  <si>
    <t>57.7 (30.3-102)</t>
  </si>
  <si>
    <t>0.7 (0.4-1.3)</t>
  </si>
  <si>
    <t>1,540 (817-2,630)</t>
  </si>
  <si>
    <t>19.9 (10.6-34.0)</t>
  </si>
  <si>
    <t>Fluoroquinolones</t>
  </si>
  <si>
    <t>316 (186-488)</t>
  </si>
  <si>
    <t>4.1 (2.4-6.3)</t>
  </si>
  <si>
    <t>8,800 (5,390-13,300)</t>
  </si>
  <si>
    <t>113.7 (69.7-172.0)</t>
  </si>
  <si>
    <t>40 (19.8-66.6)</t>
  </si>
  <si>
    <t>0.5 (0.3-0.9)</t>
  </si>
  <si>
    <t>1,120 (557-1,880)</t>
  </si>
  <si>
    <t>14.4 (7.2-24.3)</t>
  </si>
  <si>
    <t>Fourth-generation cephalosporins</t>
  </si>
  <si>
    <t>360 (212-554)</t>
  </si>
  <si>
    <t>4.7 (2.7-7.2)</t>
  </si>
  <si>
    <t>9,880 (6,090-15,000)</t>
  </si>
  <si>
    <t>127.7 (78.7-194.4)</t>
  </si>
  <si>
    <t>3.28 (1.36-6.27)</t>
  </si>
  <si>
    <t>0.0 (0.0-0.1)</t>
  </si>
  <si>
    <t>79.1 (33.7-150)</t>
  </si>
  <si>
    <t>1.0 (0.4-1.9)</t>
  </si>
  <si>
    <t>Third-generation cephalosporins</t>
  </si>
  <si>
    <t>377 (222-575)</t>
  </si>
  <si>
    <t>4.9 (2.9-7.4)</t>
  </si>
  <si>
    <t>10,400 (6,430-15,800)</t>
  </si>
  <si>
    <t>134.3 (83.1-204.6)</t>
  </si>
  <si>
    <t>6.86 (2.66-12.9)</t>
  </si>
  <si>
    <t>0.1 (0.0-0.2)</t>
  </si>
  <si>
    <t>163 (64.7-306)</t>
  </si>
  <si>
    <t>2.1 (0.8-4.0)</t>
  </si>
  <si>
    <t>423 (252-647)</t>
  </si>
  <si>
    <t>5.5 (3.3-8.4)</t>
  </si>
  <si>
    <t>11,800 (7,290-17,800)</t>
  </si>
  <si>
    <t>152.3 (94.2-229.8)</t>
  </si>
  <si>
    <t>132 (75.7-213)</t>
  </si>
  <si>
    <t>1.7 (1.0-2.8)</t>
  </si>
  <si>
    <t>3,670 (2,150-5,760)</t>
  </si>
  <si>
    <t>47.5 (27.8-74.5)</t>
  </si>
  <si>
    <r>
      <t xml:space="preserve">Citrobacter </t>
    </r>
    <r>
      <rPr>
        <sz val="8"/>
        <color theme="1"/>
        <rFont val="Times New Roman"/>
        <family val="1"/>
      </rPr>
      <t>spp.</t>
    </r>
  </si>
  <si>
    <t>8.48 (5.23-12.8)</t>
  </si>
  <si>
    <t>0.1 (0.1-0.2)</t>
  </si>
  <si>
    <t>384 (234-584)</t>
  </si>
  <si>
    <t>5.0 (3.0-7.5)</t>
  </si>
  <si>
    <t>0.411 (0-1)</t>
  </si>
  <si>
    <t>18.6 (0-45.2)</t>
  </si>
  <si>
    <t>0.2 (0.0-0.6)</t>
  </si>
  <si>
    <t>14.1 (8.65-21.7)</t>
  </si>
  <si>
    <t>568 (348-867)</t>
  </si>
  <si>
    <t>7.3 (4.5-11.2)</t>
  </si>
  <si>
    <t>2.17 (1-3.78)</t>
  </si>
  <si>
    <t>83.9 (41.8-147)</t>
  </si>
  <si>
    <t>1.1 (0.5-1.9)</t>
  </si>
  <si>
    <t>10.4 (6.18-16.1)</t>
  </si>
  <si>
    <t>404 (242-621)</t>
  </si>
  <si>
    <t>5.2 (3.1-8.0)</t>
  </si>
  <si>
    <t>2.3 (1.15-4)</t>
  </si>
  <si>
    <t>87.5 (44.1-151)</t>
  </si>
  <si>
    <t>1.1 (0.6-1.9)</t>
  </si>
  <si>
    <t>17.9 (10.9-27.3)</t>
  </si>
  <si>
    <t>0.2 (0.1-0.4)</t>
  </si>
  <si>
    <t>734 (451-1,110)</t>
  </si>
  <si>
    <t>9.5 (5.8-14.4)</t>
  </si>
  <si>
    <t>2.51 (1.12-4.58)</t>
  </si>
  <si>
    <t>102 (46.4-191)</t>
  </si>
  <si>
    <t>1.3 (0.6-2.5)</t>
  </si>
  <si>
    <t>18.7 (11.4-28.4)</t>
  </si>
  <si>
    <t>821 (498-1,260)</t>
  </si>
  <si>
    <t>10.6 (6.4-16.2)</t>
  </si>
  <si>
    <t>1.34 (0.577-2.53)</t>
  </si>
  <si>
    <t>60.7 (27-109)</t>
  </si>
  <si>
    <t>0.8 (0.3-1.4)</t>
  </si>
  <si>
    <t>28.1 (17.3-43)</t>
  </si>
  <si>
    <t>0.4 (0.2-0.6)</t>
  </si>
  <si>
    <t>1,120 (689-1,700)</t>
  </si>
  <si>
    <t>14.5 (8.9-21.9)</t>
  </si>
  <si>
    <t>1.84 (0.762-3.38)</t>
  </si>
  <si>
    <t>63.4 (26-115)</t>
  </si>
  <si>
    <t>0.8 (0.3-1.5)</t>
  </si>
  <si>
    <t>35.5 (21.7-52.9)</t>
  </si>
  <si>
    <t>0.5 (0.3-0.7)</t>
  </si>
  <si>
    <t>1,400 (861-2,110)</t>
  </si>
  <si>
    <t>18.1 (11.1-27.2)</t>
  </si>
  <si>
    <t>10.6 (5.93-17.3)</t>
  </si>
  <si>
    <t>416 (237-668)</t>
  </si>
  <si>
    <t>5.4 (3.1-8.6)</t>
  </si>
  <si>
    <r>
      <t xml:space="preserve">Enterobacter </t>
    </r>
    <r>
      <rPr>
        <sz val="8"/>
        <color theme="1"/>
        <rFont val="Times New Roman"/>
        <family val="1"/>
      </rPr>
      <t>spp.</t>
    </r>
  </si>
  <si>
    <t>51.6 (34.9-73.6)</t>
  </si>
  <si>
    <t>0.7 (0.5-1.0)</t>
  </si>
  <si>
    <t>2,310 (1,600-3,280)</t>
  </si>
  <si>
    <t>29.9 (20.7-42.3)</t>
  </si>
  <si>
    <t>3 (0.879-5.87)</t>
  </si>
  <si>
    <t>135 (40.2-253)</t>
  </si>
  <si>
    <t>1.7 (0.5-3.3)</t>
  </si>
  <si>
    <t>99.2 (65.3-142)</t>
  </si>
  <si>
    <t>1.3 (0.8-1.8)</t>
  </si>
  <si>
    <t>3,640 (2,460-5,230)</t>
  </si>
  <si>
    <t>47.0 (31.8-67.6)</t>
  </si>
  <si>
    <t>9.95 (5.61-15.9)</t>
  </si>
  <si>
    <t>337 (190-532)</t>
  </si>
  <si>
    <t>4.4 (2.5-6.9)</t>
  </si>
  <si>
    <t>61.6 (40-90.1)</t>
  </si>
  <si>
    <t>0.8 (0.5-1.2)</t>
  </si>
  <si>
    <t>2,340 (1,550-3,350)</t>
  </si>
  <si>
    <t>30.2 (20.1-43.3)</t>
  </si>
  <si>
    <t>15.3 (8.87-24.2)</t>
  </si>
  <si>
    <t>568 (334-884)</t>
  </si>
  <si>
    <t>7.3 (4.3-11.4)</t>
  </si>
  <si>
    <t>74.7 (49.2-107)</t>
  </si>
  <si>
    <t>1.0 (0.6-1.4)</t>
  </si>
  <si>
    <t>3,150 (2,160-4,560)</t>
  </si>
  <si>
    <t>40.6 (27.9-59.0)</t>
  </si>
  <si>
    <t>7.8 (4.15-13.2)</t>
  </si>
  <si>
    <t>319 (176-544)</t>
  </si>
  <si>
    <t>4.1 (2.3-7.0)</t>
  </si>
  <si>
    <t>112 (74.5-159)</t>
  </si>
  <si>
    <t>1.4 (1.0-2.1)</t>
  </si>
  <si>
    <t>4,730 (3,270-6,720)</t>
  </si>
  <si>
    <t>61.1 (42.2-86.9)</t>
  </si>
  <si>
    <t>5.32 (2.66-9.29)</t>
  </si>
  <si>
    <t>0.1 (0.0-0.1)</t>
  </si>
  <si>
    <t>238 (119-412)</t>
  </si>
  <si>
    <t>3.1 (1.5-5.3)</t>
  </si>
  <si>
    <t>Trimethoprim-Sulfamethoxazole</t>
  </si>
  <si>
    <t>87.5 (57.6-125)</t>
  </si>
  <si>
    <t>1.1 (0.7-1.6)</t>
  </si>
  <si>
    <t>3,580 (2,470-4,960)</t>
  </si>
  <si>
    <t>46.3 (31.9-64.1)</t>
  </si>
  <si>
    <t>4.65 (0-9.8)</t>
  </si>
  <si>
    <t>180 (0-377)</t>
  </si>
  <si>
    <t>2.3 (0.0-4.9)</t>
  </si>
  <si>
    <t>185 (122-264)</t>
  </si>
  <si>
    <t>2.4 (1.6-3.4)</t>
  </si>
  <si>
    <t>7,070 (4,830-10,000)</t>
  </si>
  <si>
    <t>91.4 (62.4-129.8)</t>
  </si>
  <si>
    <t>46.1 (29.6-67.1)</t>
  </si>
  <si>
    <t>0.6 (0.4-0.9)</t>
  </si>
  <si>
    <t>1,780 (1,160-2,580)</t>
  </si>
  <si>
    <t>23.0 (15.1-33.4)</t>
  </si>
  <si>
    <t>Enterococcus faecalis</t>
  </si>
  <si>
    <t>109 (66.6-162)</t>
  </si>
  <si>
    <t>1.4 (0.9-2.1)</t>
  </si>
  <si>
    <t>3,780 (2,460-5,450)</t>
  </si>
  <si>
    <t>48.9 (31.8-70.5)</t>
  </si>
  <si>
    <t>26.8 (12.4-47.3)</t>
  </si>
  <si>
    <t>0.3 (0.2-0.6)</t>
  </si>
  <si>
    <t>930 (455-1,560)</t>
  </si>
  <si>
    <t>12.0 (5.9-20.2)</t>
  </si>
  <si>
    <t>Vancomycin</t>
  </si>
  <si>
    <t>12.1 (7.25-19.6)</t>
  </si>
  <si>
    <t>403 (253-611)</t>
  </si>
  <si>
    <t>5.2 (3.3-7.9)</t>
  </si>
  <si>
    <t>3.42 (1.46-6.48)</t>
  </si>
  <si>
    <t>111 (48.2-209)</t>
  </si>
  <si>
    <t>1.4 (0.6-2.7)</t>
  </si>
  <si>
    <t>112 (69.2-167)</t>
  </si>
  <si>
    <t>1.4 (0.9-2.2)</t>
  </si>
  <si>
    <t>3,880 (2,540-5,610)</t>
  </si>
  <si>
    <t>50.2 (32.8-72.5)</t>
  </si>
  <si>
    <t>30.2 (15.5-51.2)</t>
  </si>
  <si>
    <t>0.4 (0.2-0.7)</t>
  </si>
  <si>
    <t>1,040 (545-1,700)</t>
  </si>
  <si>
    <t>13.4 (7.0-22.0)</t>
  </si>
  <si>
    <t>Enterococcus faecium</t>
  </si>
  <si>
    <t>198 (122-300)</t>
  </si>
  <si>
    <t>2.6 (1.6-3.9)</t>
  </si>
  <si>
    <t>5,390 (3,290-8,340)</t>
  </si>
  <si>
    <t>69.6 (42.5-107.8)</t>
  </si>
  <si>
    <t>37.2 (11-70.7)</t>
  </si>
  <si>
    <t>0.5 (0.1-0.9)</t>
  </si>
  <si>
    <t>1,020 (303-1,930)</t>
  </si>
  <si>
    <t>13.1 (3.9-25.0)</t>
  </si>
  <si>
    <t>59.9 (37.3-92.1)</t>
  </si>
  <si>
    <t>1,610 (990-2,490)</t>
  </si>
  <si>
    <t>20.8 (12.8-32.2)</t>
  </si>
  <si>
    <t>14.3 (7.19-24.7)</t>
  </si>
  <si>
    <t>384 (192-667)</t>
  </si>
  <si>
    <t>5.0 (2.5-8.6)</t>
  </si>
  <si>
    <t>200 (123-303)</t>
  </si>
  <si>
    <t>5,440 (3,320-8,420)</t>
  </si>
  <si>
    <t>70.3 (42.9-108.8)</t>
  </si>
  <si>
    <t>51.5 (27.1-87.7)</t>
  </si>
  <si>
    <t>0.7 (0.4-1.1)</t>
  </si>
  <si>
    <t>1,400 (734-2,400)</t>
  </si>
  <si>
    <t>18.1 (9.5-31.1)</t>
  </si>
  <si>
    <t>Other enterococci</t>
  </si>
  <si>
    <t>65.2 (42.8-96)</t>
  </si>
  <si>
    <t>0.8 (0.6-1.2)</t>
  </si>
  <si>
    <t>2,110 (1,380-3,120)</t>
  </si>
  <si>
    <t>27.2 (17.9-40.3)</t>
  </si>
  <si>
    <t>12.2 (1.87-24)</t>
  </si>
  <si>
    <t>0.2 (0.0-0.3)</t>
  </si>
  <si>
    <t>398 (63.9-782)</t>
  </si>
  <si>
    <t>5.1 (0.8-10.1)</t>
  </si>
  <si>
    <t>11.8 (7.62-17.1)</t>
  </si>
  <si>
    <t>0.2 (0.1-0.2)</t>
  </si>
  <si>
    <t>301 (196-444)</t>
  </si>
  <si>
    <t>3.9 (2.5-5.7)</t>
  </si>
  <si>
    <t>2.22 (1.19-3.94)</t>
  </si>
  <si>
    <t>56.5 (30.3-100)</t>
  </si>
  <si>
    <t>67.1 (44-98.4)</t>
  </si>
  <si>
    <t>0.9 (0.6-1.3)</t>
  </si>
  <si>
    <t>2,150 (1,410-3,170)</t>
  </si>
  <si>
    <t>27.7 (18.3-41.0)</t>
  </si>
  <si>
    <t>14.5 (4.9-26.5)</t>
  </si>
  <si>
    <t>454 (144-841)</t>
  </si>
  <si>
    <t>5.9 (1.9-10.9)</t>
  </si>
  <si>
    <t>Escherichia coli</t>
  </si>
  <si>
    <t>200 (146-266)</t>
  </si>
  <si>
    <t>2.6 (1.9-3.4)</t>
  </si>
  <si>
    <t>7,560 (5,700-9,860)</t>
  </si>
  <si>
    <t>97.7 (73.7-127.4)</t>
  </si>
  <si>
    <t>11.7 (7.65-16.5)</t>
  </si>
  <si>
    <t>437 (291-612)</t>
  </si>
  <si>
    <t>5.6 (3.8-7.9)</t>
  </si>
  <si>
    <t>Aminopenicillin</t>
  </si>
  <si>
    <t>764 (554-1,030)</t>
  </si>
  <si>
    <t>9.9 (7.2-13.3)</t>
  </si>
  <si>
    <t>26,000 (19,600-34,200)</t>
  </si>
  <si>
    <t>336.6 (253.3-442.0)</t>
  </si>
  <si>
    <t>10.5 (6.94-15.1)</t>
  </si>
  <si>
    <t>298 (201-416)</t>
  </si>
  <si>
    <t>3.9 (2.6-5.4)</t>
  </si>
  <si>
    <t>586 (425-788)</t>
  </si>
  <si>
    <t>7.6 (5.5-10.2)</t>
  </si>
  <si>
    <t>20,400 (15,400-26,800)</t>
  </si>
  <si>
    <t>263.2 (198.6-346.1)</t>
  </si>
  <si>
    <t>21.3 (14.7-30)</t>
  </si>
  <si>
    <t>0.3 (0.2-0.4)</t>
  </si>
  <si>
    <t>634 (452-873)</t>
  </si>
  <si>
    <t>8.2 (5.8-11.3)</t>
  </si>
  <si>
    <t>140 (102-188)</t>
  </si>
  <si>
    <t>1.8 (1.3-2.4)</t>
  </si>
  <si>
    <t>5,270 (3,930-6,980)</t>
  </si>
  <si>
    <t>68.1 (50.8-90.1)</t>
  </si>
  <si>
    <t>29.5 (17.1-45)</t>
  </si>
  <si>
    <t>1,090 (640-1,670)</t>
  </si>
  <si>
    <t>14.1 (8.3-21.5)</t>
  </si>
  <si>
    <t>532 (384-708)</t>
  </si>
  <si>
    <t>6.9 (5.0-9.1)</t>
  </si>
  <si>
    <t>18,400 (13,900-24,100)</t>
  </si>
  <si>
    <t>238.0 (179.1-311.4)</t>
  </si>
  <si>
    <t>56 (38.5-78.7)</t>
  </si>
  <si>
    <t>1,890 (1,310-2,580)</t>
  </si>
  <si>
    <t>24.4 (16.9-33.3)</t>
  </si>
  <si>
    <t>499 (362-673)</t>
  </si>
  <si>
    <t>6.5 (4.7-8.7)</t>
  </si>
  <si>
    <t>17,900 (13,400-23,800)</t>
  </si>
  <si>
    <t>231.2 (173.4-307.2)</t>
  </si>
  <si>
    <t>59.9 (26.3-109)</t>
  </si>
  <si>
    <t>2,080 (947-3,660)</t>
  </si>
  <si>
    <t>26.9 (12.2-47.2)</t>
  </si>
  <si>
    <t>536 (390-713)</t>
  </si>
  <si>
    <t>6.9 (5.0-9.2)</t>
  </si>
  <si>
    <t>19,500 (14,700-25,500)</t>
  </si>
  <si>
    <t>251.8 (190.2-329.9)</t>
  </si>
  <si>
    <t>30.2 (20.2-42.8)</t>
  </si>
  <si>
    <t>0.4 (0.3-0.6)</t>
  </si>
  <si>
    <t>1,080 (718-1,520)</t>
  </si>
  <si>
    <t>14.0 (9.3-19.6)</t>
  </si>
  <si>
    <t>829 (601-1,120)</t>
  </si>
  <si>
    <t>10.7 (7.8-14.4)</t>
  </si>
  <si>
    <t>28,000 (21,000-36,900)</t>
  </si>
  <si>
    <t>362.2 (272.0-476.8)</t>
  </si>
  <si>
    <t>219 (152-316)</t>
  </si>
  <si>
    <t>2.8 (2.0-4.1)</t>
  </si>
  <si>
    <t>7,520 (5,270-10,500)</t>
  </si>
  <si>
    <t>97.1 (68.2-136.2)</t>
  </si>
  <si>
    <r>
      <t xml:space="preserve">Group A </t>
    </r>
    <r>
      <rPr>
        <i/>
        <sz val="8"/>
        <color theme="1"/>
        <rFont val="Times New Roman"/>
        <family val="1"/>
      </rPr>
      <t>Streptococcus</t>
    </r>
  </si>
  <si>
    <t>Macrolide</t>
  </si>
  <si>
    <t>39 (18.3-77.1)</t>
  </si>
  <si>
    <t>0.5 (0.2-1.0)</t>
  </si>
  <si>
    <t>1,170 (653-2,090)</t>
  </si>
  <si>
    <t>15.1 (8.4-27.0)</t>
  </si>
  <si>
    <t>3.63 (0-13.9)</t>
  </si>
  <si>
    <t>0.0 (0.0-0.2)</t>
  </si>
  <si>
    <t>108 (0-376)</t>
  </si>
  <si>
    <t>1.4 (0.0-4.9)</t>
  </si>
  <si>
    <r>
      <t xml:space="preserve">Group B </t>
    </r>
    <r>
      <rPr>
        <i/>
        <sz val="8"/>
        <color theme="1"/>
        <rFont val="Times New Roman"/>
        <family val="1"/>
      </rPr>
      <t>Streptococcus</t>
    </r>
  </si>
  <si>
    <t>67.5 (49-91)</t>
  </si>
  <si>
    <t>0.9 (0.6-1.2)</t>
  </si>
  <si>
    <t>4,240 (3,070-5,750)</t>
  </si>
  <si>
    <t>54.8 (39.6-74.4)</t>
  </si>
  <si>
    <t>11.5 (1.92-24.9)</t>
  </si>
  <si>
    <t>723 (125-1,580)</t>
  </si>
  <si>
    <t>9.3 (1.6-20.4)</t>
  </si>
  <si>
    <t>142 (102-193)</t>
  </si>
  <si>
    <t>1.8 (1.3-2.5)</t>
  </si>
  <si>
    <t>7,230 (5,230-9,740)</t>
  </si>
  <si>
    <t>93.4 (67.6-125.9)</t>
  </si>
  <si>
    <t>13.5 (0-36.3)</t>
  </si>
  <si>
    <t>0.2 (0.0-0.5)</t>
  </si>
  <si>
    <t>672 (0-1,780)</t>
  </si>
  <si>
    <t>8.7 (0.0-23.0)</t>
  </si>
  <si>
    <t>Penicillin</t>
  </si>
  <si>
    <t>3.74 (2.59-5.25)</t>
  </si>
  <si>
    <t>203 (141-281)</t>
  </si>
  <si>
    <t>2.6 (1.8-3.6)</t>
  </si>
  <si>
    <t>0.799 (0.165-1.7)</t>
  </si>
  <si>
    <t>42.9 (8.52-91.5)</t>
  </si>
  <si>
    <t>0.6 (0.1-1.2)</t>
  </si>
  <si>
    <t>173 (125-232)</t>
  </si>
  <si>
    <t>2.2 (1.6-3.0)</t>
  </si>
  <si>
    <t>9,190 (6,770-12,300)</t>
  </si>
  <si>
    <t>118.8 (87.5-158.4)</t>
  </si>
  <si>
    <t>25.8 (3.92-51.8)</t>
  </si>
  <si>
    <t>0.3 (0.1-0.7)</t>
  </si>
  <si>
    <t>1,440 (281-2,780)</t>
  </si>
  <si>
    <t>18.6 (3.6-36.0)</t>
  </si>
  <si>
    <t>Haemophilus influenzae</t>
  </si>
  <si>
    <t>27.4 (21.8-34.2)</t>
  </si>
  <si>
    <t>0.4 (0.3-0.4)</t>
  </si>
  <si>
    <t>1,450 (1,120-1,840)</t>
  </si>
  <si>
    <t>18.7 (14.4-23.8)</t>
  </si>
  <si>
    <t>4.29 (0.393-8.3)</t>
  </si>
  <si>
    <t>218 (21.5-431)</t>
  </si>
  <si>
    <t>2.8 (0.3-5.6)</t>
  </si>
  <si>
    <t>8.57 (6.41-11.1)</t>
  </si>
  <si>
    <t>0.1 (0.1-0.1)</t>
  </si>
  <si>
    <t>560 (413-738)</t>
  </si>
  <si>
    <t>7.2 (5.3-9.5)</t>
  </si>
  <si>
    <t>2.47 (1.14-4.16)</t>
  </si>
  <si>
    <t>161 (71.7-272)</t>
  </si>
  <si>
    <t>2.1 (0.9-3.5)</t>
  </si>
  <si>
    <t>31.5 (25.5-39)</t>
  </si>
  <si>
    <t>0.4 (0.3-0.5)</t>
  </si>
  <si>
    <t>1,720 (1,340-2,180)</t>
  </si>
  <si>
    <t>22.3 (17.4-28.2)</t>
  </si>
  <si>
    <t>6.76 (2.63-11.3)</t>
  </si>
  <si>
    <t>379 (156-619)</t>
  </si>
  <si>
    <t>4.9 (2.0-8.0)</t>
  </si>
  <si>
    <t>Klebsiella pneumoniae</t>
  </si>
  <si>
    <t>345 (254-463)</t>
  </si>
  <si>
    <t>4.5 (3.3-6.0)</t>
  </si>
  <si>
    <t>16,500 (12,400-21,600)</t>
  </si>
  <si>
    <t>213.5 (160.2-279.4)</t>
  </si>
  <si>
    <t>26.3 (16.2-38.9)</t>
  </si>
  <si>
    <t>0.3 (0.2-0.5)</t>
  </si>
  <si>
    <t>1,230 (773-1,780)</t>
  </si>
  <si>
    <t>16.0 (10.0-23.0)</t>
  </si>
  <si>
    <t>545 (396-725)</t>
  </si>
  <si>
    <t>7.0 (5.1-9.4)</t>
  </si>
  <si>
    <t>24,100 (17,900-31,700)</t>
  </si>
  <si>
    <t>311.4 (232.0-409.8)</t>
  </si>
  <si>
    <t>7.93 (4.59-12.1)</t>
  </si>
  <si>
    <t>316 (182-478)</t>
  </si>
  <si>
    <t>4.1 (2.3-6.2)</t>
  </si>
  <si>
    <t>234 (164-332)</t>
  </si>
  <si>
    <t>3.0 (2.1-4.3)</t>
  </si>
  <si>
    <t>9,280 (6,640-12,800)</t>
  </si>
  <si>
    <t>119.9 (85.9-165.6)</t>
  </si>
  <si>
    <t>55.7 (36.3-81.3)</t>
  </si>
  <si>
    <t>0.7 (0.5-1.1)</t>
  </si>
  <si>
    <t>2,170 (1,430-3,120)</t>
  </si>
  <si>
    <t>28.0 (18.5-40.3)</t>
  </si>
  <si>
    <t>426 (312-576)</t>
  </si>
  <si>
    <t>5.5 (4.0-7.4)</t>
  </si>
  <si>
    <t>18,900 (14,100-24,900)</t>
  </si>
  <si>
    <t>244.3 (181.8-322.1)</t>
  </si>
  <si>
    <t>29 (17.4-44.1)</t>
  </si>
  <si>
    <t>1,260 (761-1,880)</t>
  </si>
  <si>
    <t>16.2 (9.8-24.3)</t>
  </si>
  <si>
    <t>526 (384-717)</t>
  </si>
  <si>
    <t>6.8 (5.0-9.3)</t>
  </si>
  <si>
    <t>22,900 (17,100-30,100)</t>
  </si>
  <si>
    <t>296.4 (221.4-388.9)</t>
  </si>
  <si>
    <t>50.1 (19-94.4)</t>
  </si>
  <si>
    <t>0.6 (0.2-1.2)</t>
  </si>
  <si>
    <t>2,210 (836-4,070)</t>
  </si>
  <si>
    <t>28.6 (10.8-52.6)</t>
  </si>
  <si>
    <t>488 (356-653)</t>
  </si>
  <si>
    <t>6.3 (4.6-8.4)</t>
  </si>
  <si>
    <t>21,900 (16,300-28,800)</t>
  </si>
  <si>
    <t>282.4 (211.3-372.3)</t>
  </si>
  <si>
    <t>23.5 (11.5-39.7)</t>
  </si>
  <si>
    <t>0.3 (0.1-0.5)</t>
  </si>
  <si>
    <t>1,010 (494-1,660)</t>
  </si>
  <si>
    <t>13.1 (6.4-21.5)</t>
  </si>
  <si>
    <t>642 (465-863)</t>
  </si>
  <si>
    <t>8.3 (6.0-11.2)</t>
  </si>
  <si>
    <t>27,400 (20,300-36,100)</t>
  </si>
  <si>
    <t>354.5 (261.8-466.0)</t>
  </si>
  <si>
    <t>193 (130-272)</t>
  </si>
  <si>
    <t>2.5 (1.7-3.5)</t>
  </si>
  <si>
    <t>8,200 (5,550-11,400)</t>
  </si>
  <si>
    <t>106.0 (71.8-147.5)</t>
  </si>
  <si>
    <r>
      <t xml:space="preserve">Morganella </t>
    </r>
    <r>
      <rPr>
        <sz val="8"/>
        <color theme="1"/>
        <rFont val="Times New Roman"/>
        <family val="1"/>
      </rPr>
      <t>spp.</t>
    </r>
  </si>
  <si>
    <t>2.59 (1.64-3.94)</t>
  </si>
  <si>
    <t>56.7 (36.4-85.8)</t>
  </si>
  <si>
    <t>0.427 (0.174-0.78)</t>
  </si>
  <si>
    <t>9.21 (3.76-16.8)</t>
  </si>
  <si>
    <t>1 (0.621-1.55)</t>
  </si>
  <si>
    <t>23.7 (14.7-36.2)</t>
  </si>
  <si>
    <t>0.154 (0-0.321)</t>
  </si>
  <si>
    <t>3.5 (1.14-7.23)</t>
  </si>
  <si>
    <t>1.45 (0.907-2.19)</t>
  </si>
  <si>
    <t>30.2 (19-45.6)</t>
  </si>
  <si>
    <t>0.168 (0-0.342)</t>
  </si>
  <si>
    <t>3.2 (1.28-6.52)</t>
  </si>
  <si>
    <t>3 (1.93-4.59)</t>
  </si>
  <si>
    <t>64.7 (41.5-98)</t>
  </si>
  <si>
    <t>0.8 (0.5-1.3)</t>
  </si>
  <si>
    <t>0.749 (0.394-1.27)</t>
  </si>
  <si>
    <t>15.9 (8.56-27)</t>
  </si>
  <si>
    <t>Mycobacterium tuberculosis</t>
  </si>
  <si>
    <t>Extensive drug resistance in TB</t>
  </si>
  <si>
    <t>8.5 (4-15.2)</t>
  </si>
  <si>
    <t>311 (151-553)</t>
  </si>
  <si>
    <t>4.0 (1.9-7.1)</t>
  </si>
  <si>
    <t>5.21 (2.48-9.31)</t>
  </si>
  <si>
    <t>181 (88.4-319)</t>
  </si>
  <si>
    <t>2.3 (1.1-4.1)</t>
  </si>
  <si>
    <t>Isoniazid mono-resistance</t>
  </si>
  <si>
    <t>73.8 (50.7-103)</t>
  </si>
  <si>
    <t>1.0 (0.7-1.3)</t>
  </si>
  <si>
    <t>2,880 (2,040-3,930)</t>
  </si>
  <si>
    <t>37.2 (26.4-50.7)</t>
  </si>
  <si>
    <t>11.6 (0-40.2)</t>
  </si>
  <si>
    <t>419 (0-1,410)</t>
  </si>
  <si>
    <t>5.4 (0.0-18.3)</t>
  </si>
  <si>
    <t>Multi-drug resistance excluding extensive drug resistance in TB</t>
  </si>
  <si>
    <t>110 (43.6-210)</t>
  </si>
  <si>
    <t>4,210 (1,740-7,990)</t>
  </si>
  <si>
    <t>54.5 (22.5-103.3)</t>
  </si>
  <si>
    <t>64.6 (6.6-160)</t>
  </si>
  <si>
    <t>0.8 (0.1-2.1)</t>
  </si>
  <si>
    <t>2,320 (225-5,660)</t>
  </si>
  <si>
    <t>30.0 (2.9-73.2)</t>
  </si>
  <si>
    <t>Rifampicin mono-resistance</t>
  </si>
  <si>
    <t>12 (8.85-15.6)</t>
  </si>
  <si>
    <t>494 (368-644)</t>
  </si>
  <si>
    <t>6.4 (4.8-8.3)</t>
  </si>
  <si>
    <t>3.35 (0.569-6.54)</t>
  </si>
  <si>
    <t>130 (26.6-249)</t>
  </si>
  <si>
    <t>1.7 (0.3-3.2)</t>
  </si>
  <si>
    <t>204 (134-303)</t>
  </si>
  <si>
    <t>2.6 (1.7-3.9)</t>
  </si>
  <si>
    <t>7,900 (5,260-11,600)</t>
  </si>
  <si>
    <t>102.0 (68.0-149.9)</t>
  </si>
  <si>
    <t>84.8 (18.3-182)</t>
  </si>
  <si>
    <t>1.1 (0.2-2.4)</t>
  </si>
  <si>
    <t>3,050 (693-6,550)</t>
  </si>
  <si>
    <t>39.4 (9.0-84.7)</t>
  </si>
  <si>
    <t>Neisseria gonorrhoeae</t>
  </si>
  <si>
    <t>--</t>
  </si>
  <si>
    <t>53.7 (32.6-84.1)</t>
  </si>
  <si>
    <t>5.14 (1.46-10.3)</t>
  </si>
  <si>
    <t>1.95 (1-3.49)</t>
  </si>
  <si>
    <t>0.374 (0.119-0.797)</t>
  </si>
  <si>
    <t>53.9 (32.7-84.4)</t>
  </si>
  <si>
    <t>5.51 (1.77-11)</t>
  </si>
  <si>
    <r>
      <t xml:space="preserve">Proteus </t>
    </r>
    <r>
      <rPr>
        <sz val="8"/>
        <color theme="1"/>
        <rFont val="Times New Roman"/>
        <family val="1"/>
      </rPr>
      <t>spp.</t>
    </r>
  </si>
  <si>
    <t>19.4 (12.6-28.1)</t>
  </si>
  <si>
    <t>533 (345-774)</t>
  </si>
  <si>
    <t>6.9 (4.5-10.0)</t>
  </si>
  <si>
    <t>0.887 (0-1.91)</t>
  </si>
  <si>
    <t>24.1 (2.79-51.4)</t>
  </si>
  <si>
    <t>0.3 (0.0-0.7)</t>
  </si>
  <si>
    <t>70 (46.2-101)</t>
  </si>
  <si>
    <t>1,750 (1,140-2,540)</t>
  </si>
  <si>
    <t>22.6 (14.7-32.9)</t>
  </si>
  <si>
    <t>1.33 (0-3.96)</t>
  </si>
  <si>
    <t>32.4 (0-95.9)</t>
  </si>
  <si>
    <t>0.4 (0.0-1.2)</t>
  </si>
  <si>
    <t>40.7 (26.7-59)</t>
  </si>
  <si>
    <t>0.5 (0.3-0.8)</t>
  </si>
  <si>
    <t>1,040 (680-1,530)</t>
  </si>
  <si>
    <t>13.5 (8.8-19.7)</t>
  </si>
  <si>
    <t>2.97 (1.24-5.64)</t>
  </si>
  <si>
    <t>74.7 (30.7-142)</t>
  </si>
  <si>
    <t>1.0 (0.4-1.8)</t>
  </si>
  <si>
    <t>23.4 (15-34.2)</t>
  </si>
  <si>
    <t>582 (365-859)</t>
  </si>
  <si>
    <t>7.5 (4.7-11.1)</t>
  </si>
  <si>
    <t>4.73 (1.56-9.45)</t>
  </si>
  <si>
    <t>116 (37.6-233)</t>
  </si>
  <si>
    <t>1.5 (0.5-3.0)</t>
  </si>
  <si>
    <t>45.6 (30.3-66.2)</t>
  </si>
  <si>
    <t>1,190 (780-1,750)</t>
  </si>
  <si>
    <t>15.4 (10.1-22.6)</t>
  </si>
  <si>
    <t>1.62 (0-3.57)</t>
  </si>
  <si>
    <t>41.9 (0-90.6)</t>
  </si>
  <si>
    <t>0.5 (0.0-1.2)</t>
  </si>
  <si>
    <t>80 (52.7-115)</t>
  </si>
  <si>
    <t>1.0 (0.7-1.5)</t>
  </si>
  <si>
    <t>2,000 (1,310-2,900)</t>
  </si>
  <si>
    <t>25.8 (16.9-37.5)</t>
  </si>
  <si>
    <t>11.5 (6.33-18.6)</t>
  </si>
  <si>
    <t>290 (159-466)</t>
  </si>
  <si>
    <t>3.7 (2.1-6.0)</t>
  </si>
  <si>
    <t>Pseudomonas aeruginosa</t>
  </si>
  <si>
    <t>115 (81.3-160)</t>
  </si>
  <si>
    <t>1.5 (1.1-2.1)</t>
  </si>
  <si>
    <t>4,530 (3,290-6,080)</t>
  </si>
  <si>
    <t>58.5 (42.6-78.6)</t>
  </si>
  <si>
    <t>3 (0-7.61)</t>
  </si>
  <si>
    <t>120 (0-294)</t>
  </si>
  <si>
    <t>1.6 (0.0-3.8)</t>
  </si>
  <si>
    <t>156 (109-216)</t>
  </si>
  <si>
    <t>2.0 (1.4-2.8)</t>
  </si>
  <si>
    <t>5,540 (3,960-7,520)</t>
  </si>
  <si>
    <t>71.7 (51.2-97.2)</t>
  </si>
  <si>
    <t>10.3 (6.47-16)</t>
  </si>
  <si>
    <t>378 (239-587)</t>
  </si>
  <si>
    <t>4.9 (3.1-7.6)</t>
  </si>
  <si>
    <t>210 (146-292)</t>
  </si>
  <si>
    <t>2.7 (1.9-3.8)</t>
  </si>
  <si>
    <t>7,250 (5,140-9,840)</t>
  </si>
  <si>
    <t>93.6 (66.4-127.1)</t>
  </si>
  <si>
    <t>38.1 (24.3-57.2)</t>
  </si>
  <si>
    <t>1,310 (848-1,940)</t>
  </si>
  <si>
    <t>16.9 (11.0-25.0)</t>
  </si>
  <si>
    <t>172 (120-236)</t>
  </si>
  <si>
    <t>2.2 (1.6-3.1)</t>
  </si>
  <si>
    <t>6,130 (4,380-8,210)</t>
  </si>
  <si>
    <t>79.2 (56.6-106.1)</t>
  </si>
  <si>
    <t>18.3 (11.7-27.8)</t>
  </si>
  <si>
    <t>0.2 (0.2-0.4)</t>
  </si>
  <si>
    <t>652 (422-967)</t>
  </si>
  <si>
    <t>8.4 (5.5-12.5)</t>
  </si>
  <si>
    <t>169 (118-231)</t>
  </si>
  <si>
    <t>2.2 (1.5-3.0)</t>
  </si>
  <si>
    <t>6,260 (4,550-8,420)</t>
  </si>
  <si>
    <t>80.9 (58.8-108.9)</t>
  </si>
  <si>
    <t>4.37 (2.62-6.9)</t>
  </si>
  <si>
    <t>178 (108-279)</t>
  </si>
  <si>
    <t>2.3 (1.4-3.6)</t>
  </si>
  <si>
    <t>213 (146-297)</t>
  </si>
  <si>
    <t>7,970 (5,660-10,900)</t>
  </si>
  <si>
    <t>103.0 (73.2-141.0)</t>
  </si>
  <si>
    <t>10.4 (4.61-18)</t>
  </si>
  <si>
    <t>407 (186-689)</t>
  </si>
  <si>
    <t>5.3 (2.4-8.9)</t>
  </si>
  <si>
    <t>334 (234-457)</t>
  </si>
  <si>
    <t>4.3 (3.0-5.9)</t>
  </si>
  <si>
    <t>12,000 (8,630-16,100)</t>
  </si>
  <si>
    <t>155.0 (111.5-208.5)</t>
  </si>
  <si>
    <t>84.6 (53-127)</t>
  </si>
  <si>
    <t>3,050 (1,980-4,530)</t>
  </si>
  <si>
    <t>39.4 (25.5-58.5)</t>
  </si>
  <si>
    <t>Salmonella Paratyphi</t>
  </si>
  <si>
    <t>20.1 (8.5-38.9)</t>
  </si>
  <si>
    <t>1,410 (584-2,750)</t>
  </si>
  <si>
    <t>18.2 (7.5-35.5)</t>
  </si>
  <si>
    <t>4 (0.622-10.2)</t>
  </si>
  <si>
    <t>283 (42-711)</t>
  </si>
  <si>
    <t>3.7 (0.5-9.2)</t>
  </si>
  <si>
    <t>Multi-drug resistance in Salmonella Typhi and Paratyphi</t>
  </si>
  <si>
    <t>0.779 (0.322-1.54)</t>
  </si>
  <si>
    <t>55 (22.6-110)</t>
  </si>
  <si>
    <t>0.7 (0.3-1.4)</t>
  </si>
  <si>
    <t>0.066 (0-0.197)</t>
  </si>
  <si>
    <t>4.53 (0-13.3)</t>
  </si>
  <si>
    <t>http://ghdx.healthdata.org/gbd-2019/data-input-sources?components=6&amp;risks=169&amp;locations=91</t>
  </si>
  <si>
    <t>https://www.thelancet.com/action/showPdf?pii=S0140-6736%2818%2930994-2</t>
  </si>
  <si>
    <t>URIs</t>
  </si>
  <si>
    <t>Measles</t>
  </si>
  <si>
    <t xml:space="preserve">HAQ Index </t>
  </si>
  <si>
    <t xml:space="preserve">Tuberculosis </t>
  </si>
  <si>
    <t xml:space="preserve">Diarrhoeal diseases </t>
  </si>
  <si>
    <t>LRIs</t>
  </si>
  <si>
    <t xml:space="preserve">Diphtheria </t>
  </si>
  <si>
    <t xml:space="preserve">Whooping cough </t>
  </si>
  <si>
    <t>Tetanus</t>
  </si>
  <si>
    <t xml:space="preserve">Maternal disorders </t>
  </si>
  <si>
    <t xml:space="preserve">Neonatal disorders </t>
  </si>
  <si>
    <t xml:space="preserve">NM skin cancer (SCC) </t>
  </si>
  <si>
    <t xml:space="preserve">Breast cancer </t>
  </si>
  <si>
    <t xml:space="preserve">Cervical cancer </t>
  </si>
  <si>
    <t>Uterine cancer</t>
  </si>
  <si>
    <t>Congenital heart</t>
  </si>
  <si>
    <t xml:space="preserve">Chronic kidney </t>
  </si>
  <si>
    <t xml:space="preserve">Diabetes </t>
  </si>
  <si>
    <t xml:space="preserve">Gallbladder  </t>
  </si>
  <si>
    <t>Epilepsy</t>
  </si>
  <si>
    <t xml:space="preserve">Stroke </t>
  </si>
  <si>
    <t>Hypertensive HD</t>
  </si>
  <si>
    <t xml:space="preserve">Chronic respiratory </t>
  </si>
  <si>
    <t xml:space="preserve">Peptic ulcer </t>
  </si>
  <si>
    <t>Appendicitis Hernia</t>
  </si>
  <si>
    <t>Colon cancer</t>
  </si>
  <si>
    <t xml:space="preserve"> Testicular cancer </t>
  </si>
  <si>
    <t xml:space="preserve">Leukaemia </t>
  </si>
  <si>
    <t xml:space="preserve">Rheumatic HD </t>
  </si>
  <si>
    <t>Ischaemic HD</t>
  </si>
  <si>
    <t xml:space="preserve">Hodgkin’s </t>
  </si>
  <si>
    <t>Adverse med treat</t>
  </si>
  <si>
    <t>Lymphoma</t>
  </si>
  <si>
    <t>PORTUGAL</t>
  </si>
  <si>
    <t>Performance on the HAQ Index and 32 individual causes, by country or territory, in 2016
Countries are ranked by their HAQ Index score from highest to lowest in 2016. The HAQ Index and individual causes are reported on a scale of 0–100, with 0 representing the worst levels observed from 1990 to 2016, and 100 reflecting the best during that time. HAQ Index=Healthcare Access and Quality Index.
LRIs=lower respiratory infections. URIs=upper respiratory infections. NM=non-melanoma. SCC=squamous-cell carcinoma. Colon cancer=colon and rectum cancer. HD=heart disease. Chronic respiratory=chronic respiratory diseases. Peptic ulcer=peptic ulcer disease. Hernia=inguinal, femoral, and abdominal hernia.
Gallbladder=gallbladder and biliary diseases. Chronic kidney=chronic kidney disease. Congenital heart=congenital heart anomalies. Adverse med treat=adverse effects of medical treatment.</t>
  </si>
  <si>
    <t>HAQ Index (95% UI)</t>
  </si>
  <si>
    <t>Absolute change (95% UI)</t>
  </si>
  <si>
    <t>Annualised rate of change (95% UI)</t>
  </si>
  <si>
    <t>Portugal</t>
  </si>
  <si>
    <t>67·1
(65·9 to 68·3)</t>
  </si>
  <si>
    <t>76·2
(75·1 to 77·3)</t>
  </si>
  <si>
    <t>85·7
(84·1 to 87·3)</t>
  </si>
  <si>
    <t>18,6 (16,9 to 20,4)</t>
  </si>
  <si>
    <t>9,1 (8,0 to 10,4)</t>
  </si>
  <si>
    <t>9,5 (7,8 to 11,3)</t>
  </si>
  <si>
    <t>0,94 (0,86 to 1,03)</t>
  </si>
  <si>
    <t>1,27 (1,11 to 1,46)</t>
  </si>
  <si>
    <t>0,74 (0,61 to 0,87)</t>
  </si>
  <si>
    <t>2000-16</t>
  </si>
  <si>
    <t>1990-2000</t>
  </si>
  <si>
    <t>1990-2016</t>
  </si>
  <si>
    <t>YLLs</t>
  </si>
  <si>
    <t>YLDs</t>
  </si>
  <si>
    <t>Counts, thousands</t>
  </si>
  <si>
    <t>Global</t>
  </si>
  <si>
    <t>4950 (3620–6570)</t>
  </si>
  <si>
    <t>189 000 (145 000–245 000)</t>
  </si>
  <si>
    <t>192 000 (146 000–248 000)</t>
  </si>
  <si>
    <t>2290 (1520–3450)</t>
  </si>
  <si>
    <t>1270 (911–1710)</t>
  </si>
  <si>
    <t>47 600 (35 000–63 400)</t>
  </si>
  <si>
    <t>47 900 (35 300–63 700)</t>
  </si>
  <si>
    <t>275 (161–439)</t>
  </si>
  <si>
    <t>283 (190–403)</t>
  </si>
  <si>
    <t>7530 (5240–10 500)</t>
  </si>
  <si>
    <t>7630 (5320–10 600)</t>
  </si>
  <si>
    <t>102 (69–140)</t>
  </si>
  <si>
    <t>73·7 (48·7–105)</t>
  </si>
  <si>
    <t>1980 (1350–2790)</t>
  </si>
  <si>
    <t>1990 (1360–2800)</t>
  </si>
  <si>
    <t>9·95 (4·79–16·8)</t>
  </si>
  <si>
    <t>High income</t>
  </si>
  <si>
    <t>604 (434–824)</t>
  </si>
  <si>
    <t>10 100 (6960–14 200)</t>
  </si>
  <si>
    <t>10 300 (7040–14 400)</t>
  </si>
  <si>
    <t>123 (79·7–183)</t>
  </si>
  <si>
    <t>141 (98·6–197)</t>
  </si>
  <si>
    <t>2390 (1620–3400)</t>
  </si>
  <si>
    <t>2410 (1640–3420)</t>
  </si>
  <si>
    <t>20·2 (12·7–31·2)</t>
  </si>
  <si>
    <t>Rates, per 100 000</t>
  </si>
  <si>
    <t>64·0 (46·8–84·9)</t>
  </si>
  <si>
    <t>2448·1 (1868·9–3170·3)</t>
  </si>
  <si>
    <t>2477·7 (1889·9–3199·1)</t>
  </si>
  <si>
    <t>29·6 (19·7–44·5)</t>
  </si>
  <si>
    <t>16·4 (11·8–22·0)</t>
  </si>
  <si>
    <t>615·1 (452·4–819·1)</t>
  </si>
  <si>
    <t>618·7 (455·7–823·2)</t>
  </si>
  <si>
    <t>3·6 (2·1–5·7)</t>
  </si>
  <si>
    <t>67·7 (45·4–96·6)</t>
  </si>
  <si>
    <t>1802·5 (1253·9–2515·1)</t>
  </si>
  <si>
    <t>1826·9 (1274·5–2545·4)</t>
  </si>
  <si>
    <t>24·4 (16·5–33·6)</t>
  </si>
  <si>
    <t>17·6 (11·7–25·3)</t>
  </si>
  <si>
    <t>474·3 (323·0–667·3)</t>
  </si>
  <si>
    <t>476·7 (325·2–671·0)</t>
  </si>
  <si>
    <t>2·4 (1·1–4·0)</t>
  </si>
  <si>
    <t>55·7 (40·1–76·0)</t>
  </si>
  <si>
    <t>935·3 (641·9–1310·1)</t>
  </si>
  <si>
    <t>946·7 (649·8–1327·2)</t>
  </si>
  <si>
    <t>11·3 (7·3–16·9)</t>
  </si>
  <si>
    <t>13·0 (9·1–18·2)</t>
  </si>
  <si>
    <t>220·4 (149·9–314·0)</t>
  </si>
  <si>
    <t>222·3 (151·5–315·9)</t>
  </si>
  <si>
    <t>1·9 (1·2–2·9)</t>
  </si>
  <si>
    <t>DALYs=disability-adjusted life-years. GBD=Global Burden of Diseases, Injuries, and Risk Factors Study. YLDs=years lived with disability. YLLs=years of life lost.</t>
  </si>
  <si>
    <t>Component 1: sepsis and infectious syndrome models*</t>
  </si>
  <si>
    <t>Fraction of countries represented in component 1</t>
  </si>
  <si>
    <t>Component 2: case-fatality ratio</t>
  </si>
  <si>
    <t>Fraction of countries represented in component 2</t>
  </si>
  <si>
    <t>Component 3: pathogen distribution</t>
  </si>
  <si>
    <t>Fraction of countries represented in component 3</t>
  </si>
  <si>
    <t>Fraction of countries represented in component 4</t>
  </si>
  <si>
    <t>Component 5: relative risk</t>
  </si>
  <si>
    <t>Fraction of countries represented in component 5</t>
  </si>
  <si>
    <t>Western Europe</t>
  </si>
  <si>
    <t>10 599 906</t>
  </si>
  <si>
    <t>94 506 554</t>
  </si>
  <si>
    <t>20/24</t>
  </si>
  <si>
    <t>105 183 184</t>
  </si>
  <si>
    <t>21/24</t>
  </si>
  <si>
    <t>18 909 732</t>
  </si>
  <si>
    <t>932 016</t>
  </si>
  <si>
    <t>Table 1Data included in each modelling component by region and the fraction of countries represented in each region</t>
  </si>
  <si>
    <t>2/24</t>
  </si>
  <si>
    <t>Component 4: fraction of resistance†</t>
  </si>
  <si>
    <t>Neonatal</t>
  </si>
  <si>
    <t>Counts</t>
  </si>
  <si>
    <t>Rate per 100000</t>
  </si>
  <si>
    <t>…</t>
  </si>
  <si>
    <t>Table S15. Deaths and DALYs (in counts and age-specific rates) associated with and attributable to bacterial antimicrobial resistance by pathogen–drug combination, by age group, 2019, high-income super-region</t>
  </si>
  <si>
    <t>1910 (1200-2890)</t>
  </si>
  <si>
    <t>223.5 (140.7-338.4)</t>
  </si>
  <si>
    <t>Year</t>
  </si>
  <si>
    <t>K.pneumoniae carbapenemos Mortes min</t>
  </si>
  <si>
    <t>K.pneumoniae carbapenemos Mortes max</t>
  </si>
  <si>
    <t>ano</t>
  </si>
  <si>
    <t>Doentes alvo/100.000 utentes (base: posologia média 4 UN)</t>
  </si>
  <si>
    <t>% isolados resistentes de k.pneumoniae a carbapenemos</t>
  </si>
  <si>
    <t>Counts (thousands)2</t>
  </si>
  <si>
    <t>Rate per 100 0003</t>
  </si>
  <si>
    <t>Counts (thousands)4</t>
  </si>
  <si>
    <t>Rate per 100 0005</t>
  </si>
  <si>
    <t>Counts (thousands)6</t>
  </si>
  <si>
    <t>Rate per 100 0007</t>
  </si>
  <si>
    <t>Mortes por 100.000 doentes devido a resistências a carbapenemos (mantendo letalidade 2019 = 2,5/100.000)</t>
  </si>
  <si>
    <t>% isolados resistentes de k.pneumoniae a carbapenemos FORECAST</t>
  </si>
  <si>
    <t>Mortes por 100.000 doentes infetados por Klebsiella pneumoniae que receberam carbapenemos (se letalidade de 2019 = 0,7)</t>
  </si>
  <si>
    <t>% isolados resistentes de k.pneumoniae a carbapenemos low IC95</t>
  </si>
  <si>
    <t>% isolados resistentes de k.pneumoniae a carbapenemos high IC95</t>
  </si>
  <si>
    <t>Em 2030 reduzirá</t>
  </si>
  <si>
    <t>Em 2030 aumentará</t>
  </si>
  <si>
    <t>Carbapenemos por 100.000 antibióticos no ano</t>
  </si>
  <si>
    <t>Carbapenemos</t>
  </si>
  <si>
    <t>https://transparencia.sns.gov.pt/explore/dataset/antibioticos-carbapenemes/table/?flg=pt&amp;disjunctive.ars_hospital&amp;disjunctive.nome_hospital&amp;disjunctive.grupo_hospital&amp;sort=periodo&amp;location=6,39.45581,-8.00765</t>
  </si>
  <si>
    <t>Cefalosporinas</t>
  </si>
  <si>
    <t>https://transparencia.sns.gov.pt/explore/dataset/antibioticos-cefalosporinas/table/?disjunctive.ars_hospital&amp;disjunctive.nome_hospital&amp;disjunctive.grupo_hospital&amp;sort=periodo</t>
  </si>
  <si>
    <t>Fluoroquinolonas</t>
  </si>
  <si>
    <t>https://transparencia.sns.gov.pt/explore/dataset/antibioticos-fluoroquinolonas/table/?disjunctive.ars_hospital&amp;disjunctive.nome_hospital&amp;disjunctive.grupo_hospital&amp;sort=periodo</t>
  </si>
  <si>
    <t>Total</t>
  </si>
  <si>
    <t>https://transparencia.sns.gov.pt/explore/dataset/antibioticos/table/?disjunctive.ars_hospital&amp;disjunctive.nome_hospital&amp;disjunctive.grupo_hospital&amp;sort=periodo</t>
  </si>
  <si>
    <t>Lancet</t>
  </si>
  <si>
    <t>Rates per 100.000 patient years</t>
  </si>
  <si>
    <t>PT Population 2019</t>
  </si>
  <si>
    <t>Attributable carbapenemos k.pneumoniae Death rate by 100.000 in 2019</t>
  </si>
  <si>
    <t>K.pneumoniae carbapenemos mortes PT 2019</t>
  </si>
  <si>
    <t>Carbapenems (ATC group J01DH) Hosp Forecast (DDD 1.000 patient/year)</t>
  </si>
  <si>
    <t>Carbapenems (ATC group J01DH) Hosp low IC95 (DDD 1.000 patient/year)</t>
  </si>
  <si>
    <t>Carbapenems (ATC group J01DH) Hosp high IC95 (DDD 1.000 patient/year)</t>
  </si>
  <si>
    <t>Carbapenems (ATC group J01DH) Comm (DDD 1.000 patient/year)</t>
  </si>
  <si>
    <t>Carbapenems (ATC group J01DH) Comm FORECAST (DDD 1.000 patient/year)</t>
  </si>
  <si>
    <t>Third-generation cephalosporins (ATC group J01DD) Hosp (DDD 1.000 patient/year)</t>
  </si>
  <si>
    <t>Third-generation cephalosporins (ATC group J01DD) Hosp FORECAST (DDD 1.000 patient/year)</t>
  </si>
  <si>
    <t>Third-generation cephalosporins (ATC group J01DD) Hosp low IC95 (DDD 1.000 patient/year)</t>
  </si>
  <si>
    <t>Third-generation cephalosporins (ATC group J01DD) Hosp high IC95 (DDD 1.000 patient/year)</t>
  </si>
  <si>
    <t>Third-generation cephalosporins (ATC group J01DD) Comm (DDD 1.000 patient/year)</t>
  </si>
  <si>
    <t>Third-generation cephalosporins (ATC group J01DD) Comm FORECAST (DDD 1.000 patient/year)</t>
  </si>
  <si>
    <t>Third-generation cephalosporins (ATC group J01DD) Comm low IC95 (DDD 1.000 patient/year)</t>
  </si>
  <si>
    <t>Third-generation cephalosporins (ATC group J01DD) Comm high IC95 (DDD 1.000 patient/year)</t>
  </si>
  <si>
    <t>Ano</t>
  </si>
  <si>
    <t>consumo</t>
  </si>
  <si>
    <t>% resistentes (K.pneumoniae | carbapenemos)</t>
  </si>
  <si>
    <t>forecast consumo</t>
  </si>
  <si>
    <t>forecast resistencias</t>
  </si>
  <si>
    <t>forecast consumo low95CI</t>
  </si>
  <si>
    <t>forecast consumo high95CI</t>
  </si>
  <si>
    <t>Se sei o consumo, sei quantos doentes</t>
  </si>
  <si>
    <t>Se sei a % de resistencias, sei quantos doentes com estirpes resistentes</t>
  </si>
  <si>
    <t>Se sei quantos doentes têm estirpes resistentes e quantos morrem dos que têm estirpes resistentes</t>
  </si>
  <si>
    <t>Sei estimar o número de mortes atribuído a estirpes resistentes</t>
  </si>
  <si>
    <t>doentes</t>
  </si>
  <si>
    <t>doentes c/ estirpes resistentes</t>
  </si>
  <si>
    <t>quantos doentes c/ estirpes resistentes morrem</t>
  </si>
  <si>
    <t>quantas mortes</t>
  </si>
  <si>
    <t>Se sei o intervalo de consumo, sei o intervalo de doentes, por isso sei o impacto mínimo e máximo com IC95</t>
  </si>
  <si>
    <t>mortes min</t>
  </si>
  <si>
    <t>mortes max</t>
  </si>
  <si>
    <t>fonte: ecdc</t>
  </si>
  <si>
    <t>fonte: dgs</t>
  </si>
  <si>
    <t>resistencias</t>
  </si>
  <si>
    <t>consumo (carbapenemos)</t>
  </si>
  <si>
    <t>Bacteria</t>
  </si>
  <si>
    <t>Costs</t>
  </si>
  <si>
    <t>MRSA</t>
  </si>
  <si>
    <t>3GCRE</t>
  </si>
  <si>
    <t>Costs min</t>
  </si>
  <si>
    <t>Costs max</t>
  </si>
  <si>
    <t>Stewardson (2016)</t>
  </si>
  <si>
    <t>Cost drivers</t>
  </si>
  <si>
    <t>Bed days</t>
  </si>
  <si>
    <t>KP</t>
  </si>
  <si>
    <t>Bed days
Medication procedures</t>
  </si>
  <si>
    <t>13200 USD</t>
  </si>
  <si>
    <t>5900 USD</t>
  </si>
  <si>
    <t>32200 USD</t>
  </si>
  <si>
    <t>Neidell (2012)</t>
  </si>
  <si>
    <t>https://aricjournal.biomedcentral.com/track/pdf/10.1186/s13756-019-0472-z.pdf</t>
  </si>
  <si>
    <t>22962 USD</t>
  </si>
  <si>
    <t>CRKP</t>
  </si>
  <si>
    <t>China Hospital</t>
  </si>
  <si>
    <t>https://academic.oup.com/cid/article/67/suppl_2/S225/5181281</t>
  </si>
  <si>
    <t>https://www.ncbi.nlm.nih.gov/pmc/articles/PMC6692939/pdf/13756_2019_Article_590.pdf</t>
  </si>
  <si>
    <t>Mean Cost difference between ESBL + and -
Total hospital cost direct and indirect</t>
  </si>
  <si>
    <t>EC</t>
  </si>
  <si>
    <t>KP e EC</t>
  </si>
  <si>
    <t>Median total hospital cost</t>
  </si>
  <si>
    <t>Mean</t>
  </si>
  <si>
    <t>Median total hospital cost (increase)</t>
  </si>
  <si>
    <t>X</t>
  </si>
  <si>
    <t>N doentes CRKP / 100.000 habitantes</t>
  </si>
  <si>
    <t>N doentes / 100.000 habitantes ano</t>
  </si>
  <si>
    <t>Habitantes PT</t>
  </si>
  <si>
    <t>N doentes CRKP PT</t>
  </si>
  <si>
    <t>Custo adicional CRKP/ano</t>
  </si>
  <si>
    <t>Carbapenems (ATC group J01DH) Hosp (DDD 1.000 inhabitants/day)</t>
  </si>
  <si>
    <t>Mortes por CRKP</t>
  </si>
  <si>
    <t>https://www.ncbi.nlm.nih.gov/pmc/articles/PMC5371217/</t>
  </si>
  <si>
    <t>Mortes adicionais CRKP/ano</t>
  </si>
  <si>
    <t>EUR</t>
  </si>
  <si>
    <t>USD</t>
  </si>
  <si>
    <t>N doentes 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</si>
</sst>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0.00\ &quot;€&quot;;[Red]\-#,##0.00\ &quot;€&quot;"/>
    <numFmt numFmtId="164" formatCode="0.0000"/>
    <numFmt numFmtId="165" formatCode="yyyy"/>
    <numFmt numFmtId="166" formatCode="0.0"/>
    <numFmt numFmtId="167" formatCode="0.000"/>
    <numFmt numFmtId="168" formatCode="_-[$$-409]* #,##0.00_ ;_-[$$-409]* \-#,##0.00\ ;_-[$$-409]* &quot;-&quot;??_ ;_-@_ "/>
    <numFmt numFmtId="169" formatCode="_-[$€-2]\ * #,##0.00_-;\-[$€-2]\ * #,##0.00_-;_-[$€-2]\ * &quot;-&quot;??_-;_-@_-"/>
  </numFmts>
  <fonts count="21" x14ac:knownFonts="1">
    <font>
      <sz val="11"/>
      <color theme="1"/>
      <name val="Calibri"/>
      <family val="2"/>
      <scheme val="minor"/>
    </font>
    <font>
      <b/>
      <sz val="11"/>
      <color theme="1"/>
      <name val="Calibri"/>
      <family val="2"/>
      <scheme val="minor"/>
    </font>
    <font>
      <u/>
      <sz val="11"/>
      <color theme="10"/>
      <name val="Calibri"/>
      <family val="2"/>
      <scheme val="minor"/>
    </font>
    <font>
      <sz val="6"/>
      <color theme="1"/>
      <name val="Times New Roman"/>
      <family val="1"/>
    </font>
    <font>
      <sz val="8"/>
      <color rgb="FF000000"/>
      <name val="Times New Roman"/>
      <family val="1"/>
    </font>
    <font>
      <sz val="8"/>
      <color theme="1"/>
      <name val="Times New Roman"/>
      <family val="1"/>
    </font>
    <font>
      <sz val="7"/>
      <color theme="1"/>
      <name val="Times New Roman"/>
      <family val="1"/>
    </font>
    <font>
      <i/>
      <sz val="8"/>
      <color theme="1"/>
      <name val="Times New Roman"/>
      <family val="1"/>
    </font>
    <font>
      <sz val="6.5"/>
      <color theme="1"/>
      <name val="Tahoma"/>
      <family val="2"/>
    </font>
    <font>
      <sz val="11"/>
      <color theme="1"/>
      <name val="Tahoma"/>
      <family val="2"/>
    </font>
    <font>
      <sz val="10"/>
      <color theme="1"/>
      <name val="Calibri"/>
      <family val="2"/>
      <scheme val="minor"/>
    </font>
    <font>
      <sz val="9"/>
      <color theme="1"/>
      <name val="Calibri"/>
      <family val="2"/>
      <scheme val="minor"/>
    </font>
    <font>
      <b/>
      <sz val="9"/>
      <color theme="1"/>
      <name val="Calibri"/>
      <family val="2"/>
      <scheme val="minor"/>
    </font>
    <font>
      <b/>
      <sz val="11"/>
      <color theme="1"/>
      <name val="Arial"/>
      <family val="2"/>
    </font>
    <font>
      <sz val="11"/>
      <color theme="1"/>
      <name val="Arial"/>
      <family val="2"/>
    </font>
    <font>
      <b/>
      <sz val="10"/>
      <color theme="1"/>
      <name val="Arial"/>
      <family val="2"/>
    </font>
    <font>
      <sz val="10"/>
      <color theme="1"/>
      <name val="Arial"/>
      <family val="2"/>
    </font>
    <font>
      <sz val="11"/>
      <color theme="1"/>
      <name val="Calibri"/>
      <family val="2"/>
      <scheme val="minor"/>
    </font>
    <font>
      <b/>
      <sz val="8"/>
      <color rgb="FFFFFFFF"/>
      <name val="Tahoma"/>
      <family val="2"/>
    </font>
    <font>
      <sz val="8"/>
      <color rgb="FF333333"/>
      <name val="Tahoma"/>
      <family val="2"/>
    </font>
    <font>
      <sz val="8"/>
      <name val="Calibri"/>
      <family val="2"/>
      <scheme val="minor"/>
    </font>
  </fonts>
  <fills count="10">
    <fill>
      <patternFill patternType="none"/>
    </fill>
    <fill>
      <patternFill patternType="gray125"/>
    </fill>
    <fill>
      <patternFill patternType="solid">
        <fgColor rgb="FFF2F2F2"/>
        <bgColor indexed="64"/>
      </patternFill>
    </fill>
    <fill>
      <patternFill patternType="solid">
        <fgColor rgb="FFDADADA"/>
        <bgColor indexed="64"/>
      </patternFill>
    </fill>
    <fill>
      <patternFill patternType="solid">
        <fgColor rgb="FFA7A8A7"/>
        <bgColor indexed="64"/>
      </patternFill>
    </fill>
    <fill>
      <patternFill patternType="solid">
        <fgColor rgb="FFFFFFFF"/>
        <bgColor indexed="64"/>
      </patternFill>
    </fill>
    <fill>
      <patternFill patternType="solid">
        <fgColor rgb="FFFFFF00"/>
        <bgColor indexed="64"/>
      </patternFill>
    </fill>
    <fill>
      <patternFill patternType="solid">
        <fgColor rgb="FF69AE23"/>
        <bgColor indexed="64"/>
      </patternFill>
    </fill>
    <fill>
      <patternFill patternType="solid">
        <fgColor rgb="FFD2E7BC"/>
        <bgColor indexed="64"/>
      </patternFill>
    </fill>
    <fill>
      <patternFill patternType="solid">
        <fgColor theme="5"/>
        <bgColor indexed="64"/>
      </patternFill>
    </fill>
  </fills>
  <borders count="24">
    <border>
      <left/>
      <right/>
      <top/>
      <bottom/>
      <diagonal/>
    </border>
    <border>
      <left style="thick">
        <color rgb="FF000000"/>
      </left>
      <right style="medium">
        <color rgb="FF000000"/>
      </right>
      <top style="thick">
        <color rgb="FF000000"/>
      </top>
      <bottom/>
      <diagonal/>
    </border>
    <border>
      <left/>
      <right style="medium">
        <color rgb="FF000000"/>
      </right>
      <top style="thick">
        <color rgb="FF000000"/>
      </top>
      <bottom/>
      <diagonal/>
    </border>
    <border>
      <left/>
      <right/>
      <top style="thick">
        <color rgb="FF000000"/>
      </top>
      <bottom/>
      <diagonal/>
    </border>
    <border>
      <left style="thick">
        <color rgb="FF000000"/>
      </left>
      <right style="medium">
        <color rgb="FF000000"/>
      </right>
      <top/>
      <bottom/>
      <diagonal/>
    </border>
    <border>
      <left/>
      <right style="medium">
        <color rgb="FF000000"/>
      </right>
      <top/>
      <bottom/>
      <diagonal/>
    </border>
    <border>
      <left style="medium">
        <color rgb="FF000000"/>
      </left>
      <right/>
      <top style="thick">
        <color rgb="FF000000"/>
      </top>
      <bottom/>
      <diagonal/>
    </border>
    <border>
      <left style="medium">
        <color rgb="FF000000"/>
      </left>
      <right style="medium">
        <color rgb="FF000000"/>
      </right>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style="medium">
        <color rgb="FFF5F4F4"/>
      </left>
      <right style="medium">
        <color rgb="FFF5F4F4"/>
      </right>
      <top style="medium">
        <color rgb="FFF5F4F4"/>
      </top>
      <bottom style="thick">
        <color rgb="FFC4C3D9"/>
      </bottom>
      <diagonal/>
    </border>
    <border>
      <left style="medium">
        <color rgb="FFF5F4F4"/>
      </left>
      <right style="medium">
        <color rgb="FFF5F4F4"/>
      </right>
      <top style="medium">
        <color rgb="FFF5F4F4"/>
      </top>
      <bottom style="medium">
        <color rgb="FFF5F4F4"/>
      </bottom>
      <diagonal/>
    </border>
    <border>
      <left style="medium">
        <color rgb="FFF5F4F4"/>
      </left>
      <right/>
      <top style="medium">
        <color rgb="FFF5F4F4"/>
      </top>
      <bottom style="medium">
        <color rgb="FFF5F4F4"/>
      </bottom>
      <diagonal/>
    </border>
    <border>
      <left/>
      <right/>
      <top style="medium">
        <color rgb="FFF5F4F4"/>
      </top>
      <bottom style="medium">
        <color rgb="FFF5F4F4"/>
      </bottom>
      <diagonal/>
    </border>
    <border>
      <left/>
      <right style="medium">
        <color rgb="FFF5F4F4"/>
      </right>
      <top style="medium">
        <color rgb="FFF5F4F4"/>
      </top>
      <bottom style="medium">
        <color rgb="FFF5F4F4"/>
      </bottom>
      <diagonal/>
    </border>
    <border>
      <left/>
      <right/>
      <top style="medium">
        <color rgb="FFF5F4F4"/>
      </top>
      <bottom/>
      <diagonal/>
    </border>
    <border>
      <left style="medium">
        <color rgb="FFF5F4F4"/>
      </left>
      <right/>
      <top style="thick">
        <color rgb="FFC4C3D9"/>
      </top>
      <bottom style="medium">
        <color rgb="FFF5F4F4"/>
      </bottom>
      <diagonal/>
    </border>
    <border>
      <left/>
      <right/>
      <top style="thick">
        <color rgb="FFC4C3D9"/>
      </top>
      <bottom style="medium">
        <color rgb="FFF5F4F4"/>
      </bottom>
      <diagonal/>
    </border>
    <border>
      <left/>
      <right style="medium">
        <color rgb="FFF5F4F4"/>
      </right>
      <top style="thick">
        <color rgb="FFC4C3D9"/>
      </top>
      <bottom style="medium">
        <color rgb="FFF5F4F4"/>
      </bottom>
      <diagonal/>
    </border>
    <border>
      <left style="medium">
        <color rgb="FFF5F4F4"/>
      </left>
      <right/>
      <top style="medium">
        <color rgb="FFF5F4F4"/>
      </top>
      <bottom/>
      <diagonal/>
    </border>
    <border>
      <left style="medium">
        <color rgb="FFF5F4F4"/>
      </left>
      <right/>
      <top/>
      <bottom/>
      <diagonal/>
    </border>
    <border>
      <left/>
      <right style="medium">
        <color rgb="FFF5F4F4"/>
      </right>
      <top/>
      <bottom/>
      <diagonal/>
    </border>
    <border>
      <left/>
      <right style="medium">
        <color rgb="FFFFFFFF"/>
      </right>
      <top/>
      <bottom/>
      <diagonal/>
    </border>
    <border>
      <left/>
      <right style="medium">
        <color rgb="FFFFFFFF"/>
      </right>
      <top style="thin">
        <color theme="1"/>
      </top>
      <bottom style="thin">
        <color theme="1"/>
      </bottom>
      <diagonal/>
    </border>
  </borders>
  <cellStyleXfs count="3">
    <xf numFmtId="0" fontId="0" fillId="0" borderId="0"/>
    <xf numFmtId="0" fontId="2" fillId="0" borderId="0" applyNumberFormat="0" applyFill="0" applyBorder="0" applyAlignment="0" applyProtection="0"/>
    <xf numFmtId="9" fontId="17" fillId="0" borderId="0" applyFont="0" applyFill="0" applyBorder="0" applyAlignment="0" applyProtection="0"/>
  </cellStyleXfs>
  <cellXfs count="79">
    <xf numFmtId="0" fontId="0" fillId="0" borderId="0" xfId="0"/>
    <xf numFmtId="0" fontId="2" fillId="0" borderId="0" xfId="1"/>
    <xf numFmtId="0" fontId="0" fillId="0" borderId="0" xfId="0" applyAlignment="1">
      <alignment wrapText="1"/>
    </xf>
    <xf numFmtId="0" fontId="1" fillId="0" borderId="0" xfId="0" applyFont="1"/>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6" fillId="3" borderId="0" xfId="0" applyFont="1" applyFill="1" applyAlignment="1">
      <alignment vertical="center" wrapText="1"/>
    </xf>
    <xf numFmtId="0" fontId="4" fillId="3" borderId="5" xfId="0" applyFont="1" applyFill="1" applyBorder="1" applyAlignment="1">
      <alignment vertical="center" wrapText="1"/>
    </xf>
    <xf numFmtId="0" fontId="4" fillId="4" borderId="0" xfId="0" applyFont="1" applyFill="1" applyAlignment="1">
      <alignment vertical="center" wrapText="1"/>
    </xf>
    <xf numFmtId="0" fontId="5" fillId="0" borderId="5" xfId="0" applyFont="1" applyBorder="1" applyAlignment="1">
      <alignment vertical="center" wrapText="1"/>
    </xf>
    <xf numFmtId="0" fontId="5" fillId="0" borderId="0" xfId="0" applyFont="1" applyAlignment="1">
      <alignment vertical="center" wrapText="1"/>
    </xf>
    <xf numFmtId="0" fontId="7" fillId="0" borderId="5" xfId="0" applyFont="1" applyBorder="1" applyAlignment="1">
      <alignment vertical="center" wrapText="1"/>
    </xf>
    <xf numFmtId="0" fontId="4" fillId="4" borderId="5" xfId="0" applyFont="1" applyFill="1" applyBorder="1" applyAlignment="1">
      <alignment horizontal="left" vertical="center" wrapText="1"/>
    </xf>
    <xf numFmtId="0" fontId="5" fillId="0" borderId="0" xfId="0" applyFont="1" applyAlignment="1">
      <alignment horizontal="left" vertical="center" wrapText="1"/>
    </xf>
    <xf numFmtId="0" fontId="5" fillId="0" borderId="5" xfId="0" applyFont="1" applyBorder="1" applyAlignment="1">
      <alignment horizontal="left" vertical="center" wrapText="1"/>
    </xf>
    <xf numFmtId="0" fontId="8" fillId="0" borderId="0" xfId="0" applyFont="1" applyAlignment="1">
      <alignment vertical="center"/>
    </xf>
    <xf numFmtId="0" fontId="9" fillId="0" borderId="0" xfId="0" applyFont="1" applyAlignment="1">
      <alignment vertical="center"/>
    </xf>
    <xf numFmtId="0" fontId="10" fillId="0" borderId="0" xfId="0" applyFont="1"/>
    <xf numFmtId="0" fontId="11" fillId="0" borderId="0" xfId="0" applyFont="1"/>
    <xf numFmtId="0" fontId="11" fillId="0" borderId="9" xfId="0" applyFont="1" applyBorder="1"/>
    <xf numFmtId="0" fontId="11" fillId="0" borderId="9" xfId="0" applyFont="1" applyBorder="1" applyAlignment="1">
      <alignment wrapText="1"/>
    </xf>
    <xf numFmtId="0" fontId="13" fillId="5" borderId="10" xfId="0" applyFont="1" applyFill="1" applyBorder="1" applyAlignment="1">
      <alignment horizontal="left" vertical="center" wrapText="1" indent="1"/>
    </xf>
    <xf numFmtId="0" fontId="14" fillId="5" borderId="11" xfId="0" applyFont="1" applyFill="1" applyBorder="1" applyAlignment="1">
      <alignment horizontal="left" vertical="center" wrapText="1" indent="1"/>
    </xf>
    <xf numFmtId="0" fontId="15" fillId="5" borderId="10" xfId="0" applyFont="1" applyFill="1" applyBorder="1" applyAlignment="1">
      <alignment horizontal="left" vertical="center" wrapText="1" indent="1"/>
    </xf>
    <xf numFmtId="0" fontId="16" fillId="5" borderId="11" xfId="0" applyFont="1" applyFill="1" applyBorder="1" applyAlignment="1">
      <alignment horizontal="left" vertical="center" wrapText="1" indent="1"/>
    </xf>
    <xf numFmtId="49" fontId="16" fillId="5" borderId="11" xfId="0" applyNumberFormat="1" applyFont="1" applyFill="1" applyBorder="1" applyAlignment="1">
      <alignment horizontal="left" vertical="center" wrapText="1" indent="1"/>
    </xf>
    <xf numFmtId="0" fontId="5" fillId="6" borderId="5" xfId="0" applyFont="1" applyFill="1" applyBorder="1" applyAlignment="1">
      <alignment vertical="center" wrapText="1"/>
    </xf>
    <xf numFmtId="0" fontId="7" fillId="6" borderId="5" xfId="0" applyFont="1" applyFill="1" applyBorder="1" applyAlignment="1">
      <alignment vertical="center" wrapText="1"/>
    </xf>
    <xf numFmtId="0" fontId="5" fillId="6" borderId="0" xfId="0" applyFont="1" applyFill="1" applyAlignment="1">
      <alignment horizontal="left" vertical="center" wrapText="1"/>
    </xf>
    <xf numFmtId="0" fontId="5" fillId="0" borderId="5" xfId="0" applyFont="1" applyFill="1" applyBorder="1" applyAlignment="1">
      <alignment vertical="center" wrapText="1"/>
    </xf>
    <xf numFmtId="0" fontId="7" fillId="0" borderId="5" xfId="0" applyFont="1" applyFill="1" applyBorder="1" applyAlignment="1">
      <alignment vertical="center" wrapText="1"/>
    </xf>
    <xf numFmtId="0" fontId="18" fillId="7" borderId="22" xfId="0" applyFont="1" applyFill="1" applyBorder="1" applyAlignment="1">
      <alignment horizontal="left" vertical="top" wrapText="1" readingOrder="1"/>
    </xf>
    <xf numFmtId="0" fontId="19" fillId="8" borderId="0" xfId="0" applyFont="1" applyFill="1" applyAlignment="1">
      <alignment horizontal="right" vertical="top" wrapText="1" readingOrder="1"/>
    </xf>
    <xf numFmtId="164" fontId="19" fillId="5" borderId="0" xfId="0" applyNumberFormat="1" applyFont="1" applyFill="1" applyAlignment="1">
      <alignment horizontal="right" vertical="top" wrapText="1" readingOrder="1"/>
    </xf>
    <xf numFmtId="164" fontId="0" fillId="0" borderId="0" xfId="0" applyNumberFormat="1"/>
    <xf numFmtId="165" fontId="19" fillId="8" borderId="0" xfId="0" applyNumberFormat="1" applyFont="1" applyFill="1" applyAlignment="1">
      <alignment horizontal="right" vertical="top" wrapText="1" readingOrder="1"/>
    </xf>
    <xf numFmtId="165" fontId="0" fillId="0" borderId="0" xfId="0" applyNumberFormat="1"/>
    <xf numFmtId="0" fontId="18" fillId="7" borderId="23" xfId="0" applyFont="1" applyFill="1" applyBorder="1" applyAlignment="1">
      <alignment horizontal="left" vertical="top" wrapText="1" readingOrder="1"/>
    </xf>
    <xf numFmtId="165" fontId="0" fillId="0" borderId="0" xfId="0" applyNumberFormat="1" applyAlignment="1">
      <alignment horizontal="right"/>
    </xf>
    <xf numFmtId="0" fontId="18" fillId="9" borderId="22" xfId="0" applyFont="1" applyFill="1" applyBorder="1" applyAlignment="1">
      <alignment horizontal="left" vertical="top" wrapText="1" readingOrder="1"/>
    </xf>
    <xf numFmtId="0" fontId="18" fillId="9" borderId="23" xfId="0" applyFont="1" applyFill="1" applyBorder="1" applyAlignment="1">
      <alignment horizontal="left" vertical="top" wrapText="1" readingOrder="1"/>
    </xf>
    <xf numFmtId="166" fontId="0" fillId="0" borderId="0" xfId="0" applyNumberFormat="1"/>
    <xf numFmtId="167" fontId="0" fillId="0" borderId="0" xfId="0" applyNumberFormat="1"/>
    <xf numFmtId="1" fontId="0" fillId="0" borderId="0" xfId="0" applyNumberFormat="1"/>
    <xf numFmtId="0" fontId="4" fillId="2" borderId="4" xfId="0" applyFont="1" applyFill="1" applyBorder="1" applyAlignment="1">
      <alignment vertical="center" wrapText="1"/>
    </xf>
    <xf numFmtId="0" fontId="4" fillId="2" borderId="7" xfId="0" applyFont="1" applyFill="1" applyBorder="1" applyAlignment="1">
      <alignment vertical="center" wrapText="1"/>
    </xf>
    <xf numFmtId="0" fontId="4" fillId="4" borderId="0" xfId="0" applyFont="1" applyFill="1" applyBorder="1" applyAlignment="1">
      <alignment horizontal="left" vertical="center" wrapText="1"/>
    </xf>
    <xf numFmtId="0" fontId="5" fillId="0" borderId="0" xfId="0" applyFont="1" applyBorder="1" applyAlignment="1">
      <alignment horizontal="left" vertical="center" wrapText="1"/>
    </xf>
    <xf numFmtId="0" fontId="5" fillId="6" borderId="0" xfId="0" applyFont="1" applyFill="1" applyBorder="1" applyAlignment="1">
      <alignment horizontal="left" vertical="center" wrapText="1"/>
    </xf>
    <xf numFmtId="9" fontId="0" fillId="0" borderId="0" xfId="2" applyFont="1"/>
    <xf numFmtId="10" fontId="0" fillId="0" borderId="0" xfId="2" applyNumberFormat="1" applyFont="1"/>
    <xf numFmtId="10" fontId="0" fillId="0" borderId="0" xfId="0" applyNumberFormat="1"/>
    <xf numFmtId="9" fontId="0" fillId="0" borderId="0" xfId="0" applyNumberFormat="1"/>
    <xf numFmtId="168" fontId="0" fillId="0" borderId="0" xfId="0" applyNumberFormat="1"/>
    <xf numFmtId="8" fontId="0" fillId="0" borderId="0" xfId="0" applyNumberFormat="1"/>
    <xf numFmtId="169" fontId="0" fillId="0" borderId="0" xfId="0" applyNumberFormat="1"/>
    <xf numFmtId="0" fontId="0" fillId="0" borderId="0" xfId="0" applyNumberFormat="1"/>
    <xf numFmtId="0" fontId="0" fillId="0" borderId="0" xfId="0" applyNumberFormat="1" applyAlignment="1">
      <alignment wrapText="1"/>
    </xf>
    <xf numFmtId="0" fontId="0" fillId="0" borderId="0" xfId="0" applyAlignment="1">
      <alignment horizontal="center" wrapText="1"/>
    </xf>
    <xf numFmtId="0" fontId="4" fillId="2" borderId="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13" fillId="5" borderId="16" xfId="0" applyFont="1" applyFill="1" applyBorder="1" applyAlignment="1">
      <alignment horizontal="left" vertical="center" wrapText="1" indent="1"/>
    </xf>
    <xf numFmtId="0" fontId="13" fillId="5" borderId="17" xfId="0" applyFont="1" applyFill="1" applyBorder="1" applyAlignment="1">
      <alignment horizontal="left" vertical="center" wrapText="1" indent="1"/>
    </xf>
    <xf numFmtId="0" fontId="13" fillId="5" borderId="18" xfId="0" applyFont="1" applyFill="1" applyBorder="1" applyAlignment="1">
      <alignment horizontal="left" vertical="center" wrapText="1" indent="1"/>
    </xf>
    <xf numFmtId="0" fontId="13" fillId="5" borderId="12" xfId="0" applyFont="1" applyFill="1" applyBorder="1" applyAlignment="1">
      <alignment horizontal="left" vertical="center" wrapText="1" indent="1"/>
    </xf>
    <xf numFmtId="0" fontId="13" fillId="5" borderId="13" xfId="0" applyFont="1" applyFill="1" applyBorder="1" applyAlignment="1">
      <alignment horizontal="left" vertical="center" wrapText="1" indent="1"/>
    </xf>
    <xf numFmtId="0" fontId="13" fillId="5" borderId="14" xfId="0" applyFont="1" applyFill="1" applyBorder="1" applyAlignment="1">
      <alignment horizontal="left" vertical="center" wrapText="1" indent="1"/>
    </xf>
    <xf numFmtId="0" fontId="13" fillId="5" borderId="19" xfId="0" applyFont="1" applyFill="1" applyBorder="1" applyAlignment="1">
      <alignment horizontal="center" vertical="center" wrapText="1"/>
    </xf>
    <xf numFmtId="0" fontId="13" fillId="5" borderId="15"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21"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left" vertical="center" wrapText="1"/>
    </xf>
    <xf numFmtId="0" fontId="12" fillId="0" borderId="9" xfId="0" applyFont="1" applyBorder="1" applyAlignment="1">
      <alignment horizontal="center" vertical="center"/>
    </xf>
  </cellXfs>
  <cellStyles count="3">
    <cellStyle name="Hiperligação" xfId="1" builtinId="8"/>
    <cellStyle name="Normal" xfId="0" builtinId="0"/>
    <cellStyle name="Percentagem" xfId="2" builtinId="5"/>
  </cellStyles>
  <dxfs count="16">
    <dxf>
      <font>
        <b val="0"/>
        <i val="0"/>
        <strike val="0"/>
        <condense val="0"/>
        <extend val="0"/>
        <outline val="0"/>
        <shadow val="0"/>
        <u val="none"/>
        <vertAlign val="baseline"/>
        <sz val="8"/>
        <color theme="1"/>
        <name val="Times New Roman"/>
        <family val="1"/>
        <scheme val="none"/>
      </font>
      <alignment horizontal="left" vertical="center" textRotation="0" wrapText="1" indent="0" justifyLastLine="0" shrinkToFit="0" readingOrder="0"/>
    </dxf>
    <dxf>
      <font>
        <b val="0"/>
        <i val="0"/>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Times New Roman"/>
        <family val="1"/>
        <scheme val="none"/>
      </font>
      <alignment horizontal="left" vertical="center" textRotation="0" wrapText="1" indent="0" justifyLastLine="0" shrinkToFit="0" readingOrder="0"/>
    </dxf>
    <dxf>
      <font>
        <b val="0"/>
        <i val="0"/>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Times New Roman"/>
        <family val="1"/>
        <scheme val="none"/>
      </font>
      <alignment horizontal="left" vertical="center" textRotation="0" wrapText="1" indent="0" justifyLastLine="0" shrinkToFit="0" readingOrder="0"/>
      <border diagonalUp="0" diagonalDown="0">
        <left/>
        <right style="medium">
          <color rgb="FF000000"/>
        </right>
        <top/>
        <bottom/>
        <vertical/>
        <horizontal/>
      </border>
    </dxf>
    <dxf>
      <font>
        <b val="0"/>
        <i val="0"/>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Times New Roman"/>
        <family val="1"/>
        <scheme val="none"/>
      </font>
      <alignment horizontal="left" vertical="center" textRotation="0" wrapText="1" indent="0" justifyLastLine="0" shrinkToFit="0" readingOrder="0"/>
    </dxf>
    <dxf>
      <font>
        <b val="0"/>
        <i val="0"/>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border diagonalUp="0" diagonalDown="0">
        <left/>
        <right style="medium">
          <color rgb="FF000000"/>
        </right>
        <top/>
        <bottom/>
        <vertical/>
        <horizontal/>
      </border>
    </dxf>
    <dxf>
      <font>
        <b val="0"/>
        <i/>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border diagonalUp="0" diagonalDown="0">
        <left/>
        <right style="medium">
          <color rgb="FF000000"/>
        </right>
        <top/>
        <bottom/>
        <vertical/>
        <horizontal/>
      </border>
    </dxf>
    <dxf>
      <border outline="0">
        <right style="medium">
          <color rgb="FF000000"/>
        </right>
      </border>
    </dxf>
    <dxf>
      <font>
        <b val="0"/>
        <i val="0"/>
        <strike val="0"/>
        <condense val="0"/>
        <extend val="0"/>
        <outline val="0"/>
        <shadow val="0"/>
        <u val="none"/>
        <vertAlign val="baseline"/>
        <sz val="8"/>
        <color rgb="FF000000"/>
        <name val="Times New Roman"/>
        <family val="1"/>
        <scheme val="none"/>
      </font>
      <fill>
        <patternFill patternType="solid">
          <fgColor indexed="64"/>
          <bgColor rgb="FFA7A8A7"/>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Tahoma"/>
        <family val="2"/>
        <scheme val="none"/>
      </font>
      <fill>
        <patternFill patternType="solid">
          <fgColor indexed="64"/>
          <bgColor rgb="FFD2E7BC"/>
        </patternFill>
      </fill>
      <alignment horizontal="right" vertical="top" textRotation="0" wrapText="1" indent="0" justifyLastLine="0" shrinkToFit="0" readingOrder="1"/>
    </dxf>
    <dxf>
      <font>
        <b val="0"/>
        <i val="0"/>
        <strike val="0"/>
        <condense val="0"/>
        <extend val="0"/>
        <outline val="0"/>
        <shadow val="0"/>
        <u val="none"/>
        <vertAlign val="baseline"/>
        <sz val="8"/>
        <color rgb="FF333333"/>
        <name val="Tahoma"/>
        <family val="2"/>
        <scheme val="none"/>
      </font>
      <fill>
        <patternFill patternType="solid">
          <fgColor indexed="64"/>
          <bgColor rgb="FFD2E7BC"/>
        </patternFill>
      </fill>
      <alignment horizontal="right" vertical="top" textRotation="0" wrapText="1" indent="0" justifyLastLine="0" shrinkToFit="0" readingOrder="1"/>
    </dxf>
    <dxf>
      <font>
        <b val="0"/>
        <i val="0"/>
        <strike val="0"/>
        <condense val="0"/>
        <extend val="0"/>
        <outline val="0"/>
        <shadow val="0"/>
        <u val="none"/>
        <vertAlign val="baseline"/>
        <sz val="8"/>
        <color rgb="FF333333"/>
        <name val="Tahoma"/>
        <family val="2"/>
        <scheme val="none"/>
      </font>
      <fill>
        <patternFill patternType="solid">
          <fgColor indexed="64"/>
          <bgColor rgb="FFFFFFFF"/>
        </patternFill>
      </fill>
      <alignment horizontal="right" vertical="top" textRotation="0" wrapText="1" indent="0" justifyLastLine="0" shrinkToFit="0" readingOrder="1"/>
    </dxf>
    <dxf>
      <font>
        <b/>
        <i val="0"/>
        <strike val="0"/>
        <condense val="0"/>
        <extend val="0"/>
        <outline val="0"/>
        <shadow val="0"/>
        <u val="none"/>
        <vertAlign val="baseline"/>
        <sz val="8"/>
        <color rgb="FFFFFFFF"/>
        <name val="Tahoma"/>
        <family val="2"/>
        <scheme val="none"/>
      </font>
      <fill>
        <patternFill patternType="solid">
          <fgColor indexed="64"/>
          <bgColor rgb="FF69AE23"/>
        </patternFill>
      </fill>
      <alignment horizontal="left" vertical="top"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Forecast consumo Carbapenemos Hospitalar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Análise!$C$1</c:f>
              <c:strCache>
                <c:ptCount val="1"/>
                <c:pt idx="0">
                  <c:v>Carbapenems (ATC group J01DH) Hosp (DDD 1.000 inhabitants/day)</c:v>
                </c:pt>
              </c:strCache>
            </c:strRef>
          </c:tx>
          <c:spPr>
            <a:ln w="28575" cap="rnd">
              <a:solidFill>
                <a:schemeClr val="accent1"/>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Análise!$C$2:$C$55</c:f>
              <c:numCache>
                <c:formatCode>0.0000</c:formatCode>
                <c:ptCount val="54"/>
                <c:pt idx="12">
                  <c:v>0.106</c:v>
                </c:pt>
                <c:pt idx="13">
                  <c:v>0.11</c:v>
                </c:pt>
                <c:pt idx="14">
                  <c:v>0.107</c:v>
                </c:pt>
                <c:pt idx="15">
                  <c:v>0.109</c:v>
                </c:pt>
                <c:pt idx="16">
                  <c:v>0.113</c:v>
                </c:pt>
                <c:pt idx="17">
                  <c:v>0.106</c:v>
                </c:pt>
                <c:pt idx="18">
                  <c:v>0.1</c:v>
                </c:pt>
                <c:pt idx="19">
                  <c:v>9.1999999999999998E-2</c:v>
                </c:pt>
                <c:pt idx="20">
                  <c:v>8.3000000000000004E-2</c:v>
                </c:pt>
                <c:pt idx="21">
                  <c:v>8.1000000000000003E-2</c:v>
                </c:pt>
                <c:pt idx="22">
                  <c:v>7.4999999999999997E-2</c:v>
                </c:pt>
                <c:pt idx="23">
                  <c:v>8.1000000000000003E-2</c:v>
                </c:pt>
              </c:numCache>
            </c:numRef>
          </c:val>
          <c:smooth val="0"/>
          <c:extLst>
            <c:ext xmlns:c16="http://schemas.microsoft.com/office/drawing/2014/chart" uri="{C3380CC4-5D6E-409C-BE32-E72D297353CC}">
              <c16:uniqueId val="{00000000-2DAA-46F9-BF8F-F34DFEA1F9DA}"/>
            </c:ext>
          </c:extLst>
        </c:ser>
        <c:ser>
          <c:idx val="1"/>
          <c:order val="1"/>
          <c:tx>
            <c:strRef>
              <c:f>Análise!$D$1</c:f>
              <c:strCache>
                <c:ptCount val="1"/>
                <c:pt idx="0">
                  <c:v>Carbapenems (ATC group J01DH) Hosp Forecast (DDD 1.000 patient/year)</c:v>
                </c:pt>
              </c:strCache>
            </c:strRef>
          </c:tx>
          <c:spPr>
            <a:ln w="28575" cap="rnd">
              <a:solidFill>
                <a:schemeClr val="accent2"/>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Análise!$D$2:$D$55</c:f>
              <c:numCache>
                <c:formatCode>0.0000</c:formatCode>
                <c:ptCount val="54"/>
                <c:pt idx="23">
                  <c:v>8.1000000000000003E-2</c:v>
                </c:pt>
                <c:pt idx="24">
                  <c:v>7.140221957033685E-2</c:v>
                </c:pt>
                <c:pt idx="25">
                  <c:v>6.6702122663322094E-2</c:v>
                </c:pt>
                <c:pt idx="26">
                  <c:v>5.9456262851524784E-2</c:v>
                </c:pt>
                <c:pt idx="27">
                  <c:v>5.8570679946204962E-2</c:v>
                </c:pt>
                <c:pt idx="28">
                  <c:v>5.6055887708733577E-2</c:v>
                </c:pt>
                <c:pt idx="29">
                  <c:v>5.7855901973488867E-2</c:v>
                </c:pt>
                <c:pt idx="30">
                  <c:v>4.8297720318869329E-2</c:v>
                </c:pt>
                <c:pt idx="31">
                  <c:v>4.3597034623184622E-2</c:v>
                </c:pt>
                <c:pt idx="32">
                  <c:v>3.6365194563166003E-2</c:v>
                </c:pt>
                <c:pt idx="33">
                  <c:v>3.5442347865492198E-2</c:v>
                </c:pt>
                <c:pt idx="34">
                  <c:v>3.2932018183289016E-2</c:v>
                </c:pt>
                <c:pt idx="35">
                  <c:v>3.471524292076069E-2</c:v>
                </c:pt>
                <c:pt idx="36">
                  <c:v>2.5219493445727562E-2</c:v>
                </c:pt>
                <c:pt idx="37">
                  <c:v>2.0479210337217828E-2</c:v>
                </c:pt>
                <c:pt idx="38">
                  <c:v>1.3254274604089962E-2</c:v>
                </c:pt>
                <c:pt idx="39">
                  <c:v>1.2316415450223758E-2</c:v>
                </c:pt>
                <c:pt idx="40">
                  <c:v>9.8150507621931789E-3</c:v>
                </c:pt>
                <c:pt idx="41">
                  <c:v>1.1579466546025048E-2</c:v>
                </c:pt>
                <c:pt idx="42">
                  <c:v>2.1149941942600423E-3</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1-2DAA-46F9-BF8F-F34DFEA1F9DA}"/>
            </c:ext>
          </c:extLst>
        </c:ser>
        <c:ser>
          <c:idx val="2"/>
          <c:order val="2"/>
          <c:tx>
            <c:strRef>
              <c:f>Análise!$E$1</c:f>
              <c:strCache>
                <c:ptCount val="1"/>
                <c:pt idx="0">
                  <c:v>Carbapenems (ATC group J01DH) Hosp low IC95 (DDD 1.000 patient/year)</c:v>
                </c:pt>
              </c:strCache>
            </c:strRef>
          </c:tx>
          <c:spPr>
            <a:ln w="28575" cap="rnd">
              <a:solidFill>
                <a:schemeClr val="bg2">
                  <a:lumMod val="90000"/>
                </a:schemeClr>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Análise!$E$2:$E$55</c:f>
              <c:numCache>
                <c:formatCode>0.0000</c:formatCode>
                <c:ptCount val="54"/>
                <c:pt idx="23">
                  <c:v>8.1000000000000003E-2</c:v>
                </c:pt>
                <c:pt idx="24">
                  <c:v>5.7724048317230547E-2</c:v>
                </c:pt>
                <c:pt idx="25">
                  <c:v>5.1403340342567688E-2</c:v>
                </c:pt>
                <c:pt idx="26">
                  <c:v>4.268722096439577E-2</c:v>
                </c:pt>
                <c:pt idx="27">
                  <c:v>4.044866335094488E-2</c:v>
                </c:pt>
                <c:pt idx="28">
                  <c:v>3.6666945753814434E-2</c:v>
                </c:pt>
                <c:pt idx="29">
                  <c:v>3.7273293190906234E-2</c:v>
                </c:pt>
                <c:pt idx="30">
                  <c:v>2.3554544394178568E-2</c:v>
                </c:pt>
                <c:pt idx="31">
                  <c:v>1.7895447428647192E-2</c:v>
                </c:pt>
                <c:pt idx="32">
                  <c:v>9.7409268952235312E-3</c:v>
                </c:pt>
                <c:pt idx="33">
                  <c:v>7.9228517895924E-3</c:v>
                </c:pt>
                <c:pt idx="34">
                  <c:v>4.5421547675874203E-3</c:v>
                </c:pt>
                <c:pt idx="35">
                  <c:v>5.4799167599687004E-3</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2DAA-46F9-BF8F-F34DFEA1F9DA}"/>
            </c:ext>
          </c:extLst>
        </c:ser>
        <c:ser>
          <c:idx val="3"/>
          <c:order val="3"/>
          <c:tx>
            <c:strRef>
              <c:f>Análise!$F$1</c:f>
              <c:strCache>
                <c:ptCount val="1"/>
                <c:pt idx="0">
                  <c:v>Carbapenems (ATC group J01DH) Hosp high IC95 (DDD 1.000 patient/year)</c:v>
                </c:pt>
              </c:strCache>
            </c:strRef>
          </c:tx>
          <c:spPr>
            <a:ln w="28575" cap="rnd">
              <a:solidFill>
                <a:schemeClr val="bg2">
                  <a:lumMod val="90000"/>
                </a:schemeClr>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Análise!$F$2:$F$55</c:f>
              <c:numCache>
                <c:formatCode>0.0000</c:formatCode>
                <c:ptCount val="54"/>
                <c:pt idx="23">
                  <c:v>8.1000000000000003E-2</c:v>
                </c:pt>
                <c:pt idx="24">
                  <c:v>8.5080390823443153E-2</c:v>
                </c:pt>
                <c:pt idx="25">
                  <c:v>8.20009049840765E-2</c:v>
                </c:pt>
                <c:pt idx="26">
                  <c:v>7.6225304738653799E-2</c:v>
                </c:pt>
                <c:pt idx="27">
                  <c:v>7.6692696541465044E-2</c:v>
                </c:pt>
                <c:pt idx="28">
                  <c:v>7.5444829663652721E-2</c:v>
                </c:pt>
                <c:pt idx="29">
                  <c:v>7.84385107560715E-2</c:v>
                </c:pt>
                <c:pt idx="30">
                  <c:v>7.3040896243560083E-2</c:v>
                </c:pt>
                <c:pt idx="31">
                  <c:v>6.9298621817722048E-2</c:v>
                </c:pt>
                <c:pt idx="32">
                  <c:v>6.2989462231108476E-2</c:v>
                </c:pt>
                <c:pt idx="33">
                  <c:v>6.2961843941391996E-2</c:v>
                </c:pt>
                <c:pt idx="34">
                  <c:v>6.1321881598990616E-2</c:v>
                </c:pt>
                <c:pt idx="35">
                  <c:v>6.395056908155268E-2</c:v>
                </c:pt>
                <c:pt idx="36">
                  <c:v>5.7542302937281554E-2</c:v>
                </c:pt>
                <c:pt idx="37">
                  <c:v>5.3572532927437494E-2</c:v>
                </c:pt>
                <c:pt idx="38">
                  <c:v>4.7086145321964021E-2</c:v>
                </c:pt>
                <c:pt idx="39">
                  <c:v>4.68718926387122E-2</c:v>
                </c:pt>
                <c:pt idx="40">
                  <c:v>4.5083902030764678E-2</c:v>
                </c:pt>
                <c:pt idx="41">
                  <c:v>4.755025308160836E-2</c:v>
                </c:pt>
                <c:pt idx="42">
                  <c:v>4.0661491596628026E-2</c:v>
                </c:pt>
                <c:pt idx="43">
                  <c:v>3.9213008287757554E-2</c:v>
                </c:pt>
                <c:pt idx="44">
                  <c:v>3.9852794713149807E-2</c:v>
                </c:pt>
                <c:pt idx="45">
                  <c:v>4.0484899878194314E-2</c:v>
                </c:pt>
                <c:pt idx="46">
                  <c:v>4.1109659717166798E-2</c:v>
                </c:pt>
                <c:pt idx="47">
                  <c:v>4.1725756132604673E-2</c:v>
                </c:pt>
                <c:pt idx="48">
                  <c:v>4.3982458565870262E-2</c:v>
                </c:pt>
                <c:pt idx="49">
                  <c:v>4.459142186527202E-2</c:v>
                </c:pt>
                <c:pt idx="50">
                  <c:v>4.5168082091935687E-2</c:v>
                </c:pt>
                <c:pt idx="51">
                  <c:v>4.5738099454882622E-2</c:v>
                </c:pt>
                <c:pt idx="52">
                  <c:v>4.6304703784492141E-2</c:v>
                </c:pt>
                <c:pt idx="53">
                  <c:v>4.6866597012820796E-2</c:v>
                </c:pt>
              </c:numCache>
            </c:numRef>
          </c:val>
          <c:smooth val="0"/>
          <c:extLst>
            <c:ext xmlns:c16="http://schemas.microsoft.com/office/drawing/2014/chart" uri="{C3380CC4-5D6E-409C-BE32-E72D297353CC}">
              <c16:uniqueId val="{00000003-2DAA-46F9-BF8F-F34DFEA1F9DA}"/>
            </c:ext>
          </c:extLst>
        </c:ser>
        <c:dLbls>
          <c:showLegendKey val="0"/>
          <c:showVal val="0"/>
          <c:showCatName val="0"/>
          <c:showSerName val="0"/>
          <c:showPercent val="0"/>
          <c:showBubbleSize val="0"/>
        </c:dLbls>
        <c:smooth val="0"/>
        <c:axId val="1934347168"/>
        <c:axId val="1934346336"/>
      </c:lineChart>
      <c:dateAx>
        <c:axId val="1934347168"/>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34346336"/>
        <c:crosses val="autoZero"/>
        <c:auto val="1"/>
        <c:lblOffset val="100"/>
        <c:baseTimeUnit val="years"/>
      </c:dateAx>
      <c:valAx>
        <c:axId val="1934346336"/>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3434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Forecast consumo Cefalosporinas 3ª Geração Hospitalar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Análise!$G$1</c:f>
              <c:strCache>
                <c:ptCount val="1"/>
                <c:pt idx="0">
                  <c:v>Carbapenems (ATC group J01DH) Comm (DDD 1.000 patient/year)</c:v>
                </c:pt>
              </c:strCache>
            </c:strRef>
          </c:tx>
          <c:spPr>
            <a:ln w="28575" cap="rnd">
              <a:solidFill>
                <a:schemeClr val="accent1"/>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Análise!$I$3:$I$56</c:f>
              <c:numCache>
                <c:formatCode>0.0000</c:formatCode>
                <c:ptCount val="54"/>
                <c:pt idx="11">
                  <c:v>0.128</c:v>
                </c:pt>
                <c:pt idx="12">
                  <c:v>0.127</c:v>
                </c:pt>
                <c:pt idx="13">
                  <c:v>0.13400000000000001</c:v>
                </c:pt>
                <c:pt idx="14">
                  <c:v>0.13700000000000001</c:v>
                </c:pt>
                <c:pt idx="15">
                  <c:v>0.14099999999999999</c:v>
                </c:pt>
                <c:pt idx="16">
                  <c:v>0.14499999999999999</c:v>
                </c:pt>
                <c:pt idx="17">
                  <c:v>0.151</c:v>
                </c:pt>
                <c:pt idx="18">
                  <c:v>0.161</c:v>
                </c:pt>
                <c:pt idx="19">
                  <c:v>0.16300000000000001</c:v>
                </c:pt>
                <c:pt idx="20">
                  <c:v>0.16500000000000001</c:v>
                </c:pt>
                <c:pt idx="21">
                  <c:v>0.16500000000000001</c:v>
                </c:pt>
                <c:pt idx="22">
                  <c:v>0.186</c:v>
                </c:pt>
              </c:numCache>
            </c:numRef>
          </c:val>
          <c:smooth val="0"/>
          <c:extLst>
            <c:ext xmlns:c16="http://schemas.microsoft.com/office/drawing/2014/chart" uri="{C3380CC4-5D6E-409C-BE32-E72D297353CC}">
              <c16:uniqueId val="{00000000-E7D7-41B8-AFA4-DD9132584D0B}"/>
            </c:ext>
          </c:extLst>
        </c:ser>
        <c:ser>
          <c:idx val="1"/>
          <c:order val="1"/>
          <c:tx>
            <c:strRef>
              <c:f>Análise!$D$1</c:f>
              <c:strCache>
                <c:ptCount val="1"/>
                <c:pt idx="0">
                  <c:v>Carbapenems (ATC group J01DH) Hosp Forecast (DDD 1.000 patient/year)</c:v>
                </c:pt>
              </c:strCache>
            </c:strRef>
          </c:tx>
          <c:spPr>
            <a:ln w="28575" cap="rnd">
              <a:solidFill>
                <a:schemeClr val="accent2"/>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Análise!$J$3:$J$56</c:f>
              <c:numCache>
                <c:formatCode>0.0000</c:formatCode>
                <c:ptCount val="54"/>
                <c:pt idx="22">
                  <c:v>0.186</c:v>
                </c:pt>
                <c:pt idx="23">
                  <c:v>0.18438140645353066</c:v>
                </c:pt>
                <c:pt idx="24">
                  <c:v>0.18924811154481669</c:v>
                </c:pt>
                <c:pt idx="25">
                  <c:v>0.19411481663610275</c:v>
                </c:pt>
                <c:pt idx="26">
                  <c:v>0.19896822471894268</c:v>
                </c:pt>
                <c:pt idx="27">
                  <c:v>0.2038348933800686</c:v>
                </c:pt>
                <c:pt idx="28">
                  <c:v>0.20870159847135467</c:v>
                </c:pt>
                <c:pt idx="29">
                  <c:v>0.2135683035626407</c:v>
                </c:pt>
                <c:pt idx="30">
                  <c:v>0.21842174807564074</c:v>
                </c:pt>
                <c:pt idx="31">
                  <c:v>0.22328838030660655</c:v>
                </c:pt>
                <c:pt idx="32">
                  <c:v>0.22815508539789259</c:v>
                </c:pt>
                <c:pt idx="33">
                  <c:v>0.23302179048917865</c:v>
                </c:pt>
                <c:pt idx="34">
                  <c:v>0.23787527143233883</c:v>
                </c:pt>
                <c:pt idx="35">
                  <c:v>0.2427418672331445</c:v>
                </c:pt>
                <c:pt idx="36">
                  <c:v>0.24760857232443056</c:v>
                </c:pt>
                <c:pt idx="37">
                  <c:v>0.25247527741571657</c:v>
                </c:pt>
                <c:pt idx="38">
                  <c:v>0.25732879478903686</c:v>
                </c:pt>
                <c:pt idx="39">
                  <c:v>0.26219535415968243</c:v>
                </c:pt>
                <c:pt idx="40">
                  <c:v>0.26706205925096849</c:v>
                </c:pt>
                <c:pt idx="41">
                  <c:v>0.27192876434225455</c:v>
                </c:pt>
                <c:pt idx="42">
                  <c:v>0.27678231814573501</c:v>
                </c:pt>
                <c:pt idx="43">
                  <c:v>0.2816488410862204</c:v>
                </c:pt>
                <c:pt idx="44">
                  <c:v>0.28651554617750646</c:v>
                </c:pt>
                <c:pt idx="45">
                  <c:v>0.29138225126879252</c:v>
                </c:pt>
                <c:pt idx="46">
                  <c:v>0.29623584150243309</c:v>
                </c:pt>
                <c:pt idx="47">
                  <c:v>0.30110232801275838</c:v>
                </c:pt>
                <c:pt idx="48">
                  <c:v>0.30596903310404444</c:v>
                </c:pt>
                <c:pt idx="49">
                  <c:v>0.3108357381953305</c:v>
                </c:pt>
                <c:pt idx="50">
                  <c:v>0.31568936485913113</c:v>
                </c:pt>
                <c:pt idx="51">
                  <c:v>0.3205558149392963</c:v>
                </c:pt>
                <c:pt idx="52">
                  <c:v>0.32542252003058231</c:v>
                </c:pt>
              </c:numCache>
            </c:numRef>
          </c:val>
          <c:smooth val="0"/>
          <c:extLst>
            <c:ext xmlns:c16="http://schemas.microsoft.com/office/drawing/2014/chart" uri="{C3380CC4-5D6E-409C-BE32-E72D297353CC}">
              <c16:uniqueId val="{00000001-E7D7-41B8-AFA4-DD9132584D0B}"/>
            </c:ext>
          </c:extLst>
        </c:ser>
        <c:ser>
          <c:idx val="2"/>
          <c:order val="2"/>
          <c:tx>
            <c:strRef>
              <c:f>Análise!$E$1</c:f>
              <c:strCache>
                <c:ptCount val="1"/>
                <c:pt idx="0">
                  <c:v>Carbapenems (ATC group J01DH) Hosp low IC95 (DDD 1.000 patient/year)</c:v>
                </c:pt>
              </c:strCache>
            </c:strRef>
          </c:tx>
          <c:spPr>
            <a:ln w="28575" cap="rnd">
              <a:solidFill>
                <a:schemeClr val="bg2">
                  <a:lumMod val="90000"/>
                </a:schemeClr>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Análise!$K$3:$K$56</c:f>
              <c:numCache>
                <c:formatCode>0.0000</c:formatCode>
                <c:ptCount val="54"/>
                <c:pt idx="22">
                  <c:v>0.186</c:v>
                </c:pt>
                <c:pt idx="23">
                  <c:v>0.17470028852523967</c:v>
                </c:pt>
                <c:pt idx="24">
                  <c:v>0.17841995966209764</c:v>
                </c:pt>
                <c:pt idx="25">
                  <c:v>0.18224604638533701</c:v>
                </c:pt>
                <c:pt idx="26">
                  <c:v>0.18614184782171553</c:v>
                </c:pt>
                <c:pt idx="27">
                  <c:v>0.19011181373024094</c:v>
                </c:pt>
                <c:pt idx="28">
                  <c:v>0.19413366689564729</c:v>
                </c:pt>
                <c:pt idx="29">
                  <c:v>0.19819881755273319</c:v>
                </c:pt>
                <c:pt idx="30">
                  <c:v>0.20228957934150443</c:v>
                </c:pt>
                <c:pt idx="31">
                  <c:v>0.20642324502979767</c:v>
                </c:pt>
                <c:pt idx="32">
                  <c:v>0.21058481548675487</c:v>
                </c:pt>
                <c:pt idx="33">
                  <c:v>0.2147709963867438</c:v>
                </c:pt>
                <c:pt idx="34">
                  <c:v>0.21896765982692454</c:v>
                </c:pt>
                <c:pt idx="35">
                  <c:v>0.22319536793385583</c:v>
                </c:pt>
                <c:pt idx="36">
                  <c:v>0.22744102144958664</c:v>
                </c:pt>
                <c:pt idx="37">
                  <c:v>0.23170291994780712</c:v>
                </c:pt>
                <c:pt idx="38">
                  <c:v>0.23596806816123467</c:v>
                </c:pt>
                <c:pt idx="39">
                  <c:v>0.24025832090633276</c:v>
                </c:pt>
                <c:pt idx="40">
                  <c:v>0.24456130875150689</c:v>
                </c:pt>
                <c:pt idx="41">
                  <c:v>0.24887597447961232</c:v>
                </c:pt>
                <c:pt idx="42">
                  <c:v>0.25318978889386234</c:v>
                </c:pt>
                <c:pt idx="43">
                  <c:v>0.25752523979544162</c:v>
                </c:pt>
                <c:pt idx="44">
                  <c:v>0.26187031639513259</c:v>
                </c:pt>
                <c:pt idx="45">
                  <c:v>0.26622426417868494</c:v>
                </c:pt>
                <c:pt idx="46">
                  <c:v>0.27057477893647874</c:v>
                </c:pt>
                <c:pt idx="47">
                  <c:v>0.27494469546090572</c:v>
                </c:pt>
                <c:pt idx="48">
                  <c:v>0.27932221689127057</c:v>
                </c:pt>
                <c:pt idx="49">
                  <c:v>0.28370674284485325</c:v>
                </c:pt>
                <c:pt idx="50">
                  <c:v>0.28808609148979886</c:v>
                </c:pt>
                <c:pt idx="51">
                  <c:v>0.29248329805125484</c:v>
                </c:pt>
                <c:pt idx="52">
                  <c:v>0.29688671559440061</c:v>
                </c:pt>
              </c:numCache>
            </c:numRef>
          </c:val>
          <c:smooth val="0"/>
          <c:extLst>
            <c:ext xmlns:c16="http://schemas.microsoft.com/office/drawing/2014/chart" uri="{C3380CC4-5D6E-409C-BE32-E72D297353CC}">
              <c16:uniqueId val="{00000002-E7D7-41B8-AFA4-DD9132584D0B}"/>
            </c:ext>
          </c:extLst>
        </c:ser>
        <c:ser>
          <c:idx val="3"/>
          <c:order val="3"/>
          <c:tx>
            <c:strRef>
              <c:f>Análise!$F$1</c:f>
              <c:strCache>
                <c:ptCount val="1"/>
                <c:pt idx="0">
                  <c:v>Carbapenems (ATC group J01DH) Hosp high IC95 (DDD 1.000 patient/year)</c:v>
                </c:pt>
              </c:strCache>
            </c:strRef>
          </c:tx>
          <c:spPr>
            <a:ln w="28575" cap="rnd">
              <a:solidFill>
                <a:schemeClr val="bg2">
                  <a:lumMod val="90000"/>
                </a:schemeClr>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Análise!$L$3:$L$56</c:f>
              <c:numCache>
                <c:formatCode>0.0000</c:formatCode>
                <c:ptCount val="54"/>
                <c:pt idx="22">
                  <c:v>0.186</c:v>
                </c:pt>
                <c:pt idx="23">
                  <c:v>0.19406252438182164</c:v>
                </c:pt>
                <c:pt idx="24">
                  <c:v>0.20007626342753573</c:v>
                </c:pt>
                <c:pt idx="25">
                  <c:v>0.20598358688686849</c:v>
                </c:pt>
                <c:pt idx="26">
                  <c:v>0.21179460161616984</c:v>
                </c:pt>
                <c:pt idx="27">
                  <c:v>0.21755797302989627</c:v>
                </c:pt>
                <c:pt idx="28">
                  <c:v>0.22326953004706204</c:v>
                </c:pt>
                <c:pt idx="29">
                  <c:v>0.22893778957254821</c:v>
                </c:pt>
                <c:pt idx="30">
                  <c:v>0.23455391680977705</c:v>
                </c:pt>
                <c:pt idx="31">
                  <c:v>0.24015351558341544</c:v>
                </c:pt>
                <c:pt idx="32">
                  <c:v>0.24572535530903031</c:v>
                </c:pt>
                <c:pt idx="33">
                  <c:v>0.2512725845916135</c:v>
                </c:pt>
                <c:pt idx="34">
                  <c:v>0.25678288303775315</c:v>
                </c:pt>
                <c:pt idx="35">
                  <c:v>0.2622883665324332</c:v>
                </c:pt>
                <c:pt idx="36">
                  <c:v>0.26777612319927452</c:v>
                </c:pt>
                <c:pt idx="37">
                  <c:v>0.27324763488362602</c:v>
                </c:pt>
                <c:pt idx="38">
                  <c:v>0.27868952141683906</c:v>
                </c:pt>
                <c:pt idx="39">
                  <c:v>0.28413238741303209</c:v>
                </c:pt>
                <c:pt idx="40">
                  <c:v>0.28956280975043008</c:v>
                </c:pt>
                <c:pt idx="41">
                  <c:v>0.2949815542048968</c:v>
                </c:pt>
                <c:pt idx="42">
                  <c:v>0.30037484739760767</c:v>
                </c:pt>
                <c:pt idx="43">
                  <c:v>0.30577244237699919</c:v>
                </c:pt>
                <c:pt idx="44">
                  <c:v>0.31116077595988034</c:v>
                </c:pt>
                <c:pt idx="45">
                  <c:v>0.31654023835890011</c:v>
                </c:pt>
                <c:pt idx="46">
                  <c:v>0.32189690406838745</c:v>
                </c:pt>
                <c:pt idx="47">
                  <c:v>0.32725996056461104</c:v>
                </c:pt>
                <c:pt idx="48">
                  <c:v>0.33261584931681831</c:v>
                </c:pt>
                <c:pt idx="49">
                  <c:v>0.33796473354580775</c:v>
                </c:pt>
                <c:pt idx="50">
                  <c:v>0.3432926382284634</c:v>
                </c:pt>
                <c:pt idx="51">
                  <c:v>0.34862833182733777</c:v>
                </c:pt>
                <c:pt idx="52">
                  <c:v>0.35395832446676401</c:v>
                </c:pt>
              </c:numCache>
            </c:numRef>
          </c:val>
          <c:smooth val="0"/>
          <c:extLst>
            <c:ext xmlns:c16="http://schemas.microsoft.com/office/drawing/2014/chart" uri="{C3380CC4-5D6E-409C-BE32-E72D297353CC}">
              <c16:uniqueId val="{00000003-E7D7-41B8-AFA4-DD9132584D0B}"/>
            </c:ext>
          </c:extLst>
        </c:ser>
        <c:dLbls>
          <c:showLegendKey val="0"/>
          <c:showVal val="0"/>
          <c:showCatName val="0"/>
          <c:showSerName val="0"/>
          <c:showPercent val="0"/>
          <c:showBubbleSize val="0"/>
        </c:dLbls>
        <c:smooth val="0"/>
        <c:axId val="1934347168"/>
        <c:axId val="1934346336"/>
      </c:lineChart>
      <c:dateAx>
        <c:axId val="1934347168"/>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34346336"/>
        <c:crosses val="autoZero"/>
        <c:auto val="1"/>
        <c:lblOffset val="100"/>
        <c:baseTimeUnit val="years"/>
      </c:dateAx>
      <c:valAx>
        <c:axId val="1934346336"/>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3434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Forecast consumo Cefalosporinas 3ª Geração Comunitária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Análise!$G$1</c:f>
              <c:strCache>
                <c:ptCount val="1"/>
                <c:pt idx="0">
                  <c:v>Carbapenems (ATC group J01DH) Comm (DDD 1.000 patient/year)</c:v>
                </c:pt>
              </c:strCache>
            </c:strRef>
          </c:tx>
          <c:spPr>
            <a:ln w="28575" cap="rnd">
              <a:solidFill>
                <a:schemeClr val="accent1"/>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Análise!$M$2:$M$55</c:f>
              <c:numCache>
                <c:formatCode>0.0000</c:formatCode>
                <c:ptCount val="54"/>
                <c:pt idx="0">
                  <c:v>0.85</c:v>
                </c:pt>
                <c:pt idx="1">
                  <c:v>0.79200000000000004</c:v>
                </c:pt>
                <c:pt idx="2">
                  <c:v>0.9</c:v>
                </c:pt>
                <c:pt idx="3">
                  <c:v>0.94499999999999995</c:v>
                </c:pt>
                <c:pt idx="4">
                  <c:v>0.73299999999999998</c:v>
                </c:pt>
                <c:pt idx="5">
                  <c:v>0.64400000000000002</c:v>
                </c:pt>
                <c:pt idx="6">
                  <c:v>0.65400000000000003</c:v>
                </c:pt>
                <c:pt idx="7">
                  <c:v>0.50900000000000001</c:v>
                </c:pt>
                <c:pt idx="8">
                  <c:v>0.48299999999999998</c:v>
                </c:pt>
                <c:pt idx="9">
                  <c:v>0.377</c:v>
                </c:pt>
                <c:pt idx="10">
                  <c:v>0.36849999999999999</c:v>
                </c:pt>
                <c:pt idx="11">
                  <c:v>0.36</c:v>
                </c:pt>
                <c:pt idx="12">
                  <c:v>0.379</c:v>
                </c:pt>
                <c:pt idx="13">
                  <c:v>0.36599999999999999</c:v>
                </c:pt>
                <c:pt idx="14">
                  <c:v>0.32700000000000001</c:v>
                </c:pt>
                <c:pt idx="15">
                  <c:v>0.22700000000000001</c:v>
                </c:pt>
                <c:pt idx="16">
                  <c:v>0.188</c:v>
                </c:pt>
                <c:pt idx="17">
                  <c:v>0.18</c:v>
                </c:pt>
                <c:pt idx="18">
                  <c:v>0.192</c:v>
                </c:pt>
                <c:pt idx="19">
                  <c:v>0.16900000000000001</c:v>
                </c:pt>
                <c:pt idx="20">
                  <c:v>0.245</c:v>
                </c:pt>
                <c:pt idx="21">
                  <c:v>0.25700000000000001</c:v>
                </c:pt>
                <c:pt idx="22">
                  <c:v>0.16700000000000001</c:v>
                </c:pt>
                <c:pt idx="23">
                  <c:v>0.13600000000000001</c:v>
                </c:pt>
              </c:numCache>
            </c:numRef>
          </c:val>
          <c:smooth val="0"/>
          <c:extLst>
            <c:ext xmlns:c16="http://schemas.microsoft.com/office/drawing/2014/chart" uri="{C3380CC4-5D6E-409C-BE32-E72D297353CC}">
              <c16:uniqueId val="{00000000-2A75-45F3-9797-909BF7C26853}"/>
            </c:ext>
          </c:extLst>
        </c:ser>
        <c:ser>
          <c:idx val="1"/>
          <c:order val="1"/>
          <c:tx>
            <c:strRef>
              <c:f>Análise!$D$1</c:f>
              <c:strCache>
                <c:ptCount val="1"/>
                <c:pt idx="0">
                  <c:v>Carbapenems (ATC group J01DH) Hosp Forecast (DDD 1.000 patient/year)</c:v>
                </c:pt>
              </c:strCache>
            </c:strRef>
          </c:tx>
          <c:spPr>
            <a:ln w="28575" cap="rnd">
              <a:solidFill>
                <a:schemeClr val="accent2"/>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Análise!$N$3:$N$56</c:f>
              <c:numCache>
                <c:formatCode>0.0000</c:formatCode>
                <c:ptCount val="54"/>
                <c:pt idx="22">
                  <c:v>0.13600000000000001</c:v>
                </c:pt>
                <c:pt idx="23">
                  <c:v>0.13394416657670771</c:v>
                </c:pt>
                <c:pt idx="24">
                  <c:v>7.790864745505896E-2</c:v>
                </c:pt>
                <c:pt idx="25">
                  <c:v>0.10515816046957574</c:v>
                </c:pt>
                <c:pt idx="26">
                  <c:v>0.19607404237148496</c:v>
                </c:pt>
                <c:pt idx="27">
                  <c:v>0.1705869254494928</c:v>
                </c:pt>
                <c:pt idx="28">
                  <c:v>0.15187333025764282</c:v>
                </c:pt>
                <c:pt idx="29">
                  <c:v>0.14000895171177402</c:v>
                </c:pt>
                <c:pt idx="30">
                  <c:v>8.2866872474601713E-2</c:v>
                </c:pt>
                <c:pt idx="31">
                  <c:v>8.4471923045849717E-2</c:v>
                </c:pt>
                <c:pt idx="32">
                  <c:v>2.8754019984275805E-2</c:v>
                </c:pt>
                <c:pt idx="33">
                  <c:v>5.554717665832043E-2</c:v>
                </c:pt>
                <c:pt idx="34">
                  <c:v>0.14611420174440826</c:v>
                </c:pt>
                <c:pt idx="35">
                  <c:v>0.12126666173903097</c:v>
                </c:pt>
                <c:pt idx="36">
                  <c:v>0.10251409231537635</c:v>
                </c:pt>
                <c:pt idx="37">
                  <c:v>9.0612187783078543E-2</c:v>
                </c:pt>
                <c:pt idx="38">
                  <c:v>3.3718990214502517E-2</c:v>
                </c:pt>
                <c:pt idx="39">
                  <c:v>3.4999679514991722E-2</c:v>
                </c:pt>
                <c:pt idx="40">
                  <c:v>0</c:v>
                </c:pt>
                <c:pt idx="41">
                  <c:v>5.9361928470651158E-3</c:v>
                </c:pt>
                <c:pt idx="42">
                  <c:v>9.615436111733186E-2</c:v>
                </c:pt>
                <c:pt idx="43">
                  <c:v>7.1946398028569197E-2</c:v>
                </c:pt>
                <c:pt idx="44">
                  <c:v>5.3154854373109912E-2</c:v>
                </c:pt>
                <c:pt idx="45">
                  <c:v>4.1215423854383107E-2</c:v>
                </c:pt>
                <c:pt idx="46">
                  <c:v>0</c:v>
                </c:pt>
                <c:pt idx="47">
                  <c:v>0</c:v>
                </c:pt>
                <c:pt idx="48">
                  <c:v>0</c:v>
                </c:pt>
                <c:pt idx="49">
                  <c:v>0</c:v>
                </c:pt>
                <c:pt idx="50">
                  <c:v>4.6194520490254944E-2</c:v>
                </c:pt>
                <c:pt idx="51">
                  <c:v>2.2626134318107453E-2</c:v>
                </c:pt>
                <c:pt idx="52">
                  <c:v>3.7956164308434806E-3</c:v>
                </c:pt>
              </c:numCache>
            </c:numRef>
          </c:val>
          <c:smooth val="0"/>
          <c:extLst>
            <c:ext xmlns:c16="http://schemas.microsoft.com/office/drawing/2014/chart" uri="{C3380CC4-5D6E-409C-BE32-E72D297353CC}">
              <c16:uniqueId val="{00000001-2A75-45F3-9797-909BF7C26853}"/>
            </c:ext>
          </c:extLst>
        </c:ser>
        <c:ser>
          <c:idx val="2"/>
          <c:order val="2"/>
          <c:tx>
            <c:strRef>
              <c:f>Análise!$E$1</c:f>
              <c:strCache>
                <c:ptCount val="1"/>
                <c:pt idx="0">
                  <c:v>Carbapenems (ATC group J01DH) Hosp low IC95 (DDD 1.000 patient/year)</c:v>
                </c:pt>
              </c:strCache>
            </c:strRef>
          </c:tx>
          <c:spPr>
            <a:ln w="28575" cap="rnd">
              <a:solidFill>
                <a:schemeClr val="bg2">
                  <a:lumMod val="90000"/>
                </a:schemeClr>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Análise!$O$3:$O$56</c:f>
              <c:numCache>
                <c:formatCode>General</c:formatCode>
                <c:ptCount val="54"/>
                <c:pt idx="22" formatCode="0.0000">
                  <c:v>0.13600000000000001</c:v>
                </c:pt>
                <c:pt idx="23" formatCode="0.0000">
                  <c:v>0</c:v>
                </c:pt>
                <c:pt idx="24" formatCode="0.0000">
                  <c:v>0</c:v>
                </c:pt>
                <c:pt idx="25" formatCode="0.0000">
                  <c:v>0</c:v>
                </c:pt>
                <c:pt idx="26" formatCode="0.0000">
                  <c:v>0</c:v>
                </c:pt>
                <c:pt idx="27" formatCode="0.0000">
                  <c:v>0</c:v>
                </c:pt>
                <c:pt idx="28" formatCode="0.0000">
                  <c:v>0</c:v>
                </c:pt>
                <c:pt idx="29" formatCode="0.0000">
                  <c:v>0</c:v>
                </c:pt>
                <c:pt idx="30" formatCode="0.0000">
                  <c:v>0</c:v>
                </c:pt>
                <c:pt idx="31" formatCode="0.0000">
                  <c:v>0</c:v>
                </c:pt>
                <c:pt idx="32" formatCode="0.0000">
                  <c:v>0</c:v>
                </c:pt>
                <c:pt idx="33" formatCode="0.0000">
                  <c:v>0</c:v>
                </c:pt>
                <c:pt idx="34" formatCode="0.0000">
                  <c:v>0</c:v>
                </c:pt>
                <c:pt idx="35" formatCode="0.0000">
                  <c:v>0</c:v>
                </c:pt>
                <c:pt idx="36" formatCode="0.0000">
                  <c:v>0</c:v>
                </c:pt>
                <c:pt idx="37" formatCode="0.0000">
                  <c:v>0</c:v>
                </c:pt>
                <c:pt idx="38" formatCode="0.0000">
                  <c:v>0</c:v>
                </c:pt>
                <c:pt idx="39" formatCode="0.0000">
                  <c:v>0</c:v>
                </c:pt>
                <c:pt idx="40" formatCode="0.0000">
                  <c:v>0</c:v>
                </c:pt>
                <c:pt idx="41" formatCode="0.0000">
                  <c:v>0</c:v>
                </c:pt>
                <c:pt idx="42" formatCode="0.0000">
                  <c:v>0</c:v>
                </c:pt>
                <c:pt idx="43" formatCode="0.0000">
                  <c:v>0</c:v>
                </c:pt>
                <c:pt idx="44" formatCode="0.0000">
                  <c:v>0</c:v>
                </c:pt>
                <c:pt idx="45" formatCode="0.0000">
                  <c:v>0</c:v>
                </c:pt>
                <c:pt idx="46" formatCode="0.0000">
                  <c:v>0</c:v>
                </c:pt>
                <c:pt idx="47" formatCode="0.0000">
                  <c:v>0</c:v>
                </c:pt>
                <c:pt idx="48" formatCode="0.0000">
                  <c:v>0</c:v>
                </c:pt>
                <c:pt idx="49" formatCode="0.0000">
                  <c:v>0</c:v>
                </c:pt>
                <c:pt idx="50" formatCode="0.0000">
                  <c:v>0</c:v>
                </c:pt>
                <c:pt idx="51" formatCode="0.0000">
                  <c:v>0</c:v>
                </c:pt>
                <c:pt idx="52" formatCode="0.0000">
                  <c:v>0</c:v>
                </c:pt>
              </c:numCache>
            </c:numRef>
          </c:val>
          <c:smooth val="0"/>
          <c:extLst>
            <c:ext xmlns:c16="http://schemas.microsoft.com/office/drawing/2014/chart" uri="{C3380CC4-5D6E-409C-BE32-E72D297353CC}">
              <c16:uniqueId val="{00000002-2A75-45F3-9797-909BF7C26853}"/>
            </c:ext>
          </c:extLst>
        </c:ser>
        <c:ser>
          <c:idx val="3"/>
          <c:order val="3"/>
          <c:tx>
            <c:strRef>
              <c:f>Análise!$F$1</c:f>
              <c:strCache>
                <c:ptCount val="1"/>
                <c:pt idx="0">
                  <c:v>Carbapenems (ATC group J01DH) Hosp high IC95 (DDD 1.000 patient/year)</c:v>
                </c:pt>
              </c:strCache>
            </c:strRef>
          </c:tx>
          <c:spPr>
            <a:ln w="28575" cap="rnd">
              <a:solidFill>
                <a:schemeClr val="bg2">
                  <a:lumMod val="90000"/>
                </a:schemeClr>
              </a:solidFill>
              <a:round/>
            </a:ln>
            <a:effectLst/>
          </c:spPr>
          <c:marker>
            <c:symbol val="none"/>
          </c:marker>
          <c:cat>
            <c:numRef>
              <c:f>Análise!$B$2:$B$55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Análise!$P$3:$P$56</c:f>
              <c:numCache>
                <c:formatCode>General</c:formatCode>
                <c:ptCount val="54"/>
                <c:pt idx="22" formatCode="0.0000">
                  <c:v>0.13600000000000001</c:v>
                </c:pt>
                <c:pt idx="23" formatCode="0.0000">
                  <c:v>0.28404472537092063</c:v>
                </c:pt>
                <c:pt idx="24" formatCode="0.0000">
                  <c:v>0.24579335460805365</c:v>
                </c:pt>
                <c:pt idx="25" formatCode="0.0000">
                  <c:v>0.28917709919502921</c:v>
                </c:pt>
                <c:pt idx="26" formatCode="0.0000">
                  <c:v>0.39494016029706658</c:v>
                </c:pt>
                <c:pt idx="27" formatCode="0.0000">
                  <c:v>0.38335594025481612</c:v>
                </c:pt>
                <c:pt idx="28" formatCode="0.0000">
                  <c:v>0.37774132258934534</c:v>
                </c:pt>
                <c:pt idx="29" formatCode="0.0000">
                  <c:v>0.37835236925468579</c:v>
                </c:pt>
                <c:pt idx="30" formatCode="0.0000">
                  <c:v>0.33303314580351251</c:v>
                </c:pt>
                <c:pt idx="31" formatCode="0.0000">
                  <c:v>0.34600046851254029</c:v>
                </c:pt>
                <c:pt idx="32" formatCode="0.0000">
                  <c:v>0.30121355005053557</c:v>
                </c:pt>
                <c:pt idx="33" formatCode="0.0000">
                  <c:v>0.33855630894587219</c:v>
                </c:pt>
                <c:pt idx="34" formatCode="0.0000">
                  <c:v>0.43930553770657155</c:v>
                </c:pt>
                <c:pt idx="35" formatCode="0.0000">
                  <c:v>0.42440011827008883</c:v>
                </c:pt>
                <c:pt idx="36" formatCode="0.0000">
                  <c:v>0.41527460263732319</c:v>
                </c:pt>
                <c:pt idx="37" formatCode="0.0000">
                  <c:v>0.41274776402137808</c:v>
                </c:pt>
                <c:pt idx="38" formatCode="0.0000">
                  <c:v>0.36497495292348114</c:v>
                </c:pt>
                <c:pt idx="39" formatCode="0.0000">
                  <c:v>0.37518914783321322</c:v>
                </c:pt>
                <c:pt idx="40" formatCode="0.0000">
                  <c:v>0.34892791229906794</c:v>
                </c:pt>
                <c:pt idx="41" formatCode="0.0000">
                  <c:v>0.36345392331793669</c:v>
                </c:pt>
                <c:pt idx="42" formatCode="0.0000">
                  <c:v>0.46203860406219244</c:v>
                </c:pt>
                <c:pt idx="43" formatCode="0.0000">
                  <c:v>0.44606254508568033</c:v>
                </c:pt>
                <c:pt idx="44" formatCode="0.0000">
                  <c:v>0.4353566128477136</c:v>
                </c:pt>
                <c:pt idx="45" formatCode="0.0000">
                  <c:v>0.43136536327694541</c:v>
                </c:pt>
                <c:pt idx="46" formatCode="0.0000">
                  <c:v>0.39794811533070457</c:v>
                </c:pt>
                <c:pt idx="47" formatCode="0.0000">
                  <c:v>0.40567416688556951</c:v>
                </c:pt>
                <c:pt idx="48" formatCode="0.0000">
                  <c:v>0.41325707485866103</c:v>
                </c:pt>
                <c:pt idx="49" formatCode="0.0000">
                  <c:v>0.42073100685900122</c:v>
                </c:pt>
                <c:pt idx="50" formatCode="0.0000">
                  <c:v>0.47427705752489591</c:v>
                </c:pt>
                <c:pt idx="51" formatCode="0.0000">
                  <c:v>0.45798222748945716</c:v>
                </c:pt>
                <c:pt idx="52" formatCode="0.0000">
                  <c:v>0.44633300312124791</c:v>
                </c:pt>
              </c:numCache>
            </c:numRef>
          </c:val>
          <c:smooth val="0"/>
          <c:extLst>
            <c:ext xmlns:c16="http://schemas.microsoft.com/office/drawing/2014/chart" uri="{C3380CC4-5D6E-409C-BE32-E72D297353CC}">
              <c16:uniqueId val="{00000003-2A75-45F3-9797-909BF7C26853}"/>
            </c:ext>
          </c:extLst>
        </c:ser>
        <c:dLbls>
          <c:showLegendKey val="0"/>
          <c:showVal val="0"/>
          <c:showCatName val="0"/>
          <c:showSerName val="0"/>
          <c:showPercent val="0"/>
          <c:showBubbleSize val="0"/>
        </c:dLbls>
        <c:smooth val="0"/>
        <c:axId val="1934347168"/>
        <c:axId val="1934346336"/>
      </c:lineChart>
      <c:dateAx>
        <c:axId val="1934347168"/>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34346336"/>
        <c:crosses val="autoZero"/>
        <c:auto val="1"/>
        <c:lblOffset val="100"/>
        <c:baseTimeUnit val="years"/>
      </c:dateAx>
      <c:valAx>
        <c:axId val="1934346336"/>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3434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Forecast isolados resistentes carbapenemos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Análise!$AJ$1</c:f>
              <c:strCache>
                <c:ptCount val="1"/>
                <c:pt idx="0">
                  <c:v>% isolados resistentes de k.pneumoniae a carbapenemos</c:v>
                </c:pt>
              </c:strCache>
            </c:strRef>
          </c:tx>
          <c:spPr>
            <a:ln w="28575" cap="rnd">
              <a:solidFill>
                <a:schemeClr val="accent1"/>
              </a:solidFill>
              <a:round/>
            </a:ln>
            <a:effectLst/>
          </c:spPr>
          <c:marker>
            <c:symbol val="none"/>
          </c:marker>
          <c:cat>
            <c:numRef>
              <c:f>Análise!$AF$2:$AF$55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Análise!$AJ$2:$AJ$55</c:f>
              <c:numCache>
                <c:formatCode>0.0000</c:formatCode>
                <c:ptCount val="54"/>
                <c:pt idx="17">
                  <c:v>1.7999999999999999E-2</c:v>
                </c:pt>
                <c:pt idx="18">
                  <c:v>3.4000000000000002E-2</c:v>
                </c:pt>
                <c:pt idx="19">
                  <c:v>5.1999999999999998E-2</c:v>
                </c:pt>
                <c:pt idx="20">
                  <c:v>8.5999999999999993E-2</c:v>
                </c:pt>
              </c:numCache>
            </c:numRef>
          </c:val>
          <c:smooth val="0"/>
          <c:extLst>
            <c:ext xmlns:c16="http://schemas.microsoft.com/office/drawing/2014/chart" uri="{C3380CC4-5D6E-409C-BE32-E72D297353CC}">
              <c16:uniqueId val="{00000000-F6E4-4CAE-BCBE-227FC8CF9409}"/>
            </c:ext>
          </c:extLst>
        </c:ser>
        <c:ser>
          <c:idx val="1"/>
          <c:order val="1"/>
          <c:tx>
            <c:strRef>
              <c:f>Análise!$AK$1</c:f>
              <c:strCache>
                <c:ptCount val="1"/>
                <c:pt idx="0">
                  <c:v>% isolados resistentes de k.pneumoniae a carbapenemos FORECAST</c:v>
                </c:pt>
              </c:strCache>
            </c:strRef>
          </c:tx>
          <c:spPr>
            <a:ln w="28575" cap="rnd">
              <a:solidFill>
                <a:schemeClr val="accent2"/>
              </a:solidFill>
              <a:round/>
            </a:ln>
            <a:effectLst/>
          </c:spPr>
          <c:marker>
            <c:symbol val="none"/>
          </c:marker>
          <c:cat>
            <c:numRef>
              <c:f>Análise!$AF$2:$AF$55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Análise!$AK$2:$AK$55</c:f>
              <c:numCache>
                <c:formatCode>0.0000</c:formatCode>
                <c:ptCount val="54"/>
                <c:pt idx="20">
                  <c:v>8.5999999999999993E-2</c:v>
                </c:pt>
                <c:pt idx="21">
                  <c:v>0.10531626463628571</c:v>
                </c:pt>
                <c:pt idx="22">
                  <c:v>0.12787595291542858</c:v>
                </c:pt>
                <c:pt idx="23">
                  <c:v>0.15037400270200546</c:v>
                </c:pt>
                <c:pt idx="24">
                  <c:v>0.17293352210856594</c:v>
                </c:pt>
                <c:pt idx="25">
                  <c:v>0.19549321038770878</c:v>
                </c:pt>
                <c:pt idx="26">
                  <c:v>0.21805289866685168</c:v>
                </c:pt>
                <c:pt idx="27">
                  <c:v>0.24055111732601092</c:v>
                </c:pt>
                <c:pt idx="28">
                  <c:v>0.26311046785998904</c:v>
                </c:pt>
                <c:pt idx="29">
                  <c:v>0.28567015613913183</c:v>
                </c:pt>
                <c:pt idx="30">
                  <c:v>0.30822984441827472</c:v>
                </c:pt>
                <c:pt idx="31">
                  <c:v>0.33072823195001638</c:v>
                </c:pt>
                <c:pt idx="32">
                  <c:v>0.35328741361141214</c:v>
                </c:pt>
                <c:pt idx="33">
                  <c:v>0.37584710189055498</c:v>
                </c:pt>
                <c:pt idx="34">
                  <c:v>0.39840679016969788</c:v>
                </c:pt>
                <c:pt idx="35">
                  <c:v>0.42090534657402184</c:v>
                </c:pt>
                <c:pt idx="36">
                  <c:v>0.44346435936283518</c:v>
                </c:pt>
                <c:pt idx="37">
                  <c:v>0.46602404764197802</c:v>
                </c:pt>
                <c:pt idx="38">
                  <c:v>0.48858373592112087</c:v>
                </c:pt>
                <c:pt idx="39">
                  <c:v>0.51108246119802736</c:v>
                </c:pt>
                <c:pt idx="40">
                  <c:v>0.53364130511425834</c:v>
                </c:pt>
                <c:pt idx="41">
                  <c:v>0.55620099339340112</c:v>
                </c:pt>
                <c:pt idx="42">
                  <c:v>0.57876068167254402</c:v>
                </c:pt>
                <c:pt idx="43">
                  <c:v>0.60125957582203271</c:v>
                </c:pt>
                <c:pt idx="44">
                  <c:v>0.62381825086568143</c:v>
                </c:pt>
                <c:pt idx="45">
                  <c:v>0.64637793914482433</c:v>
                </c:pt>
                <c:pt idx="46">
                  <c:v>0.66893762742396712</c:v>
                </c:pt>
                <c:pt idx="47">
                  <c:v>0.69143669044603817</c:v>
                </c:pt>
                <c:pt idx="48">
                  <c:v>0.71399519661710442</c:v>
                </c:pt>
                <c:pt idx="49">
                  <c:v>0.73655488489624721</c:v>
                </c:pt>
                <c:pt idx="50">
                  <c:v>0.75911457317539011</c:v>
                </c:pt>
                <c:pt idx="51">
                  <c:v>0.78161380507004363</c:v>
                </c:pt>
                <c:pt idx="52">
                  <c:v>0.80417214236852752</c:v>
                </c:pt>
                <c:pt idx="53">
                  <c:v>0.82673183064767042</c:v>
                </c:pt>
              </c:numCache>
            </c:numRef>
          </c:val>
          <c:smooth val="0"/>
          <c:extLst>
            <c:ext xmlns:c16="http://schemas.microsoft.com/office/drawing/2014/chart" uri="{C3380CC4-5D6E-409C-BE32-E72D297353CC}">
              <c16:uniqueId val="{00000001-F6E4-4CAE-BCBE-227FC8CF9409}"/>
            </c:ext>
          </c:extLst>
        </c:ser>
        <c:ser>
          <c:idx val="2"/>
          <c:order val="2"/>
          <c:tx>
            <c:strRef>
              <c:f>Análise!$AL$1</c:f>
              <c:strCache>
                <c:ptCount val="1"/>
                <c:pt idx="0">
                  <c:v>% isolados resistentes de k.pneumoniae a carbapenemos low IC95</c:v>
                </c:pt>
              </c:strCache>
            </c:strRef>
          </c:tx>
          <c:spPr>
            <a:ln w="28575" cap="rnd">
              <a:solidFill>
                <a:schemeClr val="bg2">
                  <a:lumMod val="90000"/>
                </a:schemeClr>
              </a:solidFill>
              <a:round/>
            </a:ln>
            <a:effectLst/>
          </c:spPr>
          <c:marker>
            <c:symbol val="none"/>
          </c:marker>
          <c:cat>
            <c:numRef>
              <c:f>Análise!$AF$2:$AF$55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Análise!$AL$2:$AL$55</c:f>
              <c:numCache>
                <c:formatCode>0.0000</c:formatCode>
                <c:ptCount val="54"/>
                <c:pt idx="20">
                  <c:v>8.5999999999999993E-2</c:v>
                </c:pt>
                <c:pt idx="21">
                  <c:v>9.3233809133302814E-2</c:v>
                </c:pt>
                <c:pt idx="22">
                  <c:v>0.11541870691082824</c:v>
                </c:pt>
                <c:pt idx="23">
                  <c:v>0.13755104180529931</c:v>
                </c:pt>
                <c:pt idx="24">
                  <c:v>0.15975124402637925</c:v>
                </c:pt>
                <c:pt idx="25">
                  <c:v>0.18195841566906135</c:v>
                </c:pt>
                <c:pt idx="26">
                  <c:v>0.20417186172241195</c:v>
                </c:pt>
                <c:pt idx="27">
                  <c:v>0.22633056056705858</c:v>
                </c:pt>
                <c:pt idx="28">
                  <c:v>0.24855485408089309</c:v>
                </c:pt>
                <c:pt idx="29">
                  <c:v>0.27078449610258892</c:v>
                </c:pt>
                <c:pt idx="30">
                  <c:v>0.29301881782622885</c:v>
                </c:pt>
                <c:pt idx="31">
                  <c:v>0.31519707827428312</c:v>
                </c:pt>
                <c:pt idx="32">
                  <c:v>0.33743936698973481</c:v>
                </c:pt>
                <c:pt idx="33">
                  <c:v>0.35968600667080908</c:v>
                </c:pt>
                <c:pt idx="34">
                  <c:v>0.38193626935857811</c:v>
                </c:pt>
                <c:pt idx="35">
                  <c:v>0.4041296357415517</c:v>
                </c:pt>
                <c:pt idx="36">
                  <c:v>0.42638585910890869</c:v>
                </c:pt>
                <c:pt idx="37">
                  <c:v>0.44864579434115021</c:v>
                </c:pt>
                <c:pt idx="38">
                  <c:v>0.47090861182404525</c:v>
                </c:pt>
                <c:pt idx="39">
                  <c:v>0.49311398600609613</c:v>
                </c:pt>
                <c:pt idx="40">
                  <c:v>0.51538128573132624</c:v>
                </c:pt>
                <c:pt idx="41">
                  <c:v>0.53765188048310353</c:v>
                </c:pt>
                <c:pt idx="42">
                  <c:v>0.5599248157265958</c:v>
                </c:pt>
                <c:pt idx="43">
                  <c:v>0.58213994552365478</c:v>
                </c:pt>
                <c:pt idx="44">
                  <c:v>0.60441622415903973</c:v>
                </c:pt>
                <c:pt idx="45">
                  <c:v>0.62669552688431329</c:v>
                </c:pt>
                <c:pt idx="46">
                  <c:v>0.64897676056335785</c:v>
                </c:pt>
                <c:pt idx="47">
                  <c:v>0.67119995138344002</c:v>
                </c:pt>
                <c:pt idx="48">
                  <c:v>0.69348361900636857</c:v>
                </c:pt>
                <c:pt idx="49">
                  <c:v>0.7157701399262868</c:v>
                </c:pt>
                <c:pt idx="50">
                  <c:v>0.73805827389693057</c:v>
                </c:pt>
                <c:pt idx="51">
                  <c:v>0.7602882151830469</c:v>
                </c:pt>
                <c:pt idx="52">
                  <c:v>0.78257803477153765</c:v>
                </c:pt>
                <c:pt idx="53">
                  <c:v>0.80487060811193312</c:v>
                </c:pt>
              </c:numCache>
            </c:numRef>
          </c:val>
          <c:smooth val="0"/>
          <c:extLst>
            <c:ext xmlns:c16="http://schemas.microsoft.com/office/drawing/2014/chart" uri="{C3380CC4-5D6E-409C-BE32-E72D297353CC}">
              <c16:uniqueId val="{00000002-F6E4-4CAE-BCBE-227FC8CF9409}"/>
            </c:ext>
          </c:extLst>
        </c:ser>
        <c:ser>
          <c:idx val="3"/>
          <c:order val="3"/>
          <c:tx>
            <c:strRef>
              <c:f>Análise!$AM$1</c:f>
              <c:strCache>
                <c:ptCount val="1"/>
                <c:pt idx="0">
                  <c:v>% isolados resistentes de k.pneumoniae a carbapenemos high IC95</c:v>
                </c:pt>
              </c:strCache>
            </c:strRef>
          </c:tx>
          <c:spPr>
            <a:ln w="28575" cap="rnd">
              <a:solidFill>
                <a:schemeClr val="bg2">
                  <a:lumMod val="90000"/>
                </a:schemeClr>
              </a:solidFill>
              <a:round/>
            </a:ln>
            <a:effectLst/>
          </c:spPr>
          <c:marker>
            <c:symbol val="none"/>
          </c:marker>
          <c:cat>
            <c:numRef>
              <c:f>Análise!$AF$2:$AF$55</c:f>
              <c:numCache>
                <c:formatCode>yyyy</c:formatCode>
                <c:ptCount val="54"/>
                <c:pt idx="0">
                  <c:v>35795</c:v>
                </c:pt>
                <c:pt idx="1">
                  <c:v>36160</c:v>
                </c:pt>
                <c:pt idx="2">
                  <c:v>36525</c:v>
                </c:pt>
                <c:pt idx="3">
                  <c:v>36890</c:v>
                </c:pt>
                <c:pt idx="4">
                  <c:v>37255</c:v>
                </c:pt>
                <c:pt idx="5">
                  <c:v>37620</c:v>
                </c:pt>
                <c:pt idx="6">
                  <c:v>37985</c:v>
                </c:pt>
                <c:pt idx="7">
                  <c:v>38350</c:v>
                </c:pt>
                <c:pt idx="8">
                  <c:v>38715</c:v>
                </c:pt>
                <c:pt idx="9">
                  <c:v>39080</c:v>
                </c:pt>
                <c:pt idx="10">
                  <c:v>39445</c:v>
                </c:pt>
                <c:pt idx="11">
                  <c:v>39810</c:v>
                </c:pt>
                <c:pt idx="12">
                  <c:v>40175</c:v>
                </c:pt>
                <c:pt idx="13">
                  <c:v>40540</c:v>
                </c:pt>
                <c:pt idx="14">
                  <c:v>40905</c:v>
                </c:pt>
                <c:pt idx="15">
                  <c:v>41270</c:v>
                </c:pt>
                <c:pt idx="16">
                  <c:v>41635</c:v>
                </c:pt>
                <c:pt idx="17">
                  <c:v>42000</c:v>
                </c:pt>
                <c:pt idx="18">
                  <c:v>42365</c:v>
                </c:pt>
                <c:pt idx="19">
                  <c:v>42730</c:v>
                </c:pt>
                <c:pt idx="20">
                  <c:v>43095</c:v>
                </c:pt>
                <c:pt idx="21">
                  <c:v>43460</c:v>
                </c:pt>
                <c:pt idx="22">
                  <c:v>43825</c:v>
                </c:pt>
                <c:pt idx="23">
                  <c:v>44190</c:v>
                </c:pt>
                <c:pt idx="24">
                  <c:v>44555</c:v>
                </c:pt>
                <c:pt idx="25">
                  <c:v>44920</c:v>
                </c:pt>
                <c:pt idx="26">
                  <c:v>45285</c:v>
                </c:pt>
                <c:pt idx="27">
                  <c:v>45650</c:v>
                </c:pt>
                <c:pt idx="28">
                  <c:v>46015</c:v>
                </c:pt>
                <c:pt idx="29">
                  <c:v>46380</c:v>
                </c:pt>
                <c:pt idx="30">
                  <c:v>46745</c:v>
                </c:pt>
                <c:pt idx="31">
                  <c:v>47110</c:v>
                </c:pt>
                <c:pt idx="32">
                  <c:v>47475</c:v>
                </c:pt>
                <c:pt idx="33">
                  <c:v>47840</c:v>
                </c:pt>
                <c:pt idx="34">
                  <c:v>48205</c:v>
                </c:pt>
                <c:pt idx="35">
                  <c:v>48570</c:v>
                </c:pt>
                <c:pt idx="36">
                  <c:v>48935</c:v>
                </c:pt>
                <c:pt idx="37">
                  <c:v>49300</c:v>
                </c:pt>
                <c:pt idx="38">
                  <c:v>49665</c:v>
                </c:pt>
                <c:pt idx="39">
                  <c:v>50030</c:v>
                </c:pt>
                <c:pt idx="40">
                  <c:v>50395</c:v>
                </c:pt>
                <c:pt idx="41">
                  <c:v>50760</c:v>
                </c:pt>
                <c:pt idx="42">
                  <c:v>51125</c:v>
                </c:pt>
                <c:pt idx="43">
                  <c:v>51490</c:v>
                </c:pt>
                <c:pt idx="44">
                  <c:v>51855</c:v>
                </c:pt>
                <c:pt idx="45">
                  <c:v>52220</c:v>
                </c:pt>
                <c:pt idx="46">
                  <c:v>52585</c:v>
                </c:pt>
                <c:pt idx="47">
                  <c:v>52950</c:v>
                </c:pt>
                <c:pt idx="48">
                  <c:v>53315</c:v>
                </c:pt>
                <c:pt idx="49">
                  <c:v>53680</c:v>
                </c:pt>
                <c:pt idx="50">
                  <c:v>54045</c:v>
                </c:pt>
                <c:pt idx="51">
                  <c:v>54410</c:v>
                </c:pt>
                <c:pt idx="52">
                  <c:v>54775</c:v>
                </c:pt>
                <c:pt idx="53">
                  <c:v>55140</c:v>
                </c:pt>
              </c:numCache>
            </c:numRef>
          </c:cat>
          <c:val>
            <c:numRef>
              <c:f>Análise!$AM$2:$AM$55</c:f>
              <c:numCache>
                <c:formatCode>0.0000</c:formatCode>
                <c:ptCount val="54"/>
                <c:pt idx="20">
                  <c:v>8.5999999999999993E-2</c:v>
                </c:pt>
                <c:pt idx="21">
                  <c:v>0.11739872013926861</c:v>
                </c:pt>
                <c:pt idx="22">
                  <c:v>0.14033319892002893</c:v>
                </c:pt>
                <c:pt idx="23">
                  <c:v>0.16319696359871161</c:v>
                </c:pt>
                <c:pt idx="24">
                  <c:v>0.18611580019075263</c:v>
                </c:pt>
                <c:pt idx="25">
                  <c:v>0.20902800510635622</c:v>
                </c:pt>
                <c:pt idx="26">
                  <c:v>0.23193393561129141</c:v>
                </c:pt>
                <c:pt idx="27">
                  <c:v>0.25477167408496326</c:v>
                </c:pt>
                <c:pt idx="28">
                  <c:v>0.27766608163908502</c:v>
                </c:pt>
                <c:pt idx="29">
                  <c:v>0.30055581617567473</c:v>
                </c:pt>
                <c:pt idx="30">
                  <c:v>0.3234408710103206</c:v>
                </c:pt>
                <c:pt idx="31">
                  <c:v>0.34625938562574965</c:v>
                </c:pt>
                <c:pt idx="32">
                  <c:v>0.36913546023308946</c:v>
                </c:pt>
                <c:pt idx="33">
                  <c:v>0.39200819711030088</c:v>
                </c:pt>
                <c:pt idx="34">
                  <c:v>0.41487731098081765</c:v>
                </c:pt>
                <c:pt idx="35">
                  <c:v>0.43768105740649199</c:v>
                </c:pt>
                <c:pt idx="36">
                  <c:v>0.46054285961676167</c:v>
                </c:pt>
                <c:pt idx="37">
                  <c:v>0.48340230094280584</c:v>
                </c:pt>
                <c:pt idx="38">
                  <c:v>0.50625886001819653</c:v>
                </c:pt>
                <c:pt idx="39">
                  <c:v>0.52905093638995859</c:v>
                </c:pt>
                <c:pt idx="40">
                  <c:v>0.55190132449719043</c:v>
                </c:pt>
                <c:pt idx="41">
                  <c:v>0.57475010630369872</c:v>
                </c:pt>
                <c:pt idx="42">
                  <c:v>0.59759654761849224</c:v>
                </c:pt>
                <c:pt idx="43">
                  <c:v>0.62037920612041064</c:v>
                </c:pt>
                <c:pt idx="44">
                  <c:v>0.64322027757232314</c:v>
                </c:pt>
                <c:pt idx="45">
                  <c:v>0.66606035140533537</c:v>
                </c:pt>
                <c:pt idx="46">
                  <c:v>0.68889849428457639</c:v>
                </c:pt>
                <c:pt idx="47">
                  <c:v>0.71167342950863632</c:v>
                </c:pt>
                <c:pt idx="48">
                  <c:v>0.73450677422784028</c:v>
                </c:pt>
                <c:pt idx="49">
                  <c:v>0.75733962986620762</c:v>
                </c:pt>
                <c:pt idx="50">
                  <c:v>0.78017087245384964</c:v>
                </c:pt>
                <c:pt idx="51">
                  <c:v>0.80293939495704036</c:v>
                </c:pt>
                <c:pt idx="52">
                  <c:v>0.8257662499655174</c:v>
                </c:pt>
                <c:pt idx="53">
                  <c:v>0.84859305318340772</c:v>
                </c:pt>
              </c:numCache>
            </c:numRef>
          </c:val>
          <c:smooth val="0"/>
          <c:extLst>
            <c:ext xmlns:c16="http://schemas.microsoft.com/office/drawing/2014/chart" uri="{C3380CC4-5D6E-409C-BE32-E72D297353CC}">
              <c16:uniqueId val="{00000003-F6E4-4CAE-BCBE-227FC8CF9409}"/>
            </c:ext>
          </c:extLst>
        </c:ser>
        <c:dLbls>
          <c:showLegendKey val="0"/>
          <c:showVal val="0"/>
          <c:showCatName val="0"/>
          <c:showSerName val="0"/>
          <c:showPercent val="0"/>
          <c:showBubbleSize val="0"/>
        </c:dLbls>
        <c:smooth val="0"/>
        <c:axId val="1934347168"/>
        <c:axId val="1934346336"/>
      </c:lineChart>
      <c:dateAx>
        <c:axId val="1934347168"/>
        <c:scaling>
          <c:orientation val="minMax"/>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34346336"/>
        <c:crosses val="autoZero"/>
        <c:auto val="1"/>
        <c:lblOffset val="100"/>
        <c:baseTimeUnit val="years"/>
      </c:dateAx>
      <c:valAx>
        <c:axId val="1934346336"/>
        <c:scaling>
          <c:orientation val="minMax"/>
        </c:scaling>
        <c:delete val="0"/>
        <c:axPos val="l"/>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3434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 Reg </a:t>
            </a:r>
            <a:r>
              <a:rPr lang="en-US" sz="1100"/>
              <a:t>(% resistentes a K.pneumoniae por carbapenemos</a:t>
            </a:r>
            <a:r>
              <a:rPr lang="en-US" sz="1100" baseline="0"/>
              <a:t> vs</a:t>
            </a:r>
            <a:r>
              <a:rPr lang="en-US" sz="1100"/>
              <a:t> consumo de carbapenemos)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scatterChart>
        <c:scatterStyle val="lineMarker"/>
        <c:varyColors val="0"/>
        <c:ser>
          <c:idx val="0"/>
          <c:order val="0"/>
          <c:tx>
            <c:strRef>
              <c:f>'Resistencias vs Consumos'!$D$2</c:f>
              <c:strCache>
                <c:ptCount val="1"/>
                <c:pt idx="0">
                  <c:v>% resistentes (K.pneumoniae | carbapenemos)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backward val="0.60000000000000009"/>
            <c:dispRSqr val="1"/>
            <c:dispEq val="1"/>
            <c:trendlineLbl>
              <c:layout>
                <c:manualLayout>
                  <c:x val="-2.0856584210974798E-2"/>
                  <c:y val="-0.231145323586469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trendlineLbl>
          </c:trendline>
          <c:xVal>
            <c:numRef>
              <c:f>'Resistencias vs Consumos'!$C$3:$C$6</c:f>
              <c:numCache>
                <c:formatCode>0.0000</c:formatCode>
                <c:ptCount val="4"/>
                <c:pt idx="0">
                  <c:v>0.106</c:v>
                </c:pt>
                <c:pt idx="1">
                  <c:v>0.1</c:v>
                </c:pt>
                <c:pt idx="2">
                  <c:v>9.1999999999999998E-2</c:v>
                </c:pt>
                <c:pt idx="3">
                  <c:v>8.3000000000000004E-2</c:v>
                </c:pt>
              </c:numCache>
            </c:numRef>
          </c:xVal>
          <c:yVal>
            <c:numRef>
              <c:f>'Resistencias vs Consumos'!$D$3:$D$6</c:f>
              <c:numCache>
                <c:formatCode>0.00%</c:formatCode>
                <c:ptCount val="4"/>
                <c:pt idx="0">
                  <c:v>1.7999999999999999E-2</c:v>
                </c:pt>
                <c:pt idx="1">
                  <c:v>3.4000000000000002E-2</c:v>
                </c:pt>
                <c:pt idx="2">
                  <c:v>5.1999999999999998E-2</c:v>
                </c:pt>
                <c:pt idx="3">
                  <c:v>8.5999999999999993E-2</c:v>
                </c:pt>
              </c:numCache>
            </c:numRef>
          </c:yVal>
          <c:smooth val="0"/>
          <c:extLst>
            <c:ext xmlns:c16="http://schemas.microsoft.com/office/drawing/2014/chart" uri="{C3380CC4-5D6E-409C-BE32-E72D297353CC}">
              <c16:uniqueId val="{00000000-934C-4907-A782-2CF8BBC4F877}"/>
            </c:ext>
          </c:extLst>
        </c:ser>
        <c:dLbls>
          <c:showLegendKey val="0"/>
          <c:showVal val="0"/>
          <c:showCatName val="0"/>
          <c:showSerName val="0"/>
          <c:showPercent val="0"/>
          <c:showBubbleSize val="0"/>
        </c:dLbls>
        <c:axId val="856190927"/>
        <c:axId val="856200079"/>
      </c:scatterChart>
      <c:valAx>
        <c:axId val="856190927"/>
        <c:scaling>
          <c:orientation val="minMax"/>
          <c:max val="0.120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consumo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856200079"/>
        <c:crosses val="autoZero"/>
        <c:crossBetween val="midCat"/>
      </c:valAx>
      <c:valAx>
        <c:axId val="85620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 resistentes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856190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'Resistencias vs Consumos'!$C$2</c:f>
              <c:strCache>
                <c:ptCount val="1"/>
                <c:pt idx="0">
                  <c:v>consumo (carbapenemos)</c:v>
                </c:pt>
              </c:strCache>
            </c:strRef>
          </c:tx>
          <c:spPr>
            <a:ln w="28575" cap="rnd">
              <a:solidFill>
                <a:schemeClr val="accent1"/>
              </a:solidFill>
              <a:round/>
            </a:ln>
            <a:effectLst/>
          </c:spPr>
          <c:marker>
            <c:symbol val="none"/>
          </c:marker>
          <c:cat>
            <c:numRef>
              <c:f>'Resistencias vs Consumos'!$B$3:$B$19</c:f>
              <c:numCache>
                <c:formatCode>General</c:formatCode>
                <c:ptCount val="1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'Resistencias vs Consumos'!$C$3:$C$19</c:f>
              <c:numCache>
                <c:formatCode>0.0000</c:formatCode>
                <c:ptCount val="17"/>
                <c:pt idx="0">
                  <c:v>0.106</c:v>
                </c:pt>
                <c:pt idx="1">
                  <c:v>0.1</c:v>
                </c:pt>
                <c:pt idx="2">
                  <c:v>9.1999999999999998E-2</c:v>
                </c:pt>
                <c:pt idx="3">
                  <c:v>8.3000000000000004E-2</c:v>
                </c:pt>
                <c:pt idx="4" formatCode="General">
                  <c:v>8.1000000000000003E-2</c:v>
                </c:pt>
                <c:pt idx="5" formatCode="General">
                  <c:v>7.4999999999999997E-2</c:v>
                </c:pt>
                <c:pt idx="6" formatCode="General">
                  <c:v>8.1000000000000003E-2</c:v>
                </c:pt>
              </c:numCache>
            </c:numRef>
          </c:val>
          <c:smooth val="0"/>
          <c:extLst>
            <c:ext xmlns:c16="http://schemas.microsoft.com/office/drawing/2014/chart" uri="{C3380CC4-5D6E-409C-BE32-E72D297353CC}">
              <c16:uniqueId val="{00000000-6CBB-42AD-8314-8862BDC14C9C}"/>
            </c:ext>
          </c:extLst>
        </c:ser>
        <c:ser>
          <c:idx val="2"/>
          <c:order val="2"/>
          <c:tx>
            <c:strRef>
              <c:f>'Resistencias vs Consumos'!$E$2</c:f>
              <c:strCache>
                <c:ptCount val="1"/>
                <c:pt idx="0">
                  <c:v>forecast consumo</c:v>
                </c:pt>
              </c:strCache>
            </c:strRef>
          </c:tx>
          <c:spPr>
            <a:ln w="28575" cap="rnd">
              <a:solidFill>
                <a:schemeClr val="accent1">
                  <a:lumMod val="60000"/>
                  <a:lumOff val="40000"/>
                </a:schemeClr>
              </a:solidFill>
              <a:prstDash val="sysDash"/>
              <a:round/>
            </a:ln>
            <a:effectLst/>
          </c:spPr>
          <c:marker>
            <c:symbol val="none"/>
          </c:marker>
          <c:cat>
            <c:numRef>
              <c:f>'Resistencias vs Consumos'!$B$3:$B$19</c:f>
              <c:numCache>
                <c:formatCode>General</c:formatCode>
                <c:ptCount val="1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'Resistencias vs Consumos'!$E$3:$E$19</c:f>
              <c:numCache>
                <c:formatCode>General</c:formatCode>
                <c:ptCount val="17"/>
                <c:pt idx="6">
                  <c:v>8.1000000000000003E-2</c:v>
                </c:pt>
                <c:pt idx="7">
                  <c:v>7.140221957033685E-2</c:v>
                </c:pt>
                <c:pt idx="8">
                  <c:v>6.6702122663322094E-2</c:v>
                </c:pt>
                <c:pt idx="9">
                  <c:v>5.9456262851524784E-2</c:v>
                </c:pt>
                <c:pt idx="10">
                  <c:v>5.8570679946204962E-2</c:v>
                </c:pt>
                <c:pt idx="11">
                  <c:v>5.6055887708733577E-2</c:v>
                </c:pt>
                <c:pt idx="12">
                  <c:v>5.7855901973488867E-2</c:v>
                </c:pt>
                <c:pt idx="13">
                  <c:v>4.8297720318869329E-2</c:v>
                </c:pt>
                <c:pt idx="14">
                  <c:v>4.3597034623184622E-2</c:v>
                </c:pt>
                <c:pt idx="15">
                  <c:v>3.6365194563166003E-2</c:v>
                </c:pt>
                <c:pt idx="16">
                  <c:v>3.5442347865492198E-2</c:v>
                </c:pt>
              </c:numCache>
            </c:numRef>
          </c:val>
          <c:smooth val="0"/>
          <c:extLst>
            <c:ext xmlns:c16="http://schemas.microsoft.com/office/drawing/2014/chart" uri="{C3380CC4-5D6E-409C-BE32-E72D297353CC}">
              <c16:uniqueId val="{00000004-6CBB-42AD-8314-8862BDC14C9C}"/>
            </c:ext>
          </c:extLst>
        </c:ser>
        <c:ser>
          <c:idx val="3"/>
          <c:order val="3"/>
          <c:tx>
            <c:strRef>
              <c:f>'Resistencias vs Consumos'!$F$2</c:f>
              <c:strCache>
                <c:ptCount val="1"/>
                <c:pt idx="0">
                  <c:v>forecast consumo low95CI</c:v>
                </c:pt>
              </c:strCache>
            </c:strRef>
          </c:tx>
          <c:spPr>
            <a:ln w="28575" cap="rnd">
              <a:solidFill>
                <a:schemeClr val="bg2">
                  <a:lumMod val="90000"/>
                </a:schemeClr>
              </a:solidFill>
              <a:round/>
            </a:ln>
            <a:effectLst/>
          </c:spPr>
          <c:marker>
            <c:symbol val="none"/>
          </c:marker>
          <c:cat>
            <c:numRef>
              <c:f>'Resistencias vs Consumos'!$B$3:$B$19</c:f>
              <c:numCache>
                <c:formatCode>General</c:formatCode>
                <c:ptCount val="1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'Resistencias vs Consumos'!$F$3:$F$19</c:f>
              <c:numCache>
                <c:formatCode>General</c:formatCode>
                <c:ptCount val="17"/>
                <c:pt idx="6">
                  <c:v>8.1000000000000003E-2</c:v>
                </c:pt>
                <c:pt idx="7">
                  <c:v>5.7724048317230547E-2</c:v>
                </c:pt>
                <c:pt idx="8">
                  <c:v>5.1403340342567688E-2</c:v>
                </c:pt>
                <c:pt idx="9">
                  <c:v>4.268722096439577E-2</c:v>
                </c:pt>
                <c:pt idx="10">
                  <c:v>4.044866335094488E-2</c:v>
                </c:pt>
                <c:pt idx="11">
                  <c:v>3.6666945753814434E-2</c:v>
                </c:pt>
                <c:pt idx="12">
                  <c:v>3.7273293190906234E-2</c:v>
                </c:pt>
                <c:pt idx="13">
                  <c:v>2.3554544394178568E-2</c:v>
                </c:pt>
                <c:pt idx="14">
                  <c:v>1.7895447428647192E-2</c:v>
                </c:pt>
                <c:pt idx="15">
                  <c:v>9.7409268952235312E-3</c:v>
                </c:pt>
                <c:pt idx="16">
                  <c:v>7.9228517895924E-3</c:v>
                </c:pt>
              </c:numCache>
            </c:numRef>
          </c:val>
          <c:smooth val="0"/>
          <c:extLst>
            <c:ext xmlns:c16="http://schemas.microsoft.com/office/drawing/2014/chart" uri="{C3380CC4-5D6E-409C-BE32-E72D297353CC}">
              <c16:uniqueId val="{00000005-6CBB-42AD-8314-8862BDC14C9C}"/>
            </c:ext>
          </c:extLst>
        </c:ser>
        <c:ser>
          <c:idx val="4"/>
          <c:order val="4"/>
          <c:tx>
            <c:strRef>
              <c:f>'Resistencias vs Consumos'!$G$2</c:f>
              <c:strCache>
                <c:ptCount val="1"/>
                <c:pt idx="0">
                  <c:v>forecast consumo high95CI</c:v>
                </c:pt>
              </c:strCache>
            </c:strRef>
          </c:tx>
          <c:spPr>
            <a:ln w="28575" cap="rnd">
              <a:solidFill>
                <a:schemeClr val="bg2">
                  <a:lumMod val="90000"/>
                </a:schemeClr>
              </a:solidFill>
              <a:round/>
            </a:ln>
            <a:effectLst/>
          </c:spPr>
          <c:marker>
            <c:symbol val="none"/>
          </c:marker>
          <c:cat>
            <c:numRef>
              <c:f>'Resistencias vs Consumos'!$B$3:$B$19</c:f>
              <c:numCache>
                <c:formatCode>General</c:formatCode>
                <c:ptCount val="1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'Resistencias vs Consumos'!$G$3:$G$19</c:f>
              <c:numCache>
                <c:formatCode>General</c:formatCode>
                <c:ptCount val="17"/>
                <c:pt idx="6">
                  <c:v>8.1000000000000003E-2</c:v>
                </c:pt>
                <c:pt idx="7">
                  <c:v>8.5080390823443153E-2</c:v>
                </c:pt>
                <c:pt idx="8">
                  <c:v>8.20009049840765E-2</c:v>
                </c:pt>
                <c:pt idx="9">
                  <c:v>7.6225304738653799E-2</c:v>
                </c:pt>
                <c:pt idx="10">
                  <c:v>7.6692696541465044E-2</c:v>
                </c:pt>
                <c:pt idx="11">
                  <c:v>7.5444829663652721E-2</c:v>
                </c:pt>
                <c:pt idx="12">
                  <c:v>7.84385107560715E-2</c:v>
                </c:pt>
                <c:pt idx="13">
                  <c:v>7.3040896243560083E-2</c:v>
                </c:pt>
                <c:pt idx="14">
                  <c:v>6.9298621817722048E-2</c:v>
                </c:pt>
                <c:pt idx="15">
                  <c:v>6.2989462231108476E-2</c:v>
                </c:pt>
                <c:pt idx="16">
                  <c:v>6.2961843941391996E-2</c:v>
                </c:pt>
              </c:numCache>
            </c:numRef>
          </c:val>
          <c:smooth val="0"/>
          <c:extLst>
            <c:ext xmlns:c16="http://schemas.microsoft.com/office/drawing/2014/chart" uri="{C3380CC4-5D6E-409C-BE32-E72D297353CC}">
              <c16:uniqueId val="{00000006-6CBB-42AD-8314-8862BDC14C9C}"/>
            </c:ext>
          </c:extLst>
        </c:ser>
        <c:dLbls>
          <c:showLegendKey val="0"/>
          <c:showVal val="0"/>
          <c:showCatName val="0"/>
          <c:showSerName val="0"/>
          <c:showPercent val="0"/>
          <c:showBubbleSize val="0"/>
        </c:dLbls>
        <c:marker val="1"/>
        <c:smooth val="0"/>
        <c:axId val="1207769279"/>
        <c:axId val="1207773439"/>
      </c:lineChart>
      <c:lineChart>
        <c:grouping val="standard"/>
        <c:varyColors val="0"/>
        <c:ser>
          <c:idx val="1"/>
          <c:order val="1"/>
          <c:tx>
            <c:strRef>
              <c:f>'Resistencias vs Consumos'!$D$2</c:f>
              <c:strCache>
                <c:ptCount val="1"/>
                <c:pt idx="0">
                  <c:v>% resistentes (K.pneumoniae | carbapenemos)</c:v>
                </c:pt>
              </c:strCache>
            </c:strRef>
          </c:tx>
          <c:spPr>
            <a:ln w="28575" cap="rnd">
              <a:solidFill>
                <a:schemeClr val="accent2"/>
              </a:solidFill>
              <a:round/>
            </a:ln>
            <a:effectLst/>
          </c:spPr>
          <c:marker>
            <c:symbol val="none"/>
          </c:marker>
          <c:val>
            <c:numRef>
              <c:f>'Resistencias vs Consumos'!$D$3:$D$19</c:f>
              <c:numCache>
                <c:formatCode>0.00%</c:formatCode>
                <c:ptCount val="17"/>
                <c:pt idx="0">
                  <c:v>1.7999999999999999E-2</c:v>
                </c:pt>
                <c:pt idx="1">
                  <c:v>3.4000000000000002E-2</c:v>
                </c:pt>
                <c:pt idx="2">
                  <c:v>5.1999999999999998E-2</c:v>
                </c:pt>
                <c:pt idx="3">
                  <c:v>8.5999999999999993E-2</c:v>
                </c:pt>
              </c:numCache>
            </c:numRef>
          </c:val>
          <c:smooth val="0"/>
          <c:extLst>
            <c:ext xmlns:c16="http://schemas.microsoft.com/office/drawing/2014/chart" uri="{C3380CC4-5D6E-409C-BE32-E72D297353CC}">
              <c16:uniqueId val="{00000003-6CBB-42AD-8314-8862BDC14C9C}"/>
            </c:ext>
          </c:extLst>
        </c:ser>
        <c:ser>
          <c:idx val="5"/>
          <c:order val="5"/>
          <c:tx>
            <c:strRef>
              <c:f>'Resistencias vs Consumos'!$H$2</c:f>
              <c:strCache>
                <c:ptCount val="1"/>
                <c:pt idx="0">
                  <c:v>forecast resistencias</c:v>
                </c:pt>
              </c:strCache>
            </c:strRef>
          </c:tx>
          <c:spPr>
            <a:ln w="28575" cap="rnd">
              <a:solidFill>
                <a:schemeClr val="accent2">
                  <a:lumMod val="60000"/>
                  <a:lumOff val="40000"/>
                </a:schemeClr>
              </a:solidFill>
              <a:prstDash val="sysDash"/>
              <a:round/>
            </a:ln>
            <a:effectLst/>
          </c:spPr>
          <c:marker>
            <c:symbol val="none"/>
          </c:marker>
          <c:val>
            <c:numRef>
              <c:f>'Resistencias vs Consumos'!$H$3:$H$19</c:f>
              <c:numCache>
                <c:formatCode>General</c:formatCode>
                <c:ptCount val="17"/>
                <c:pt idx="3" formatCode="0.00%">
                  <c:v>8.5999999999999993E-2</c:v>
                </c:pt>
                <c:pt idx="4" formatCode="0%">
                  <c:v>8.4505959687928178E-2</c:v>
                </c:pt>
                <c:pt idx="5" formatCode="0%">
                  <c:v>0.10536240183581902</c:v>
                </c:pt>
                <c:pt idx="6" formatCode="0%">
                  <c:v>8.4505959687928178E-2</c:v>
                </c:pt>
                <c:pt idx="7" formatCode="0%">
                  <c:v>0.11868453372283216</c:v>
                </c:pt>
                <c:pt idx="8" formatCode="0%">
                  <c:v>0.13713751418539166</c:v>
                </c:pt>
                <c:pt idx="9" formatCode="0%">
                  <c:v>0.16830137932667599</c:v>
                </c:pt>
                <c:pt idx="10" formatCode="0%">
                  <c:v>0.17236820450312695</c:v>
                </c:pt>
                <c:pt idx="11" formatCode="0%">
                  <c:v>0.1842610506918666</c:v>
                </c:pt>
                <c:pt idx="12" formatCode="0%">
                  <c:v>0.17569574811236355</c:v>
                </c:pt>
                <c:pt idx="13" formatCode="0%">
                  <c:v>0.22463051872504192</c:v>
                </c:pt>
                <c:pt idx="14" formatCode="0%">
                  <c:v>0.25237962507003298</c:v>
                </c:pt>
                <c:pt idx="15" formatCode="0%">
                  <c:v>0.30153279503305297</c:v>
                </c:pt>
                <c:pt idx="16" formatCode="0%">
                  <c:v>0.30849878263801067</c:v>
                </c:pt>
              </c:numCache>
            </c:numRef>
          </c:val>
          <c:smooth val="0"/>
          <c:extLst>
            <c:ext xmlns:c16="http://schemas.microsoft.com/office/drawing/2014/chart" uri="{C3380CC4-5D6E-409C-BE32-E72D297353CC}">
              <c16:uniqueId val="{00000007-6CBB-42AD-8314-8862BDC14C9C}"/>
            </c:ext>
          </c:extLst>
        </c:ser>
        <c:dLbls>
          <c:showLegendKey val="0"/>
          <c:showVal val="0"/>
          <c:showCatName val="0"/>
          <c:showSerName val="0"/>
          <c:showPercent val="0"/>
          <c:showBubbleSize val="0"/>
        </c:dLbls>
        <c:marker val="1"/>
        <c:smooth val="0"/>
        <c:axId val="1261003775"/>
        <c:axId val="1261019999"/>
      </c:lineChart>
      <c:catAx>
        <c:axId val="12077692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07773439"/>
        <c:crosses val="autoZero"/>
        <c:auto val="1"/>
        <c:lblAlgn val="ctr"/>
        <c:lblOffset val="100"/>
        <c:noMultiLvlLbl val="0"/>
      </c:catAx>
      <c:valAx>
        <c:axId val="120777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consumo de carbapenemos</a:t>
                </a:r>
                <a:r>
                  <a:rPr lang="pt-PT" baseline="0"/>
                  <a:t> </a:t>
                </a:r>
              </a:p>
              <a:p>
                <a:pPr>
                  <a:defRPr/>
                </a:pPr>
                <a:r>
                  <a:rPr lang="pt-PT"/>
                  <a:t>em ddd/1.000 habitantes/dia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07769279"/>
        <c:crosses val="autoZero"/>
        <c:crossBetween val="between"/>
      </c:valAx>
      <c:valAx>
        <c:axId val="126101999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 isolados resistentes de carbapenemos em klebsiella pneumoniae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61003775"/>
        <c:crosses val="max"/>
        <c:crossBetween val="between"/>
      </c:valAx>
      <c:catAx>
        <c:axId val="1261003775"/>
        <c:scaling>
          <c:orientation val="minMax"/>
        </c:scaling>
        <c:delete val="1"/>
        <c:axPos val="b"/>
        <c:majorTickMark val="out"/>
        <c:minorTickMark val="none"/>
        <c:tickLblPos val="nextTo"/>
        <c:crossAx val="1261019999"/>
        <c:crosses val="autoZero"/>
        <c:auto val="1"/>
        <c:lblAlgn val="ctr"/>
        <c:lblOffset val="100"/>
        <c:noMultiLvlLbl val="0"/>
      </c:catAx>
      <c:spPr>
        <a:noFill/>
        <a:ln>
          <a:noFill/>
        </a:ln>
        <a:effectLst/>
      </c:spPr>
    </c:plotArea>
    <c:legend>
      <c:legendPos val="b"/>
      <c:layout>
        <c:manualLayout>
          <c:xMode val="edge"/>
          <c:yMode val="edge"/>
          <c:x val="3.0869564251123985E-2"/>
          <c:y val="0.8520872535944608"/>
          <c:w val="0.93967210491575937"/>
          <c:h val="0.12471089025704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resistencias vs consumo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scatterChart>
        <c:scatterStyle val="lineMarker"/>
        <c:varyColors val="0"/>
        <c:ser>
          <c:idx val="0"/>
          <c:order val="0"/>
          <c:tx>
            <c:strRef>
              <c:f>'Resistencias vs Consumos'!$J$2</c:f>
              <c:strCache>
                <c:ptCount val="1"/>
                <c:pt idx="0">
                  <c:v>resistencias</c:v>
                </c:pt>
              </c:strCache>
            </c:strRef>
          </c:tx>
          <c:spPr>
            <a:ln w="19050" cap="rnd">
              <a:noFill/>
              <a:round/>
            </a:ln>
            <a:effectLst/>
          </c:spPr>
          <c:marker>
            <c:symbol val="circle"/>
            <c:size val="5"/>
            <c:spPr>
              <a:solidFill>
                <a:schemeClr val="accent1"/>
              </a:solidFill>
              <a:ln w="9525">
                <a:solidFill>
                  <a:schemeClr val="accent1"/>
                </a:solidFill>
              </a:ln>
              <a:effectLst/>
            </c:spPr>
          </c:marker>
          <c:xVal>
            <c:numRef>
              <c:f>'Resistencias vs Consumos'!$I$3:$I$19</c:f>
              <c:numCache>
                <c:formatCode>0.0000</c:formatCode>
                <c:ptCount val="17"/>
                <c:pt idx="0">
                  <c:v>0.106</c:v>
                </c:pt>
                <c:pt idx="1">
                  <c:v>0.1</c:v>
                </c:pt>
                <c:pt idx="2">
                  <c:v>9.1999999999999998E-2</c:v>
                </c:pt>
                <c:pt idx="3">
                  <c:v>8.3000000000000004E-2</c:v>
                </c:pt>
                <c:pt idx="4">
                  <c:v>8.1000000000000003E-2</c:v>
                </c:pt>
                <c:pt idx="5">
                  <c:v>7.4999999999999997E-2</c:v>
                </c:pt>
                <c:pt idx="6">
                  <c:v>8.1000000000000003E-2</c:v>
                </c:pt>
                <c:pt idx="7">
                  <c:v>7.140221957033685E-2</c:v>
                </c:pt>
                <c:pt idx="8">
                  <c:v>6.6702122663322094E-2</c:v>
                </c:pt>
                <c:pt idx="9">
                  <c:v>5.9456262851524784E-2</c:v>
                </c:pt>
                <c:pt idx="10">
                  <c:v>5.8570679946204962E-2</c:v>
                </c:pt>
                <c:pt idx="11">
                  <c:v>5.6055887708733577E-2</c:v>
                </c:pt>
                <c:pt idx="12">
                  <c:v>5.7855901973488867E-2</c:v>
                </c:pt>
                <c:pt idx="13">
                  <c:v>4.8297720318869329E-2</c:v>
                </c:pt>
                <c:pt idx="14">
                  <c:v>4.3597034623184622E-2</c:v>
                </c:pt>
                <c:pt idx="15">
                  <c:v>3.6365194563166003E-2</c:v>
                </c:pt>
                <c:pt idx="16">
                  <c:v>3.5442347865492198E-2</c:v>
                </c:pt>
              </c:numCache>
            </c:numRef>
          </c:xVal>
          <c:yVal>
            <c:numRef>
              <c:f>'Resistencias vs Consumos'!$J$3:$J$19</c:f>
              <c:numCache>
                <c:formatCode>0.00%</c:formatCode>
                <c:ptCount val="17"/>
                <c:pt idx="0">
                  <c:v>1.7999999999999999E-2</c:v>
                </c:pt>
                <c:pt idx="1">
                  <c:v>3.4000000000000002E-2</c:v>
                </c:pt>
                <c:pt idx="2">
                  <c:v>5.1999999999999998E-2</c:v>
                </c:pt>
                <c:pt idx="3">
                  <c:v>8.5999999999999993E-2</c:v>
                </c:pt>
                <c:pt idx="4" formatCode="0%">
                  <c:v>8.4505959687928178E-2</c:v>
                </c:pt>
                <c:pt idx="5" formatCode="0%">
                  <c:v>0.10536240183581902</c:v>
                </c:pt>
                <c:pt idx="6" formatCode="0%">
                  <c:v>8.4505959687928178E-2</c:v>
                </c:pt>
                <c:pt idx="7" formatCode="0%">
                  <c:v>0.11868453372283216</c:v>
                </c:pt>
                <c:pt idx="8" formatCode="0%">
                  <c:v>0.13713751418539166</c:v>
                </c:pt>
                <c:pt idx="9" formatCode="0%">
                  <c:v>0.16830137932667599</c:v>
                </c:pt>
                <c:pt idx="10" formatCode="0%">
                  <c:v>0.17236820450312695</c:v>
                </c:pt>
                <c:pt idx="11" formatCode="0%">
                  <c:v>0.1842610506918666</c:v>
                </c:pt>
                <c:pt idx="12" formatCode="0%">
                  <c:v>0.17569574811236355</c:v>
                </c:pt>
                <c:pt idx="13" formatCode="0%">
                  <c:v>0.22463051872504192</c:v>
                </c:pt>
                <c:pt idx="14" formatCode="0%">
                  <c:v>0.25237962507003298</c:v>
                </c:pt>
                <c:pt idx="15" formatCode="0%">
                  <c:v>0.30153279503305297</c:v>
                </c:pt>
                <c:pt idx="16" formatCode="0%">
                  <c:v>0.30849878263801067</c:v>
                </c:pt>
              </c:numCache>
            </c:numRef>
          </c:yVal>
          <c:smooth val="0"/>
          <c:extLst>
            <c:ext xmlns:c16="http://schemas.microsoft.com/office/drawing/2014/chart" uri="{C3380CC4-5D6E-409C-BE32-E72D297353CC}">
              <c16:uniqueId val="{00000000-850C-4A2D-A19D-05E6A42FA7A0}"/>
            </c:ext>
          </c:extLst>
        </c:ser>
        <c:dLbls>
          <c:showLegendKey val="0"/>
          <c:showVal val="0"/>
          <c:showCatName val="0"/>
          <c:showSerName val="0"/>
          <c:showPercent val="0"/>
          <c:showBubbleSize val="0"/>
        </c:dLbls>
        <c:axId val="1154919007"/>
        <c:axId val="1154926079"/>
      </c:scatterChart>
      <c:valAx>
        <c:axId val="1154919007"/>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54926079"/>
        <c:crosses val="autoZero"/>
        <c:crossBetween val="midCat"/>
      </c:valAx>
      <c:valAx>
        <c:axId val="11549260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54919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Custos e mortes adicionais CRKP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2"/>
          <c:order val="2"/>
          <c:spPr>
            <a:solidFill>
              <a:schemeClr val="accent3"/>
            </a:solidFill>
            <a:ln>
              <a:noFill/>
            </a:ln>
            <a:effectLst/>
          </c:spPr>
          <c:invertIfNegative val="0"/>
          <c:val>
            <c:numRef>
              <c:f>'Resistencias vs Consumos'!$P$3:$P$19</c:f>
              <c:numCache>
                <c:formatCode>0</c:formatCode>
                <c:ptCount val="17"/>
                <c:pt idx="0">
                  <c:v>17048877.811477624</c:v>
                </c:pt>
                <c:pt idx="1">
                  <c:v>30282525.222303905</c:v>
                </c:pt>
                <c:pt idx="2">
                  <c:v>42478446.214968614</c:v>
                </c:pt>
                <c:pt idx="3">
                  <c:v>63266241.500160858</c:v>
                </c:pt>
                <c:pt idx="4">
                  <c:v>60584189.419509314</c:v>
                </c:pt>
                <c:pt idx="5">
                  <c:v>70072626.22874181</c:v>
                </c:pt>
                <c:pt idx="6">
                  <c:v>60711735.180735119</c:v>
                </c:pt>
                <c:pt idx="7">
                  <c:v>75071202.508369312</c:v>
                </c:pt>
                <c:pt idx="8">
                  <c:v>80933821.97118257</c:v>
                </c:pt>
                <c:pt idx="9">
                  <c:v>88427091.161842525</c:v>
                </c:pt>
                <c:pt idx="10">
                  <c:v>89105139.694735616</c:v>
                </c:pt>
                <c:pt idx="11">
                  <c:v>91051001.387109354</c:v>
                </c:pt>
                <c:pt idx="12">
                  <c:v>89495835.149663359</c:v>
                </c:pt>
                <c:pt idx="13">
                  <c:v>95400926.152064055</c:v>
                </c:pt>
                <c:pt idx="14">
                  <c:v>96634247.583727509</c:v>
                </c:pt>
                <c:pt idx="15">
                  <c:v>96183873.048399314</c:v>
                </c:pt>
                <c:pt idx="16">
                  <c:v>95789747.157080337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0B9C-4752-A2ED-63915F9F5F37}"/>
            </c:ext>
          </c:extLst>
        </c:ser>
        <c:dLbls>
          <c:showLegendKey val="0"/>
          <c:showVal val="0"/>
          <c:showCatName val="0"/>
          <c:showSerName val="0"/>
          <c:showPercent val="0"/>
          <c:showBubbleSize val="0"/>
        </c:dLbls>
        <c:gapWidth val="219"/>
        <c:axId val="2077903360"/>
        <c:axId val="2077902944"/>
      </c:barChart>
      <c:lineChart>
        <c:grouping val="standard"/>
        <c:varyColors val="0"/>
        <c:ser>
          <c:idx val="0"/>
          <c:order val="0"/>
          <c:spPr>
            <a:ln w="28575" cap="rnd">
              <a:solidFill>
                <a:schemeClr val="accent1"/>
              </a:solidFill>
              <a:round/>
            </a:ln>
            <a:effectLst/>
          </c:spPr>
          <c:marker>
            <c:symbol val="none"/>
          </c:marker>
          <c:val>
            <c:numRef>
              <c:f>'Resistencias vs Consumos'!$N$3:$N$19</c:f>
              <c:numCache>
                <c:formatCode>0</c:formatCode>
                <c:ptCount val="17"/>
                <c:pt idx="0">
                  <c:v>401401.86317999999</c:v>
                </c:pt>
                <c:pt idx="1">
                  <c:v>377458.54500000004</c:v>
                </c:pt>
                <c:pt idx="2">
                  <c:v>346195.46133999998</c:v>
                </c:pt>
                <c:pt idx="3">
                  <c:v>311766.66296500002</c:v>
                </c:pt>
                <c:pt idx="4">
                  <c:v>303828.18160499999</c:v>
                </c:pt>
                <c:pt idx="5">
                  <c:v>281850.508875</c:v>
                </c:pt>
                <c:pt idx="6">
                  <c:v>304467.82037999999</c:v>
                </c:pt>
                <c:pt idx="7">
                  <c:v>268062.05063126207</c:v>
                </c:pt>
                <c:pt idx="8">
                  <c:v>250109.31551430488</c:v>
                </c:pt>
                <c:pt idx="9">
                  <c:v>222665.92163040835</c:v>
                </c:pt>
                <c:pt idx="10">
                  <c:v>219079.47350208904</c:v>
                </c:pt>
                <c:pt idx="11">
                  <c:v>209414.75314662748</c:v>
                </c:pt>
                <c:pt idx="12">
                  <c:v>215872.67067580039</c:v>
                </c:pt>
                <c:pt idx="13">
                  <c:v>179986.49584282484</c:v>
                </c:pt>
                <c:pt idx="14">
                  <c:v>162267.99483206545</c:v>
                </c:pt>
                <c:pt idx="15">
                  <c:v>135183.53484768729</c:v>
                </c:pt>
                <c:pt idx="16">
                  <c:v>131589.62921965044</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0B9C-4752-A2ED-63915F9F5F37}"/>
            </c:ext>
          </c:extLst>
        </c:ser>
        <c:ser>
          <c:idx val="1"/>
          <c:order val="1"/>
          <c:spPr>
            <a:ln w="28575" cap="rnd">
              <a:solidFill>
                <a:schemeClr val="accent2"/>
              </a:solidFill>
              <a:round/>
            </a:ln>
            <a:effectLst/>
          </c:spPr>
          <c:marker>
            <c:symbol val="none"/>
          </c:marker>
          <c:val>
            <c:numRef>
              <c:f>'Resistencias vs Consumos'!$O$3:$O$19</c:f>
              <c:numCache>
                <c:formatCode>0</c:formatCode>
                <c:ptCount val="17"/>
                <c:pt idx="0">
                  <c:v>7225.2335372400003</c:v>
                </c:pt>
                <c:pt idx="1">
                  <c:v>12833.590530000001</c:v>
                </c:pt>
                <c:pt idx="2">
                  <c:v>18002.163989679997</c:v>
                </c:pt>
                <c:pt idx="3">
                  <c:v>26811.933014990002</c:v>
                </c:pt>
                <c:pt idx="4">
                  <c:v>25675.292066768652</c:v>
                </c:pt>
                <c:pt idx="5">
                  <c:v>29696.446573717829</c:v>
                </c:pt>
                <c:pt idx="6">
                  <c:v>25729.345355303634</c:v>
                </c:pt>
                <c:pt idx="7">
                  <c:v>31814.819487957568</c:v>
                </c:pt>
                <c:pt idx="8">
                  <c:v>34299.369804241585</c:v>
                </c:pt>
                <c:pt idx="9">
                  <c:v>37474.981739443268</c:v>
                </c:pt>
                <c:pt idx="10">
                  <c:v>37762.335491045465</c:v>
                </c:pt>
                <c:pt idx="11">
                  <c:v>38586.982445175454</c:v>
                </c:pt>
                <c:pt idx="12">
                  <c:v>37927.910371398633</c:v>
                </c:pt>
                <c:pt idx="13">
                  <c:v>40430.459924676346</c:v>
                </c:pt>
                <c:pt idx="14">
                  <c:v>40953.135696582729</c:v>
                </c:pt>
                <c:pt idx="15">
                  <c:v>40762.269105071267</c:v>
                </c:pt>
                <c:pt idx="16">
                  <c:v>40595.240422049363</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0B9C-4752-A2ED-63915F9F5F37}"/>
            </c:ext>
          </c:extLst>
        </c:ser>
        <c:ser>
          <c:idx val="3"/>
          <c:order val="3"/>
          <c:spPr>
            <a:ln w="28575" cap="rnd">
              <a:solidFill>
                <a:schemeClr val="accent4"/>
              </a:solidFill>
              <a:round/>
            </a:ln>
            <a:effectLst/>
          </c:spPr>
          <c:marker>
            <c:symbol val="none"/>
          </c:marker>
          <c:val>
            <c:numRef>
              <c:f>'Resistencias vs Consumos'!$Q$3:$Q$19</c:f>
              <c:numCache>
                <c:formatCode>0</c:formatCode>
                <c:ptCount val="17"/>
                <c:pt idx="0">
                  <c:v>1515.853996112952</c:v>
                </c:pt>
                <c:pt idx="1">
                  <c:v>2692.4872931939999</c:v>
                </c:pt>
                <c:pt idx="2">
                  <c:v>3776.8540050348633</c:v>
                </c:pt>
                <c:pt idx="3">
                  <c:v>5625.1435465449022</c:v>
                </c:pt>
                <c:pt idx="4">
                  <c:v>5386.6762756080625</c:v>
                </c:pt>
                <c:pt idx="5">
                  <c:v>6230.3144911660002</c:v>
                </c:pt>
                <c:pt idx="6">
                  <c:v>5398.0166555427022</c:v>
                </c:pt>
                <c:pt idx="7">
                  <c:v>6674.7491285734968</c:v>
                </c:pt>
                <c:pt idx="8">
                  <c:v>7196.0077849298841</c:v>
                </c:pt>
                <c:pt idx="9">
                  <c:v>7862.2511689351968</c:v>
                </c:pt>
                <c:pt idx="10">
                  <c:v>7922.5379860213379</c:v>
                </c:pt>
                <c:pt idx="11">
                  <c:v>8095.54891699781</c:v>
                </c:pt>
                <c:pt idx="12">
                  <c:v>7957.2755959194328</c:v>
                </c:pt>
                <c:pt idx="13">
                  <c:v>8482.3104921970971</c:v>
                </c:pt>
                <c:pt idx="14">
                  <c:v>8591.9678691430563</c:v>
                </c:pt>
                <c:pt idx="15">
                  <c:v>8551.9240582439506</c:v>
                </c:pt>
                <c:pt idx="16">
                  <c:v>8516.8814405459561</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0B9C-4752-A2ED-63915F9F5F37}"/>
            </c:ext>
          </c:extLst>
        </c:ser>
        <c:dLbls>
          <c:showLegendKey val="0"/>
          <c:showVal val="0"/>
          <c:showCatName val="0"/>
          <c:showSerName val="0"/>
          <c:showPercent val="0"/>
          <c:showBubbleSize val="0"/>
        </c:dLbls>
        <c:marker val="1"/>
        <c:smooth val="0"/>
        <c:axId val="1940774560"/>
        <c:axId val="1940759168"/>
      </c:lineChart>
      <c:catAx>
        <c:axId val="19407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40759168"/>
        <c:crosses val="autoZero"/>
        <c:auto val="1"/>
        <c:lblAlgn val="ctr"/>
        <c:lblOffset val="100"/>
        <c:noMultiLvlLbl val="0"/>
      </c:catAx>
      <c:valAx>
        <c:axId val="19407591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40774560"/>
        <c:crosses val="autoZero"/>
        <c:crossBetween val="between"/>
      </c:valAx>
      <c:valAx>
        <c:axId val="2077902944"/>
        <c:scaling>
          <c:orientation val="minMax"/>
        </c:scaling>
        <c:delete val="0"/>
        <c:axPos val="r"/>
        <c:numFmt formatCode="_-* #,##0\ [$€-816]_-;\-* #,##0\ [$€-816]_-;_-* &quot;-&quot;\ [$€-816]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077903360"/>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dispUnitsLbl>
        </c:dispUnits>
      </c:valAx>
      <c:catAx>
        <c:axId val="2077903360"/>
        <c:scaling>
          <c:orientation val="minMax"/>
        </c:scaling>
        <c:delete val="1"/>
        <c:axPos val="b"/>
        <c:numFmt formatCode="General" sourceLinked="1"/>
        <c:majorTickMark val="out"/>
        <c:minorTickMark val="none"/>
        <c:tickLblPos val="nextTo"/>
        <c:crossAx val="20779029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16</xdr:col>
      <xdr:colOff>96308</xdr:colOff>
      <xdr:row>1</xdr:row>
      <xdr:rowOff>84454</xdr:rowOff>
    </xdr:from>
    <xdr:to>
      <xdr:col>26</xdr:col>
      <xdr:colOff>550334</xdr:colOff>
      <xdr:row>16</xdr:row>
      <xdr:rowOff>123189</xdr:rowOff>
    </xdr:to>
    <xdr:graphicFrame macro="">
      <xdr:nvGraphicFramePr>
        <xdr:cNvPr id="24" name="Gráfico 23">
          <a:extLst>
            <a:ext uri="{FF2B5EF4-FFF2-40B4-BE49-F238E27FC236}">
              <a16:creationId xmlns:a16="http://schemas.microsoft.com/office/drawing/2014/main" id="{77C34A89-768E-480E-82A5-8439BE1FF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99059</xdr:colOff>
      <xdr:row>21</xdr:row>
      <xdr:rowOff>97790</xdr:rowOff>
    </xdr:from>
    <xdr:to>
      <xdr:col>26</xdr:col>
      <xdr:colOff>553085</xdr:colOff>
      <xdr:row>36</xdr:row>
      <xdr:rowOff>136525</xdr:rowOff>
    </xdr:to>
    <xdr:graphicFrame macro="">
      <xdr:nvGraphicFramePr>
        <xdr:cNvPr id="25" name="Gráfico 24">
          <a:extLst>
            <a:ext uri="{FF2B5EF4-FFF2-40B4-BE49-F238E27FC236}">
              <a16:creationId xmlns:a16="http://schemas.microsoft.com/office/drawing/2014/main" id="{0EF3488C-F215-4F1E-B465-CF89F14DE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135467</xdr:colOff>
      <xdr:row>40</xdr:row>
      <xdr:rowOff>78740</xdr:rowOff>
    </xdr:from>
    <xdr:to>
      <xdr:col>26</xdr:col>
      <xdr:colOff>589493</xdr:colOff>
      <xdr:row>55</xdr:row>
      <xdr:rowOff>117475</xdr:rowOff>
    </xdr:to>
    <xdr:graphicFrame macro="">
      <xdr:nvGraphicFramePr>
        <xdr:cNvPr id="26" name="Gráfico 25">
          <a:extLst>
            <a:ext uri="{FF2B5EF4-FFF2-40B4-BE49-F238E27FC236}">
              <a16:creationId xmlns:a16="http://schemas.microsoft.com/office/drawing/2014/main" id="{03C660DC-024D-4A63-A52D-C6F79F2A8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42</xdr:col>
      <xdr:colOff>122873</xdr:colOff>
      <xdr:row>1</xdr:row>
      <xdr:rowOff>95250</xdr:rowOff>
    </xdr:from>
    <xdr:to>
      <xdr:col>52</xdr:col>
      <xdr:colOff>573089</xdr:colOff>
      <xdr:row>25</xdr:row>
      <xdr:rowOff>142875</xdr:rowOff>
    </xdr:to>
    <xdr:graphicFrame macro="">
      <xdr:nvGraphicFramePr>
        <xdr:cNvPr id="27" name="Gráfico 26">
          <a:extLst>
            <a:ext uri="{FF2B5EF4-FFF2-40B4-BE49-F238E27FC236}">
              <a16:creationId xmlns:a16="http://schemas.microsoft.com/office/drawing/2014/main" id="{EAAC66A6-B6D1-4D5B-9AB6-2FD3E51A8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83819</xdr:colOff>
      <xdr:row>38</xdr:row>
      <xdr:rowOff>20319</xdr:rowOff>
    </xdr:from>
    <xdr:to>
      <xdr:col>4</xdr:col>
      <xdr:colOff>780414</xdr:colOff>
      <xdr:row>54</xdr:row>
      <xdr:rowOff>102234</xdr:rowOff>
    </xdr:to>
    <xdr:graphicFrame macro="">
      <xdr:nvGraphicFramePr>
        <xdr:cNvPr id="5" name="Gráfico 4">
          <a:extLst>
            <a:ext uri="{FF2B5EF4-FFF2-40B4-BE49-F238E27FC236}">
              <a16:creationId xmlns:a16="http://schemas.microsoft.com/office/drawing/2014/main" id="{88678429-F5DD-46E7-8532-CD1697408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53341</xdr:colOff>
      <xdr:row>20</xdr:row>
      <xdr:rowOff>38100</xdr:rowOff>
    </xdr:from>
    <xdr:to>
      <xdr:col>6</xdr:col>
      <xdr:colOff>1028700</xdr:colOff>
      <xdr:row>37</xdr:row>
      <xdr:rowOff>91440</xdr:rowOff>
    </xdr:to>
    <xdr:graphicFrame macro="">
      <xdr:nvGraphicFramePr>
        <xdr:cNvPr id="7" name="Gráfico 6">
          <a:extLst>
            <a:ext uri="{FF2B5EF4-FFF2-40B4-BE49-F238E27FC236}">
              <a16:creationId xmlns:a16="http://schemas.microsoft.com/office/drawing/2014/main" id="{C1502699-E7F0-4E0D-BFFC-4DEF9E6DA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885825</xdr:colOff>
      <xdr:row>38</xdr:row>
      <xdr:rowOff>64135</xdr:rowOff>
    </xdr:from>
    <xdr:to>
      <xdr:col>7</xdr:col>
      <xdr:colOff>1167765</xdr:colOff>
      <xdr:row>52</xdr:row>
      <xdr:rowOff>117475</xdr:rowOff>
    </xdr:to>
    <xdr:graphicFrame macro="">
      <xdr:nvGraphicFramePr>
        <xdr:cNvPr id="8" name="Gráfico 7">
          <a:extLst>
            <a:ext uri="{FF2B5EF4-FFF2-40B4-BE49-F238E27FC236}">
              <a16:creationId xmlns:a16="http://schemas.microsoft.com/office/drawing/2014/main" id="{3BDBB5C2-0829-4959-A531-6844E26C2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180340</xdr:colOff>
      <xdr:row>2</xdr:row>
      <xdr:rowOff>63500</xdr:rowOff>
    </xdr:from>
    <xdr:to>
      <xdr:col>26</xdr:col>
      <xdr:colOff>546100</xdr:colOff>
      <xdr:row>18</xdr:row>
      <xdr:rowOff>134620</xdr:rowOff>
    </xdr:to>
    <xdr:graphicFrame macro="">
      <xdr:nvGraphicFramePr>
        <xdr:cNvPr id="2" name="Gráfico 1">
          <a:extLst>
            <a:ext uri="{FF2B5EF4-FFF2-40B4-BE49-F238E27FC236}">
              <a16:creationId xmlns:a16="http://schemas.microsoft.com/office/drawing/2014/main" id="{3747A8ED-D750-4EAA-BFF4-B8900AF47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57151</xdr:colOff>
      <xdr:row>4</xdr:row>
      <xdr:rowOff>38099</xdr:rowOff>
    </xdr:from>
    <xdr:to>
      <xdr:col>11</xdr:col>
      <xdr:colOff>1066801</xdr:colOff>
      <xdr:row>17</xdr:row>
      <xdr:rowOff>9524</xdr:rowOff>
    </xdr:to>
    <xdr:sp macro="" textlink="">
      <xdr:nvSpPr>
        <xdr:cNvPr id="2" name="TextBox 1">
          <a:extLst>
            <a:ext uri="{FF2B5EF4-FFF2-40B4-BE49-F238E27FC236}">
              <a16:creationId xmlns:a16="http://schemas.microsoft.com/office/drawing/2014/main" id="{988886CE-4DA9-4FB7-80BF-EA45B87D807A}"/>
            </a:ext>
          </a:extLst>
        </xdr:cNvPr>
        <xdr:cNvSpPr txBox="1"/>
      </xdr:nvSpPr>
      <xdr:spPr>
        <a:xfrm>
          <a:off x="666751" y="2400299"/>
          <a:ext cx="12172950"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100" b="1" i="0">
              <a:solidFill>
                <a:schemeClr val="dk1"/>
              </a:solidFill>
              <a:effectLst/>
              <a:latin typeface="+mn-lt"/>
              <a:ea typeface="+mn-ea"/>
              <a:cs typeface="+mn-cs"/>
            </a:rPr>
            <a:t>Total sample size and fraction of countries covered for each modelling component by GBD region. The units for sample size are deaths for sepsis and infectious syndrome models; cases for case-fatality ratios; cases, deaths, or isolates for pathogen distribution; pathogen–drug tests for fraction of resistance; and pathogen–drug tests for relative risk. Sample sizes reflect model-specific selection criteria, resulting in lower totals for the sepsis, infectious syndrome, case-fatality ratio, and pathogen distribution models in this table than those in figure 1. Totals for fraction of resistance and relative risk are higher in this table than in figure 1 because of the difference in units for certain source types, such as microbial data (isolates in figure 1, pathogen–drug tests here). Several data sources inform multiple components; therefore, data points should not be summed across a row as that will lead to duplication. More information on the data types used and the components that they inform is presented in the appendix (pp 8–15). GBD=Global Burden of Diseases, Injuries, and Risk Factors Study.</a:t>
          </a:r>
        </a:p>
        <a:p>
          <a:r>
            <a:rPr lang="pt-PT" sz="1100" b="1" i="0">
              <a:solidFill>
                <a:schemeClr val="dk1"/>
              </a:solidFill>
              <a:effectLst/>
              <a:latin typeface="+mn-lt"/>
              <a:ea typeface="+mn-ea"/>
              <a:cs typeface="+mn-cs"/>
            </a:rPr>
            <a:t>* The data points listed in the sepsis and infectious syndrome models include only sources used to determine the fraction of sepsis in non-communicable diseases; maternal, neonatal, and nutritional diseases; and injuries, as well as the distribution of infectious syndromes; final estimates of the number of deaths in each infectious syndrome were generated by multiplying the fractions of sepsis and infection syndromes on GBD 2019 death estimates; GBD 2019 death estimates include 7417 sources with 28 106 location-years of data for under-5 mortality and 7355 sources with over 7322 location-years of data.</a:t>
          </a:r>
        </a:p>
        <a:p>
          <a:r>
            <a:rPr lang="pt-PT" sz="1100" b="1" i="0">
              <a:solidFill>
                <a:schemeClr val="dk1"/>
              </a:solidFill>
              <a:effectLst/>
              <a:latin typeface="+mn-lt"/>
              <a:ea typeface="+mn-ea"/>
              <a:cs typeface="+mn-cs"/>
            </a:rPr>
            <a:t>† For sources in the fraction of resistance modelling component, de-duplication across antibiotic resistance tests was not possible, leading to potential double counting, as seen in the high-income Asia Pacific region.</a:t>
          </a:r>
        </a:p>
        <a:p>
          <a:endParaRPr lang="pt-PT"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CFF26-B6AE-4A65-8CFB-4C7FEA87BDF4}" name="Tabela1" displayName="Tabela1" ref="B1:B56" totalsRowCount="1" headerRowDxfId="15" dataDxfId="14">
  <autoFilter ref="B1:B55" xr:uid="{77ACFF26-B6AE-4A65-8CFB-4C7FEA87BDF4}"/>
  <tableColumns count="1">
    <tableColumn id="1" xr3:uid="{7C8D445B-71B4-4684-ABE2-6567BE95DFDD}" name="Year" dataDxfId="13" totalsRowDxfId="1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15FB4E4-7889-4BD0-B35C-2D24EB957477}" name="Tabela12" displayName="Tabela12" ref="A4:J87" totalsRowShown="0" headerRowDxfId="11" tableBorderDxfId="10">
  <autoFilter ref="A4:J87" xr:uid="{915FB4E4-7889-4BD0-B35C-2D24EB957477}">
    <filterColumn colId="1">
      <filters>
        <filter val="Carbapenem"/>
      </filters>
    </filterColumn>
  </autoFilter>
  <tableColumns count="10">
    <tableColumn id="1" xr3:uid="{8252B0C1-8547-4DC0-9452-31019C780CF5}" name="Pathogen" dataDxfId="9"/>
    <tableColumn id="2" xr3:uid="{BCC4682A-6EE8-4808-8BC4-589CA84E868D}" name="Antibiotic Class" dataDxfId="8"/>
    <tableColumn id="3" xr3:uid="{B2CAEDC6-D56D-4A81-AD07-31070F216E8F}" name="Counts (thousands)" dataDxfId="7"/>
    <tableColumn id="4" xr3:uid="{E40DA90D-DFEF-44AD-B5CF-30631EE79E4C}" name="Rate per 100 000" dataDxfId="6"/>
    <tableColumn id="5" xr3:uid="{079577FB-B415-4321-90C8-A1DC607A609E}" name="Counts (thousands)2" dataDxfId="5"/>
    <tableColumn id="6" xr3:uid="{1EEFA7E8-852D-47CE-A0F8-BA4614853F37}" name="Rate per 100 0003" dataDxfId="4"/>
    <tableColumn id="7" xr3:uid="{A21D3FA9-9A88-4BB4-B61B-195611BEB725}" name="Counts (thousands)4" dataDxfId="3"/>
    <tableColumn id="8" xr3:uid="{89F153CA-F29E-46D5-8D2B-36E4AD78841F}" name="Rate per 100 0005" dataDxfId="2"/>
    <tableColumn id="9" xr3:uid="{35CCE8BF-FA79-4321-AB37-6A29793A93C1}" name="Counts (thousands)6" dataDxfId="1"/>
    <tableColumn id="10" xr3:uid="{0C067D47-2C92-40BB-A83D-97930FBC1F60}" name="Rate per 100 0007"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ghdx.healthdata.org/gbd-2019/data-input-sources?components=6&amp;risks=169&amp;locations=91"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thelancet.com/cms/10.1016/S0140-6736(21)02724-0/attachment/b227deb3-ff04-497f-82ac-637d8ab7f679/mmc1.pdf" TargetMode="External"/><Relationship Id="rId1" Type="http://schemas.openxmlformats.org/officeDocument/2006/relationships/hyperlink" Target="https://www.thelancet.com/cms/10.1016/S0140-6736(21)02724-0/attachment/b227deb3-ff04-497f-82ac-637d8ab7f679/mmc1.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nsparencia.sns.gov.pt/explore/dataset/antibioticos-fluoroquinolonas/table/?disjunctive.ars_hospital&amp;disjunctive.nome_hospital&amp;disjunctive.grupo_hospital&amp;sort=periodo" TargetMode="External"/><Relationship Id="rId2" Type="http://schemas.openxmlformats.org/officeDocument/2006/relationships/hyperlink" Target="https://transparencia.sns.gov.pt/explore/dataset/antibioticos-cefalosporinas/table/?disjunctive.ars_hospital&amp;disjunctive.nome_hospital&amp;disjunctive.grupo_hospital&amp;sort=periodo" TargetMode="External"/><Relationship Id="rId1" Type="http://schemas.openxmlformats.org/officeDocument/2006/relationships/hyperlink" Target="https://transparencia.sns.gov.pt/explore/dataset/antibioticos-carbapenemes/table/?flg=pt&amp;disjunctive.ars_hospital&amp;disjunctive.nome_hospital&amp;disjunctive.grupo_hospital&amp;sort=periodo&amp;location=6,39.45581,-8.00765" TargetMode="External"/><Relationship Id="rId4" Type="http://schemas.openxmlformats.org/officeDocument/2006/relationships/hyperlink" Target="https://transparencia.sns.gov.pt/explore/dataset/antibioticos/table/?disjunctive.ars_hospital&amp;disjunctive.nome_hospital&amp;disjunctive.grupo_hospital&amp;sort=periodo"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ncbi.nlm.nih.gov/pmc/articles/PMC6692939/pdf/13756_2019_Article_590.pdf" TargetMode="External"/><Relationship Id="rId13" Type="http://schemas.openxmlformats.org/officeDocument/2006/relationships/printerSettings" Target="../printerSettings/printerSettings2.bin"/><Relationship Id="rId3" Type="http://schemas.openxmlformats.org/officeDocument/2006/relationships/hyperlink" Target="https://aricjournal.biomedcentral.com/track/pdf/10.1186/s13756-019-0472-z.pdf" TargetMode="External"/><Relationship Id="rId7" Type="http://schemas.openxmlformats.org/officeDocument/2006/relationships/hyperlink" Target="https://www.ncbi.nlm.nih.gov/pmc/articles/PMC6692939/pdf/13756_2019_Article_590.pdf" TargetMode="External"/><Relationship Id="rId12" Type="http://schemas.openxmlformats.org/officeDocument/2006/relationships/hyperlink" Target="https://www.ncbi.nlm.nih.gov/pmc/articles/PMC6692939/pdf/13756_2019_Article_590.pdf" TargetMode="External"/><Relationship Id="rId2" Type="http://schemas.openxmlformats.org/officeDocument/2006/relationships/hyperlink" Target="https://aricjournal.biomedcentral.com/track/pdf/10.1186/s13756-019-0472-z.pdf" TargetMode="External"/><Relationship Id="rId1" Type="http://schemas.openxmlformats.org/officeDocument/2006/relationships/hyperlink" Target="https://aricjournal.biomedcentral.com/track/pdf/10.1186/s13756-019-0472-z.pdf" TargetMode="External"/><Relationship Id="rId6" Type="http://schemas.openxmlformats.org/officeDocument/2006/relationships/hyperlink" Target="https://www.ncbi.nlm.nih.gov/pmc/articles/PMC6692939/pdf/13756_2019_Article_590.pdf" TargetMode="External"/><Relationship Id="rId11" Type="http://schemas.openxmlformats.org/officeDocument/2006/relationships/hyperlink" Target="https://www.ncbi.nlm.nih.gov/pmc/articles/PMC6692939/pdf/13756_2019_Article_590.pdf" TargetMode="External"/><Relationship Id="rId5" Type="http://schemas.openxmlformats.org/officeDocument/2006/relationships/hyperlink" Target="https://www.ncbi.nlm.nih.gov/pmc/articles/PMC6692939/pdf/13756_2019_Article_590.pdf" TargetMode="External"/><Relationship Id="rId10" Type="http://schemas.openxmlformats.org/officeDocument/2006/relationships/hyperlink" Target="https://www.ncbi.nlm.nih.gov/pmc/articles/PMC6692939/pdf/13756_2019_Article_590.pdf" TargetMode="External"/><Relationship Id="rId4" Type="http://schemas.openxmlformats.org/officeDocument/2006/relationships/hyperlink" Target="https://academic.oup.com/cid/article/67/suppl_2/S225/5181281" TargetMode="External"/><Relationship Id="rId9" Type="http://schemas.openxmlformats.org/officeDocument/2006/relationships/hyperlink" Target="https://www.ncbi.nlm.nih.gov/pmc/articles/PMC6692939/pdf/13756_2019_Article_590.pdf"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thelancet.com/action/showPdf?pii=S0140-6736%2818%293099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4FE4-2D28-43DD-8FD3-3E1FF44F6FFA}">
  <dimension ref="B1:AT59"/>
  <sheetViews>
    <sheetView zoomScale="80" zoomScaleNormal="80" workbookViewId="0">
      <selection activeCell="D33" sqref="D33"/>
    </sheetView>
  </sheetViews>
  <sheetFormatPr defaultRowHeight="14.4" x14ac:dyDescent="0.3"/>
  <cols>
    <col min="3" max="6" width="10.33203125" customWidth="1"/>
    <col min="7" max="8" width="11.6640625" customWidth="1"/>
    <col min="9" max="12" width="15.44140625" customWidth="1"/>
    <col min="13" max="13" width="15.88671875" customWidth="1"/>
    <col min="14" max="14" width="14.33203125" customWidth="1"/>
    <col min="15" max="15" width="12.6640625" customWidth="1"/>
    <col min="16" max="16" width="14.33203125" customWidth="1"/>
    <col min="28" max="28" width="3.44140625" customWidth="1"/>
    <col min="29" max="29" width="20" bestFit="1" customWidth="1"/>
    <col min="30" max="30" width="5.6640625" bestFit="1" customWidth="1"/>
    <col min="33" max="33" width="19.33203125" customWidth="1"/>
    <col min="34" max="39" width="17" customWidth="1"/>
    <col min="40" max="40" width="30.44140625" customWidth="1"/>
    <col min="41" max="42" width="16" customWidth="1"/>
  </cols>
  <sheetData>
    <row r="1" spans="2:46" ht="115.2" x14ac:dyDescent="0.3">
      <c r="B1" s="31" t="s">
        <v>753</v>
      </c>
      <c r="C1" s="31" t="s">
        <v>854</v>
      </c>
      <c r="D1" s="39" t="s">
        <v>786</v>
      </c>
      <c r="E1" s="39" t="s">
        <v>787</v>
      </c>
      <c r="F1" s="39" t="s">
        <v>788</v>
      </c>
      <c r="G1" s="31" t="s">
        <v>789</v>
      </c>
      <c r="H1" s="39" t="s">
        <v>790</v>
      </c>
      <c r="I1" s="31" t="s">
        <v>791</v>
      </c>
      <c r="J1" s="40" t="s">
        <v>792</v>
      </c>
      <c r="K1" s="40" t="s">
        <v>793</v>
      </c>
      <c r="L1" s="40" t="s">
        <v>794</v>
      </c>
      <c r="M1" s="37" t="s">
        <v>795</v>
      </c>
      <c r="N1" s="40" t="s">
        <v>796</v>
      </c>
      <c r="O1" s="40" t="s">
        <v>797</v>
      </c>
      <c r="P1" s="40" t="s">
        <v>798</v>
      </c>
      <c r="AF1" s="2" t="s">
        <v>756</v>
      </c>
      <c r="AG1" s="2" t="s">
        <v>772</v>
      </c>
      <c r="AH1" s="2" t="s">
        <v>757</v>
      </c>
      <c r="AI1" s="2" t="s">
        <v>765</v>
      </c>
      <c r="AJ1" s="2" t="s">
        <v>758</v>
      </c>
      <c r="AK1" s="2" t="s">
        <v>766</v>
      </c>
      <c r="AL1" s="2" t="s">
        <v>768</v>
      </c>
      <c r="AM1" s="2" t="s">
        <v>769</v>
      </c>
      <c r="AN1" s="2" t="s">
        <v>767</v>
      </c>
      <c r="AO1" s="2" t="s">
        <v>754</v>
      </c>
      <c r="AP1" s="2" t="s">
        <v>755</v>
      </c>
      <c r="AQ1" s="2"/>
      <c r="AR1" s="2"/>
      <c r="AS1" s="2"/>
      <c r="AT1" s="2"/>
    </row>
    <row r="2" spans="2:46" x14ac:dyDescent="0.3">
      <c r="B2" s="35">
        <v>35795</v>
      </c>
      <c r="C2" s="33"/>
      <c r="D2" s="33"/>
      <c r="E2" s="33"/>
      <c r="F2" s="33"/>
      <c r="G2" s="33">
        <v>0</v>
      </c>
      <c r="H2" s="33"/>
      <c r="I2" s="33"/>
      <c r="J2" s="33"/>
      <c r="K2" s="33"/>
      <c r="L2" s="33"/>
      <c r="M2" s="33">
        <f>0.85</f>
        <v>0.85</v>
      </c>
      <c r="N2" s="33"/>
      <c r="AF2" s="36">
        <f>B2</f>
        <v>35795</v>
      </c>
      <c r="AG2" s="34">
        <f>IF(C2=0,D2,C2)</f>
        <v>0</v>
      </c>
      <c r="AH2" s="43">
        <f>INT(AG2/4)</f>
        <v>0</v>
      </c>
      <c r="AI2" s="41"/>
      <c r="AJ2" s="34"/>
      <c r="AK2" s="34"/>
      <c r="AL2" s="34"/>
      <c r="AM2" s="34"/>
    </row>
    <row r="3" spans="2:46" x14ac:dyDescent="0.3">
      <c r="B3" s="35">
        <f>B2+365</f>
        <v>36160</v>
      </c>
      <c r="C3" s="33"/>
      <c r="D3" s="33"/>
      <c r="E3" s="33"/>
      <c r="F3" s="33"/>
      <c r="G3" s="33">
        <v>0</v>
      </c>
      <c r="H3" s="33"/>
      <c r="I3" s="33"/>
      <c r="J3" s="33"/>
      <c r="K3" s="33"/>
      <c r="L3" s="33"/>
      <c r="M3" s="33">
        <f>0.792</f>
        <v>0.79200000000000004</v>
      </c>
      <c r="N3" s="33"/>
      <c r="AF3" s="36">
        <f t="shared" ref="AF3:AF55" si="0">B3</f>
        <v>36160</v>
      </c>
      <c r="AG3" s="34">
        <f t="shared" ref="AG3:AG54" si="1">IF(C3=0,D3,C3)</f>
        <v>0</v>
      </c>
      <c r="AH3" s="43">
        <f t="shared" ref="AH3:AH55" si="2">INT(AG3/4)</f>
        <v>0</v>
      </c>
      <c r="AI3" s="41"/>
      <c r="AJ3" s="34"/>
      <c r="AK3" s="34"/>
      <c r="AL3" s="34"/>
      <c r="AM3" s="34"/>
    </row>
    <row r="4" spans="2:46" x14ac:dyDescent="0.3">
      <c r="B4" s="35">
        <f t="shared" ref="B4:B11" si="3">B3+365</f>
        <v>36525</v>
      </c>
      <c r="C4" s="33"/>
      <c r="D4" s="33"/>
      <c r="E4" s="33"/>
      <c r="F4" s="33"/>
      <c r="G4" s="33">
        <v>0</v>
      </c>
      <c r="H4" s="33"/>
      <c r="I4" s="33"/>
      <c r="J4" s="33"/>
      <c r="K4" s="33"/>
      <c r="L4" s="33"/>
      <c r="M4" s="33">
        <f>0.9</f>
        <v>0.9</v>
      </c>
      <c r="N4" s="33"/>
      <c r="AF4" s="36">
        <f t="shared" si="0"/>
        <v>36525</v>
      </c>
      <c r="AG4" s="34">
        <f t="shared" si="1"/>
        <v>0</v>
      </c>
      <c r="AH4" s="43">
        <f t="shared" si="2"/>
        <v>0</v>
      </c>
      <c r="AI4" s="41"/>
      <c r="AJ4" s="34"/>
      <c r="AK4" s="34"/>
      <c r="AL4" s="34"/>
      <c r="AM4" s="34"/>
    </row>
    <row r="5" spans="2:46" x14ac:dyDescent="0.3">
      <c r="B5" s="35">
        <f t="shared" si="3"/>
        <v>36890</v>
      </c>
      <c r="C5" s="33"/>
      <c r="D5" s="33"/>
      <c r="E5" s="33"/>
      <c r="F5" s="33"/>
      <c r="G5" s="33">
        <v>0</v>
      </c>
      <c r="H5" s="33"/>
      <c r="I5" s="33"/>
      <c r="J5" s="33"/>
      <c r="K5" s="33"/>
      <c r="L5" s="33"/>
      <c r="M5" s="33">
        <f>0.945</f>
        <v>0.94499999999999995</v>
      </c>
      <c r="N5" s="33"/>
      <c r="AC5" t="s">
        <v>770</v>
      </c>
      <c r="AD5" s="49">
        <f>D35/D27</f>
        <v>0.53135262342979528</v>
      </c>
      <c r="AF5" s="36">
        <f t="shared" si="0"/>
        <v>36890</v>
      </c>
      <c r="AG5" s="34">
        <f t="shared" si="1"/>
        <v>0</v>
      </c>
      <c r="AH5" s="43">
        <f t="shared" si="2"/>
        <v>0</v>
      </c>
      <c r="AI5" s="41"/>
      <c r="AJ5" s="34"/>
      <c r="AK5" s="34"/>
      <c r="AL5" s="34"/>
      <c r="AM5" s="34"/>
    </row>
    <row r="6" spans="2:46" x14ac:dyDescent="0.3">
      <c r="B6" s="35">
        <f t="shared" si="3"/>
        <v>37255</v>
      </c>
      <c r="C6" s="33"/>
      <c r="D6" s="33"/>
      <c r="E6" s="33"/>
      <c r="F6" s="33"/>
      <c r="G6" s="33">
        <v>0</v>
      </c>
      <c r="H6" s="33"/>
      <c r="I6" s="33"/>
      <c r="J6" s="33"/>
      <c r="K6" s="33"/>
      <c r="L6" s="33"/>
      <c r="M6" s="33">
        <f>0.733</f>
        <v>0.73299999999999998</v>
      </c>
      <c r="N6" s="33"/>
      <c r="AF6" s="36">
        <f t="shared" si="0"/>
        <v>37255</v>
      </c>
      <c r="AG6" s="34">
        <f t="shared" si="1"/>
        <v>0</v>
      </c>
      <c r="AH6" s="43">
        <f t="shared" si="2"/>
        <v>0</v>
      </c>
      <c r="AI6" s="41"/>
      <c r="AJ6" s="34"/>
      <c r="AK6" s="34"/>
      <c r="AL6" s="34"/>
      <c r="AM6" s="34"/>
    </row>
    <row r="7" spans="2:46" x14ac:dyDescent="0.3">
      <c r="B7" s="35">
        <f t="shared" si="3"/>
        <v>37620</v>
      </c>
      <c r="C7" s="33"/>
      <c r="D7" s="33"/>
      <c r="E7" s="33"/>
      <c r="F7" s="33"/>
      <c r="G7" s="33">
        <v>0</v>
      </c>
      <c r="H7" s="33"/>
      <c r="I7" s="33"/>
      <c r="J7" s="33"/>
      <c r="K7" s="33"/>
      <c r="L7" s="33"/>
      <c r="M7" s="33">
        <f>0.644</f>
        <v>0.64400000000000002</v>
      </c>
      <c r="N7" s="33"/>
      <c r="AF7" s="36">
        <f t="shared" si="0"/>
        <v>37620</v>
      </c>
      <c r="AG7" s="34">
        <f t="shared" si="1"/>
        <v>0</v>
      </c>
      <c r="AH7" s="43">
        <f t="shared" si="2"/>
        <v>0</v>
      </c>
      <c r="AI7" s="41"/>
      <c r="AJ7" s="34"/>
      <c r="AK7" s="34"/>
      <c r="AL7" s="34"/>
      <c r="AM7" s="34"/>
    </row>
    <row r="8" spans="2:46" x14ac:dyDescent="0.3">
      <c r="B8" s="35">
        <f t="shared" si="3"/>
        <v>37985</v>
      </c>
      <c r="C8" s="33"/>
      <c r="D8" s="33"/>
      <c r="E8" s="33"/>
      <c r="F8" s="33"/>
      <c r="G8" s="33">
        <v>0</v>
      </c>
      <c r="H8" s="33"/>
      <c r="I8" s="33"/>
      <c r="J8" s="33"/>
      <c r="K8" s="33"/>
      <c r="L8" s="33"/>
      <c r="M8" s="33">
        <f>0.654</f>
        <v>0.65400000000000003</v>
      </c>
      <c r="N8" s="33"/>
      <c r="AF8" s="36">
        <f t="shared" si="0"/>
        <v>37985</v>
      </c>
      <c r="AG8" s="34">
        <f t="shared" si="1"/>
        <v>0</v>
      </c>
      <c r="AH8" s="43">
        <f t="shared" si="2"/>
        <v>0</v>
      </c>
      <c r="AI8" s="41"/>
      <c r="AJ8" s="34"/>
      <c r="AK8" s="34"/>
      <c r="AL8" s="34"/>
      <c r="AM8" s="34"/>
    </row>
    <row r="9" spans="2:46" x14ac:dyDescent="0.3">
      <c r="B9" s="35">
        <f t="shared" si="3"/>
        <v>38350</v>
      </c>
      <c r="C9" s="33"/>
      <c r="D9" s="33"/>
      <c r="E9" s="33"/>
      <c r="F9" s="33"/>
      <c r="G9" s="33">
        <v>0</v>
      </c>
      <c r="H9" s="33"/>
      <c r="I9" s="33"/>
      <c r="J9" s="33"/>
      <c r="K9" s="33"/>
      <c r="L9" s="33"/>
      <c r="M9" s="33">
        <f>0.509</f>
        <v>0.50900000000000001</v>
      </c>
      <c r="N9" s="33"/>
      <c r="AF9" s="36">
        <f t="shared" si="0"/>
        <v>38350</v>
      </c>
      <c r="AG9" s="34">
        <f t="shared" si="1"/>
        <v>0</v>
      </c>
      <c r="AH9" s="43">
        <f t="shared" si="2"/>
        <v>0</v>
      </c>
      <c r="AI9" s="41"/>
      <c r="AJ9" s="34"/>
      <c r="AK9" s="34"/>
      <c r="AL9" s="34"/>
      <c r="AM9" s="34"/>
    </row>
    <row r="10" spans="2:46" x14ac:dyDescent="0.3">
      <c r="B10" s="35">
        <f t="shared" si="3"/>
        <v>38715</v>
      </c>
      <c r="C10" s="33"/>
      <c r="D10" s="33"/>
      <c r="E10" s="33"/>
      <c r="F10" s="33"/>
      <c r="G10" s="33">
        <v>0</v>
      </c>
      <c r="H10" s="33"/>
      <c r="I10" s="33"/>
      <c r="J10" s="33"/>
      <c r="K10" s="33"/>
      <c r="L10" s="33"/>
      <c r="M10" s="33">
        <f>0.483</f>
        <v>0.48299999999999998</v>
      </c>
      <c r="N10" s="33"/>
      <c r="AF10" s="36">
        <f t="shared" si="0"/>
        <v>38715</v>
      </c>
      <c r="AG10" s="34">
        <f t="shared" si="1"/>
        <v>0</v>
      </c>
      <c r="AH10" s="43">
        <f t="shared" si="2"/>
        <v>0</v>
      </c>
      <c r="AI10" s="41"/>
      <c r="AJ10" s="34"/>
      <c r="AK10" s="34"/>
      <c r="AL10" s="34"/>
      <c r="AM10" s="34"/>
    </row>
    <row r="11" spans="2:46" x14ac:dyDescent="0.3">
      <c r="B11" s="35">
        <f t="shared" si="3"/>
        <v>39080</v>
      </c>
      <c r="C11" s="33"/>
      <c r="D11" s="33"/>
      <c r="E11" s="33"/>
      <c r="F11" s="33"/>
      <c r="G11" s="33">
        <v>0</v>
      </c>
      <c r="H11" s="33"/>
      <c r="I11" s="33"/>
      <c r="J11" s="33"/>
      <c r="K11" s="33"/>
      <c r="L11" s="33"/>
      <c r="M11" s="33">
        <f>0.377</f>
        <v>0.377</v>
      </c>
      <c r="N11" s="33"/>
      <c r="AF11" s="36">
        <f t="shared" si="0"/>
        <v>39080</v>
      </c>
      <c r="AG11" s="34">
        <f t="shared" si="1"/>
        <v>0</v>
      </c>
      <c r="AH11" s="43">
        <f t="shared" si="2"/>
        <v>0</v>
      </c>
      <c r="AI11" s="41"/>
      <c r="AJ11" s="34"/>
      <c r="AK11" s="34"/>
      <c r="AL11" s="34"/>
      <c r="AM11" s="34"/>
    </row>
    <row r="12" spans="2:46" x14ac:dyDescent="0.3">
      <c r="B12" s="35">
        <f t="shared" ref="B12:B26" si="4">B11+365</f>
        <v>39445</v>
      </c>
      <c r="C12" s="33"/>
      <c r="D12" s="33"/>
      <c r="E12" s="33"/>
      <c r="F12" s="33"/>
      <c r="G12" s="33"/>
      <c r="H12" s="33"/>
      <c r="I12" s="33"/>
      <c r="J12" s="33"/>
      <c r="K12" s="33"/>
      <c r="L12" s="33"/>
      <c r="M12" s="33">
        <f>AVERAGE(M11,M13)</f>
        <v>0.36849999999999999</v>
      </c>
      <c r="N12" s="33"/>
      <c r="AF12" s="36">
        <f t="shared" si="0"/>
        <v>39445</v>
      </c>
      <c r="AG12" s="34">
        <f t="shared" si="1"/>
        <v>0</v>
      </c>
      <c r="AH12" s="43">
        <f t="shared" si="2"/>
        <v>0</v>
      </c>
      <c r="AI12" s="41"/>
      <c r="AJ12" s="34"/>
      <c r="AK12" s="34"/>
      <c r="AL12" s="34"/>
      <c r="AM12" s="34"/>
    </row>
    <row r="13" spans="2:46" x14ac:dyDescent="0.3">
      <c r="B13" s="35">
        <f t="shared" si="4"/>
        <v>39810</v>
      </c>
      <c r="C13" s="33"/>
      <c r="D13" s="33"/>
      <c r="E13" s="33"/>
      <c r="F13" s="33"/>
      <c r="G13" s="33">
        <v>1.0000000000000001E-5</v>
      </c>
      <c r="H13" s="33"/>
      <c r="I13" s="33"/>
      <c r="J13" s="33"/>
      <c r="K13" s="33"/>
      <c r="L13" s="33"/>
      <c r="M13" s="33">
        <f>0.36</f>
        <v>0.36</v>
      </c>
      <c r="N13" s="33"/>
      <c r="AF13" s="36">
        <f t="shared" si="0"/>
        <v>39810</v>
      </c>
      <c r="AG13" s="34">
        <f t="shared" si="1"/>
        <v>0</v>
      </c>
      <c r="AH13" s="43">
        <f t="shared" si="2"/>
        <v>0</v>
      </c>
      <c r="AI13" s="41"/>
      <c r="AJ13" s="34"/>
      <c r="AK13" s="34"/>
      <c r="AL13" s="34"/>
      <c r="AM13" s="34"/>
    </row>
    <row r="14" spans="2:46" x14ac:dyDescent="0.3">
      <c r="B14" s="35">
        <f t="shared" si="4"/>
        <v>40175</v>
      </c>
      <c r="C14" s="33">
        <f>0.106</f>
        <v>0.106</v>
      </c>
      <c r="D14" s="33"/>
      <c r="E14" s="33"/>
      <c r="F14" s="33"/>
      <c r="G14" s="33">
        <v>0</v>
      </c>
      <c r="H14" s="33"/>
      <c r="I14" s="33">
        <f>0.128</f>
        <v>0.128</v>
      </c>
      <c r="J14" s="33"/>
      <c r="K14" s="33"/>
      <c r="L14" s="33"/>
      <c r="M14" s="33">
        <f>0.379</f>
        <v>0.379</v>
      </c>
      <c r="N14" s="33"/>
      <c r="AF14" s="36">
        <f t="shared" si="0"/>
        <v>40175</v>
      </c>
      <c r="AG14" s="34">
        <f t="shared" si="1"/>
        <v>0.106</v>
      </c>
      <c r="AH14" s="43">
        <f t="shared" si="2"/>
        <v>0</v>
      </c>
      <c r="AI14" s="41"/>
      <c r="AJ14" s="34"/>
      <c r="AK14" s="34"/>
      <c r="AL14" s="34"/>
      <c r="AM14" s="34"/>
    </row>
    <row r="15" spans="2:46" x14ac:dyDescent="0.3">
      <c r="B15" s="35">
        <f t="shared" si="4"/>
        <v>40540</v>
      </c>
      <c r="C15" s="33">
        <f>0.11</f>
        <v>0.11</v>
      </c>
      <c r="D15" s="33"/>
      <c r="E15" s="33"/>
      <c r="F15" s="33"/>
      <c r="G15" s="33">
        <v>0</v>
      </c>
      <c r="H15" s="33"/>
      <c r="I15" s="33">
        <f>0.127</f>
        <v>0.127</v>
      </c>
      <c r="J15" s="33"/>
      <c r="K15" s="33"/>
      <c r="L15" s="33"/>
      <c r="M15" s="33">
        <f>0.366</f>
        <v>0.36599999999999999</v>
      </c>
      <c r="N15" s="33"/>
      <c r="AF15" s="36">
        <f t="shared" si="0"/>
        <v>40540</v>
      </c>
      <c r="AG15" s="34">
        <f t="shared" si="1"/>
        <v>0.11</v>
      </c>
      <c r="AH15" s="43">
        <f t="shared" si="2"/>
        <v>0</v>
      </c>
      <c r="AI15" s="41"/>
      <c r="AJ15" s="34"/>
      <c r="AK15" s="34"/>
      <c r="AL15" s="34"/>
      <c r="AM15" s="34"/>
    </row>
    <row r="16" spans="2:46" x14ac:dyDescent="0.3">
      <c r="B16" s="35">
        <f t="shared" si="4"/>
        <v>40905</v>
      </c>
      <c r="C16" s="33">
        <f>0.107</f>
        <v>0.107</v>
      </c>
      <c r="D16" s="33"/>
      <c r="E16" s="33"/>
      <c r="F16" s="33"/>
      <c r="G16" s="33">
        <v>0</v>
      </c>
      <c r="H16" s="33"/>
      <c r="I16" s="33">
        <f>0.134</f>
        <v>0.13400000000000001</v>
      </c>
      <c r="J16" s="33"/>
      <c r="K16" s="33"/>
      <c r="L16" s="33"/>
      <c r="M16" s="33">
        <f>0.327</f>
        <v>0.32700000000000001</v>
      </c>
      <c r="N16" s="33"/>
      <c r="AF16" s="36">
        <f t="shared" si="0"/>
        <v>40905</v>
      </c>
      <c r="AG16" s="34">
        <f t="shared" si="1"/>
        <v>0.107</v>
      </c>
      <c r="AH16" s="43">
        <f t="shared" si="2"/>
        <v>0</v>
      </c>
      <c r="AI16" s="41"/>
      <c r="AJ16" s="34"/>
      <c r="AK16" s="34"/>
      <c r="AL16" s="34"/>
      <c r="AM16" s="34"/>
    </row>
    <row r="17" spans="2:42" x14ac:dyDescent="0.3">
      <c r="B17" s="35">
        <f t="shared" si="4"/>
        <v>41270</v>
      </c>
      <c r="C17" s="33">
        <f>0.109</f>
        <v>0.109</v>
      </c>
      <c r="D17" s="33"/>
      <c r="E17" s="33"/>
      <c r="F17" s="33"/>
      <c r="G17" s="33">
        <v>0</v>
      </c>
      <c r="H17" s="33"/>
      <c r="I17" s="33">
        <f>0.137</f>
        <v>0.13700000000000001</v>
      </c>
      <c r="J17" s="33"/>
      <c r="K17" s="33"/>
      <c r="L17" s="33"/>
      <c r="M17" s="33">
        <f>0.227</f>
        <v>0.22700000000000001</v>
      </c>
      <c r="N17" s="33"/>
      <c r="AF17" s="36">
        <f t="shared" si="0"/>
        <v>41270</v>
      </c>
      <c r="AG17" s="34">
        <f t="shared" si="1"/>
        <v>0.109</v>
      </c>
      <c r="AH17" s="43">
        <f t="shared" si="2"/>
        <v>0</v>
      </c>
      <c r="AI17" s="41"/>
      <c r="AJ17" s="34"/>
      <c r="AK17" s="34"/>
      <c r="AL17" s="34"/>
      <c r="AM17" s="34"/>
    </row>
    <row r="18" spans="2:42" x14ac:dyDescent="0.3">
      <c r="B18" s="35">
        <f t="shared" si="4"/>
        <v>41635</v>
      </c>
      <c r="C18" s="33">
        <f>0.113</f>
        <v>0.113</v>
      </c>
      <c r="D18" s="33"/>
      <c r="E18" s="33"/>
      <c r="F18" s="33"/>
      <c r="G18" s="33">
        <v>0</v>
      </c>
      <c r="H18" s="33"/>
      <c r="I18" s="33">
        <f>0.141</f>
        <v>0.14099999999999999</v>
      </c>
      <c r="J18" s="33"/>
      <c r="K18" s="33"/>
      <c r="L18" s="33"/>
      <c r="M18" s="33">
        <f>0.188</f>
        <v>0.188</v>
      </c>
      <c r="N18" s="33"/>
      <c r="AF18" s="36">
        <f t="shared" si="0"/>
        <v>41635</v>
      </c>
      <c r="AG18" s="34">
        <f t="shared" si="1"/>
        <v>0.113</v>
      </c>
      <c r="AH18" s="43">
        <f t="shared" si="2"/>
        <v>0</v>
      </c>
      <c r="AI18" s="41"/>
      <c r="AJ18" s="34"/>
      <c r="AK18" s="34"/>
      <c r="AL18" s="34"/>
      <c r="AM18" s="34"/>
    </row>
    <row r="19" spans="2:42" x14ac:dyDescent="0.3">
      <c r="B19" s="35">
        <f t="shared" si="4"/>
        <v>42000</v>
      </c>
      <c r="C19" s="33">
        <f>0.106</f>
        <v>0.106</v>
      </c>
      <c r="D19" s="33"/>
      <c r="E19" s="33"/>
      <c r="F19" s="33"/>
      <c r="G19" s="33">
        <v>0</v>
      </c>
      <c r="H19" s="33"/>
      <c r="I19" s="33">
        <f>0.145</f>
        <v>0.14499999999999999</v>
      </c>
      <c r="J19" s="33"/>
      <c r="K19" s="33"/>
      <c r="L19" s="33"/>
      <c r="M19" s="33">
        <f>0.18</f>
        <v>0.18</v>
      </c>
      <c r="N19" s="33"/>
      <c r="AF19" s="36">
        <f t="shared" si="0"/>
        <v>42000</v>
      </c>
      <c r="AG19" s="34">
        <f t="shared" si="1"/>
        <v>0.106</v>
      </c>
      <c r="AH19" s="43">
        <f t="shared" si="2"/>
        <v>0</v>
      </c>
      <c r="AI19" s="41"/>
      <c r="AJ19" s="34">
        <v>1.7999999999999999E-2</v>
      </c>
      <c r="AK19" s="34"/>
      <c r="AL19" s="34"/>
      <c r="AM19" s="34"/>
    </row>
    <row r="20" spans="2:42" x14ac:dyDescent="0.3">
      <c r="B20" s="35">
        <f t="shared" si="4"/>
        <v>42365</v>
      </c>
      <c r="C20" s="33">
        <f>0.1</f>
        <v>0.1</v>
      </c>
      <c r="D20" s="33"/>
      <c r="E20" s="33"/>
      <c r="F20" s="33"/>
      <c r="G20" s="33">
        <v>0</v>
      </c>
      <c r="H20" s="33"/>
      <c r="I20" s="33">
        <f>0.151</f>
        <v>0.151</v>
      </c>
      <c r="J20" s="33"/>
      <c r="K20" s="33"/>
      <c r="L20" s="33"/>
      <c r="M20" s="33">
        <f>0.192</f>
        <v>0.192</v>
      </c>
      <c r="N20" s="33"/>
      <c r="AF20" s="36">
        <f t="shared" si="0"/>
        <v>42365</v>
      </c>
      <c r="AG20" s="34">
        <f t="shared" si="1"/>
        <v>0.1</v>
      </c>
      <c r="AH20" s="43">
        <f t="shared" si="2"/>
        <v>0</v>
      </c>
      <c r="AI20" s="41"/>
      <c r="AJ20" s="34">
        <v>3.4000000000000002E-2</v>
      </c>
      <c r="AK20" s="34"/>
      <c r="AL20" s="34"/>
      <c r="AM20" s="34"/>
    </row>
    <row r="21" spans="2:42" x14ac:dyDescent="0.3">
      <c r="B21" s="35">
        <f t="shared" si="4"/>
        <v>42730</v>
      </c>
      <c r="C21" s="33">
        <f>0.092</f>
        <v>9.1999999999999998E-2</v>
      </c>
      <c r="D21" s="33"/>
      <c r="E21" s="33"/>
      <c r="F21" s="33"/>
      <c r="G21" s="33">
        <v>0</v>
      </c>
      <c r="H21" s="33"/>
      <c r="I21" s="33">
        <f>0.161</f>
        <v>0.161</v>
      </c>
      <c r="J21" s="33"/>
      <c r="K21" s="33"/>
      <c r="L21" s="33"/>
      <c r="M21" s="33">
        <f>0.169</f>
        <v>0.16900000000000001</v>
      </c>
      <c r="N21" s="33"/>
      <c r="AF21" s="36">
        <f t="shared" si="0"/>
        <v>42730</v>
      </c>
      <c r="AG21" s="34">
        <f t="shared" si="1"/>
        <v>9.1999999999999998E-2</v>
      </c>
      <c r="AH21" s="43">
        <f t="shared" si="2"/>
        <v>0</v>
      </c>
      <c r="AI21" s="41"/>
      <c r="AJ21" s="34">
        <v>5.1999999999999998E-2</v>
      </c>
      <c r="AK21" s="34"/>
      <c r="AL21" s="34"/>
      <c r="AM21" s="34"/>
    </row>
    <row r="22" spans="2:42" x14ac:dyDescent="0.3">
      <c r="B22" s="35">
        <f t="shared" si="4"/>
        <v>43095</v>
      </c>
      <c r="C22" s="33">
        <f>0.083</f>
        <v>8.3000000000000004E-2</v>
      </c>
      <c r="D22" s="33"/>
      <c r="E22" s="33"/>
      <c r="F22" s="33"/>
      <c r="G22" s="33">
        <v>0</v>
      </c>
      <c r="H22" s="33"/>
      <c r="I22" s="33">
        <f>0.163</f>
        <v>0.16300000000000001</v>
      </c>
      <c r="J22" s="33"/>
      <c r="K22" s="33"/>
      <c r="L22" s="33"/>
      <c r="M22" s="33">
        <f>0.245</f>
        <v>0.245</v>
      </c>
      <c r="N22" s="33"/>
      <c r="AF22" s="36">
        <f t="shared" si="0"/>
        <v>43095</v>
      </c>
      <c r="AG22" s="34">
        <f t="shared" si="1"/>
        <v>8.3000000000000004E-2</v>
      </c>
      <c r="AH22" s="43">
        <f t="shared" si="2"/>
        <v>0</v>
      </c>
      <c r="AI22" s="41"/>
      <c r="AJ22" s="34">
        <v>8.5999999999999993E-2</v>
      </c>
      <c r="AK22" s="34">
        <f>AJ22</f>
        <v>8.5999999999999993E-2</v>
      </c>
      <c r="AL22" s="34">
        <f>AK22</f>
        <v>8.5999999999999993E-2</v>
      </c>
      <c r="AM22" s="34">
        <f>AL22</f>
        <v>8.5999999999999993E-2</v>
      </c>
    </row>
    <row r="23" spans="2:42" x14ac:dyDescent="0.3">
      <c r="B23" s="35">
        <f t="shared" si="4"/>
        <v>43460</v>
      </c>
      <c r="C23" s="33">
        <f>0.081</f>
        <v>8.1000000000000003E-2</v>
      </c>
      <c r="D23" s="33"/>
      <c r="E23" s="33"/>
      <c r="F23" s="33"/>
      <c r="G23" s="33">
        <v>0</v>
      </c>
      <c r="H23" s="33"/>
      <c r="I23" s="33">
        <f>0.165</f>
        <v>0.16500000000000001</v>
      </c>
      <c r="J23" s="33"/>
      <c r="K23" s="33"/>
      <c r="L23" s="33"/>
      <c r="M23" s="33">
        <f>0.257</f>
        <v>0.25700000000000001</v>
      </c>
      <c r="N23" s="33"/>
      <c r="AF23" s="36">
        <f t="shared" si="0"/>
        <v>43460</v>
      </c>
      <c r="AG23" s="34">
        <f t="shared" si="1"/>
        <v>8.1000000000000003E-2</v>
      </c>
      <c r="AH23" s="43">
        <f t="shared" si="2"/>
        <v>0</v>
      </c>
      <c r="AI23" s="41"/>
      <c r="AK23" s="34">
        <f>MAX(0,_xlfn.FORECAST.ETS(AF23,$AJ$19:$AJ$22,$AF$19:$AF$22,4,1,1))</f>
        <v>0.10531626463628571</v>
      </c>
      <c r="AL23" s="34">
        <f t="shared" ref="AL23:AL55" si="5">MAX(0,AK23-_xlfn.FORECAST.ETS.CONFINT(AF23,$AJ$19:$AJ$22,$AF$19:$AF$22,0.95,1,1,1))</f>
        <v>9.3233809133302814E-2</v>
      </c>
      <c r="AM23" s="34">
        <f t="shared" ref="AM23:AM55" si="6">MAX(0,AK23+_xlfn.FORECAST.ETS.CONFINT(AF23,$AJ$19:$AJ$22,$AF$19:$AF$22,0.95,1,1,1))</f>
        <v>0.11739872013926861</v>
      </c>
    </row>
    <row r="24" spans="2:42" x14ac:dyDescent="0.3">
      <c r="B24" s="35">
        <f t="shared" si="4"/>
        <v>43825</v>
      </c>
      <c r="C24" s="33">
        <f>0.075</f>
        <v>7.4999999999999997E-2</v>
      </c>
      <c r="D24" s="33"/>
      <c r="E24" s="33"/>
      <c r="F24" s="33"/>
      <c r="G24" s="33">
        <v>0</v>
      </c>
      <c r="H24" s="33"/>
      <c r="I24" s="33">
        <f>0.165</f>
        <v>0.16500000000000001</v>
      </c>
      <c r="J24" s="33"/>
      <c r="K24" s="33"/>
      <c r="L24" s="33"/>
      <c r="M24" s="33">
        <f>0.167</f>
        <v>0.16700000000000001</v>
      </c>
      <c r="N24" s="33"/>
      <c r="AF24" s="36">
        <f t="shared" si="0"/>
        <v>43825</v>
      </c>
      <c r="AG24" s="34">
        <f t="shared" si="1"/>
        <v>7.4999999999999997E-2</v>
      </c>
      <c r="AH24" s="43">
        <f t="shared" si="2"/>
        <v>0</v>
      </c>
      <c r="AI24" s="41">
        <v>2.5</v>
      </c>
      <c r="AK24" s="34">
        <f t="shared" ref="AK24:AK55" si="7">MAX(0,_xlfn.FORECAST.ETS(AF24,$AJ$19:$AJ$22,$AF$19:$AF$22,1,1,1))</f>
        <v>0.12787595291542858</v>
      </c>
      <c r="AL24" s="34">
        <f t="shared" si="5"/>
        <v>0.11541870691082824</v>
      </c>
      <c r="AM24" s="34">
        <f t="shared" si="6"/>
        <v>0.14033319892002893</v>
      </c>
      <c r="AN24" s="42">
        <v>0.7</v>
      </c>
      <c r="AO24" s="42">
        <v>0.5</v>
      </c>
      <c r="AP24" s="42">
        <v>1.1000000000000001</v>
      </c>
    </row>
    <row r="25" spans="2:42" x14ac:dyDescent="0.3">
      <c r="B25" s="35">
        <f t="shared" si="4"/>
        <v>44190</v>
      </c>
      <c r="C25" s="33">
        <f>0.081</f>
        <v>8.1000000000000003E-2</v>
      </c>
      <c r="D25" s="33">
        <f>C25</f>
        <v>8.1000000000000003E-2</v>
      </c>
      <c r="E25" s="33">
        <f>D25</f>
        <v>8.1000000000000003E-2</v>
      </c>
      <c r="F25" s="33">
        <f>E25</f>
        <v>8.1000000000000003E-2</v>
      </c>
      <c r="G25" s="33">
        <v>0</v>
      </c>
      <c r="H25" s="33"/>
      <c r="I25" s="33">
        <f>0.186</f>
        <v>0.186</v>
      </c>
      <c r="J25" s="33">
        <f>I25</f>
        <v>0.186</v>
      </c>
      <c r="K25" s="33">
        <f>J25</f>
        <v>0.186</v>
      </c>
      <c r="L25" s="33">
        <f>K25</f>
        <v>0.186</v>
      </c>
      <c r="M25" s="33">
        <f>0.136</f>
        <v>0.13600000000000001</v>
      </c>
      <c r="N25" s="33">
        <f>M25</f>
        <v>0.13600000000000001</v>
      </c>
      <c r="O25" s="33">
        <f>N25</f>
        <v>0.13600000000000001</v>
      </c>
      <c r="P25" s="33">
        <f>O25</f>
        <v>0.13600000000000001</v>
      </c>
      <c r="AC25" t="s">
        <v>771</v>
      </c>
      <c r="AD25" s="49">
        <f>J35/J27-1</f>
        <v>0.20558711807204566</v>
      </c>
      <c r="AF25" s="36">
        <f t="shared" si="0"/>
        <v>44190</v>
      </c>
      <c r="AG25" s="34">
        <f t="shared" si="1"/>
        <v>8.1000000000000003E-2</v>
      </c>
      <c r="AH25" s="43">
        <f t="shared" si="2"/>
        <v>0</v>
      </c>
      <c r="AI25" s="43"/>
      <c r="AK25" s="34">
        <f t="shared" si="7"/>
        <v>0.15037400270200546</v>
      </c>
      <c r="AL25" s="34">
        <f t="shared" si="5"/>
        <v>0.13755104180529931</v>
      </c>
      <c r="AM25" s="34">
        <f t="shared" si="6"/>
        <v>0.16319696359871161</v>
      </c>
      <c r="AN25" s="42"/>
      <c r="AO25" s="42"/>
      <c r="AP25" s="42"/>
    </row>
    <row r="26" spans="2:42" x14ac:dyDescent="0.3">
      <c r="B26" s="35">
        <f t="shared" si="4"/>
        <v>44555</v>
      </c>
      <c r="C26" s="33"/>
      <c r="D26" s="33">
        <f>MAX(0,_xlfn.FORECAST.ETS(B26,$C$14:$C$25,$B$14:$B$25,6,1,1))</f>
        <v>7.140221957033685E-2</v>
      </c>
      <c r="E26" s="33">
        <f>MAX(0,D26-_xlfn.FORECAST.ETS.CONFINT(B26,$C$14:$C$25,$B$14:$B$25,0.95,6,1,1))</f>
        <v>5.7724048317230547E-2</v>
      </c>
      <c r="F26" s="33">
        <f>MAX(0,D26+_xlfn.FORECAST.ETS.CONFINT(B26,$C$14:$C$25,$B$14:$B$25,0.95,6,1,1))</f>
        <v>8.5080390823443153E-2</v>
      </c>
      <c r="G26" s="33"/>
      <c r="H26" s="33"/>
      <c r="I26" s="33"/>
      <c r="J26" s="33">
        <f t="shared" ref="J26:J55" si="8">MAX(0,_xlfn.FORECAST.ETS(B26,$I$14:$I$25,$B$14:$B$25,1,1,1))</f>
        <v>0.18438140645353066</v>
      </c>
      <c r="K26" s="33">
        <f>MAX(0,J26-_xlfn.FORECAST.ETS.CONFINT(B26,$I$14:$I$25,$B$14:$B$25,0.95,1,1,1))</f>
        <v>0.17470028852523967</v>
      </c>
      <c r="L26" s="33">
        <f>MAX(0,J26+_xlfn.FORECAST.ETS.CONFINT(B26,$I$14:$I$25,$B$14:$B$25,0.95,1,1,1))</f>
        <v>0.19406252438182164</v>
      </c>
      <c r="M26" s="33"/>
      <c r="N26" s="33">
        <f>MAX(0,_xlfn.FORECAST.ETS(B26,$M$2:$M$25,$B$2:$B$25,8,1,1))</f>
        <v>0.13394416657670771</v>
      </c>
      <c r="O26" s="33">
        <f>MAX(0,N26-_xlfn.FORECAST.ETS.CONFINT(B26,$M$2:$M$25,$B$2:$B$25,0.95,8,1,1))</f>
        <v>0</v>
      </c>
      <c r="P26" s="33">
        <f>MAX(0,N26+_xlfn.FORECAST.ETS.CONFINT(B26,$M$2:$M$25,$B$2:$B$25,0.95,6,1,1))</f>
        <v>0.28404472537092063</v>
      </c>
      <c r="Q26" s="33"/>
      <c r="R26" s="33"/>
      <c r="AF26" s="36">
        <f t="shared" si="0"/>
        <v>44555</v>
      </c>
      <c r="AG26" s="34">
        <f t="shared" si="1"/>
        <v>7.140221957033685E-2</v>
      </c>
      <c r="AH26" s="43">
        <f t="shared" si="2"/>
        <v>0</v>
      </c>
      <c r="AI26" s="43"/>
      <c r="AK26" s="34">
        <f t="shared" si="7"/>
        <v>0.17293352210856594</v>
      </c>
      <c r="AL26" s="34">
        <f t="shared" si="5"/>
        <v>0.15975124402637925</v>
      </c>
      <c r="AM26" s="34">
        <f t="shared" si="6"/>
        <v>0.18611580019075263</v>
      </c>
      <c r="AN26" s="42"/>
      <c r="AO26" s="42"/>
      <c r="AP26" s="42"/>
    </row>
    <row r="27" spans="2:42" x14ac:dyDescent="0.3">
      <c r="B27" s="35">
        <f t="shared" ref="B27:B55" si="9">B26+365</f>
        <v>44920</v>
      </c>
      <c r="C27" s="33"/>
      <c r="D27" s="33">
        <f t="shared" ref="D27:D55" si="10">MAX(0,_xlfn.FORECAST.ETS(B27,$C$14:$C$25,$B$14:$B$25,6,1,1))</f>
        <v>6.6702122663322094E-2</v>
      </c>
      <c r="E27" s="33">
        <f t="shared" ref="E27:E55" si="11">MAX(0,D27-_xlfn.FORECAST.ETS.CONFINT(B27,$C$14:$C$25,$B$14:$B$25,0.95,6,1,1))</f>
        <v>5.1403340342567688E-2</v>
      </c>
      <c r="F27" s="33">
        <f t="shared" ref="F27:F55" si="12">MAX(0,D27+_xlfn.FORECAST.ETS.CONFINT(B27,$C$14:$C$25,$B$14:$B$25,0.95,6,1,1))</f>
        <v>8.20009049840765E-2</v>
      </c>
      <c r="G27" s="33"/>
      <c r="H27" s="33"/>
      <c r="I27" s="33"/>
      <c r="J27" s="33">
        <f t="shared" si="8"/>
        <v>0.18924811154481669</v>
      </c>
      <c r="K27" s="33">
        <f t="shared" ref="K27:K55" si="13">MAX(0,J27-_xlfn.FORECAST.ETS.CONFINT(B27,$I$14:$I$25,$B$14:$B$25,0.95,1,1,1))</f>
        <v>0.17841995966209764</v>
      </c>
      <c r="L27" s="33">
        <f t="shared" ref="L27:L55" si="14">MAX(0,J27+_xlfn.FORECAST.ETS.CONFINT(B27,$I$14:$I$25,$B$14:$B$25,0.95,1,1,1))</f>
        <v>0.20007626342753573</v>
      </c>
      <c r="M27" s="33"/>
      <c r="N27" s="33">
        <f t="shared" ref="N27:N55" si="15">MAX(0,_xlfn.FORECAST.ETS(B27,$M$2:$M$25,$B$2:$B$25,8,1,1))</f>
        <v>7.790864745505896E-2</v>
      </c>
      <c r="O27" s="33">
        <f t="shared" ref="O27:O55" si="16">MAX(0,N27-_xlfn.FORECAST.ETS.CONFINT(B27,$M$2:$M$25,$B$2:$B$25,0.95,8,1,1))</f>
        <v>0</v>
      </c>
      <c r="P27" s="33">
        <f t="shared" ref="P27:P55" si="17">MAX(0,N27+_xlfn.FORECAST.ETS.CONFINT(B27,$M$2:$M$25,$B$2:$B$25,0.95,6,1,1))</f>
        <v>0.24579335460805365</v>
      </c>
      <c r="AF27" s="36">
        <f t="shared" si="0"/>
        <v>44920</v>
      </c>
      <c r="AG27" s="34">
        <f t="shared" si="1"/>
        <v>6.6702122663322094E-2</v>
      </c>
      <c r="AH27" s="43">
        <f t="shared" si="2"/>
        <v>0</v>
      </c>
      <c r="AI27" s="43"/>
      <c r="AK27" s="34">
        <f t="shared" si="7"/>
        <v>0.19549321038770878</v>
      </c>
      <c r="AL27" s="34">
        <f t="shared" si="5"/>
        <v>0.18195841566906135</v>
      </c>
      <c r="AM27" s="34">
        <f t="shared" si="6"/>
        <v>0.20902800510635622</v>
      </c>
      <c r="AN27" s="42"/>
      <c r="AO27" s="42"/>
      <c r="AP27" s="42"/>
    </row>
    <row r="28" spans="2:42" x14ac:dyDescent="0.3">
      <c r="B28" s="35">
        <f t="shared" si="9"/>
        <v>45285</v>
      </c>
      <c r="C28" s="33"/>
      <c r="D28" s="33">
        <f t="shared" si="10"/>
        <v>5.9456262851524784E-2</v>
      </c>
      <c r="E28" s="33">
        <f t="shared" si="11"/>
        <v>4.268722096439577E-2</v>
      </c>
      <c r="F28" s="33">
        <f t="shared" si="12"/>
        <v>7.6225304738653799E-2</v>
      </c>
      <c r="G28" s="33"/>
      <c r="H28" s="33"/>
      <c r="I28" s="33"/>
      <c r="J28" s="33">
        <f t="shared" si="8"/>
        <v>0.19411481663610275</v>
      </c>
      <c r="K28" s="33">
        <f t="shared" si="13"/>
        <v>0.18224604638533701</v>
      </c>
      <c r="L28" s="33">
        <f t="shared" si="14"/>
        <v>0.20598358688686849</v>
      </c>
      <c r="M28" s="33"/>
      <c r="N28" s="33">
        <f t="shared" si="15"/>
        <v>0.10515816046957574</v>
      </c>
      <c r="O28" s="33">
        <f t="shared" si="16"/>
        <v>0</v>
      </c>
      <c r="P28" s="33">
        <f t="shared" si="17"/>
        <v>0.28917709919502921</v>
      </c>
      <c r="AF28" s="36">
        <f t="shared" si="0"/>
        <v>45285</v>
      </c>
      <c r="AG28" s="34">
        <f t="shared" si="1"/>
        <v>5.9456262851524784E-2</v>
      </c>
      <c r="AH28" s="43">
        <f t="shared" si="2"/>
        <v>0</v>
      </c>
      <c r="AI28" s="43"/>
      <c r="AK28" s="34">
        <f t="shared" si="7"/>
        <v>0.21805289866685168</v>
      </c>
      <c r="AL28" s="34">
        <f t="shared" si="5"/>
        <v>0.20417186172241195</v>
      </c>
      <c r="AM28" s="34">
        <f t="shared" si="6"/>
        <v>0.23193393561129141</v>
      </c>
      <c r="AN28" s="42"/>
      <c r="AO28" s="42"/>
      <c r="AP28" s="42"/>
    </row>
    <row r="29" spans="2:42" x14ac:dyDescent="0.3">
      <c r="B29" s="35">
        <f t="shared" si="9"/>
        <v>45650</v>
      </c>
      <c r="C29" s="33"/>
      <c r="D29" s="33">
        <f t="shared" si="10"/>
        <v>5.8570679946204962E-2</v>
      </c>
      <c r="E29" s="33">
        <f t="shared" si="11"/>
        <v>4.044866335094488E-2</v>
      </c>
      <c r="F29" s="33">
        <f t="shared" si="12"/>
        <v>7.6692696541465044E-2</v>
      </c>
      <c r="G29" s="33"/>
      <c r="H29" s="33"/>
      <c r="I29" s="33"/>
      <c r="J29" s="33">
        <f t="shared" si="8"/>
        <v>0.19896822471894268</v>
      </c>
      <c r="K29" s="33">
        <f t="shared" si="13"/>
        <v>0.18614184782171553</v>
      </c>
      <c r="L29" s="33">
        <f t="shared" si="14"/>
        <v>0.21179460161616984</v>
      </c>
      <c r="M29" s="33"/>
      <c r="N29" s="33">
        <f t="shared" si="15"/>
        <v>0.19607404237148496</v>
      </c>
      <c r="O29" s="33">
        <f t="shared" si="16"/>
        <v>0</v>
      </c>
      <c r="P29" s="33">
        <f t="shared" si="17"/>
        <v>0.39494016029706658</v>
      </c>
      <c r="AF29" s="36">
        <f t="shared" si="0"/>
        <v>45650</v>
      </c>
      <c r="AG29" s="34">
        <f t="shared" si="1"/>
        <v>5.8570679946204962E-2</v>
      </c>
      <c r="AH29" s="43">
        <f t="shared" si="2"/>
        <v>0</v>
      </c>
      <c r="AI29" s="43"/>
      <c r="AK29" s="34">
        <f t="shared" si="7"/>
        <v>0.24055111732601092</v>
      </c>
      <c r="AL29" s="34">
        <f t="shared" si="5"/>
        <v>0.22633056056705858</v>
      </c>
      <c r="AM29" s="34">
        <f t="shared" si="6"/>
        <v>0.25477167408496326</v>
      </c>
      <c r="AN29" s="42"/>
      <c r="AO29" s="42"/>
      <c r="AP29" s="42"/>
    </row>
    <row r="30" spans="2:42" x14ac:dyDescent="0.3">
      <c r="B30" s="35">
        <f t="shared" si="9"/>
        <v>46015</v>
      </c>
      <c r="C30" s="33"/>
      <c r="D30" s="33">
        <f t="shared" si="10"/>
        <v>5.6055887708733577E-2</v>
      </c>
      <c r="E30" s="33">
        <f t="shared" si="11"/>
        <v>3.6666945753814434E-2</v>
      </c>
      <c r="F30" s="33">
        <f t="shared" si="12"/>
        <v>7.5444829663652721E-2</v>
      </c>
      <c r="G30" s="33"/>
      <c r="H30" s="33"/>
      <c r="I30" s="33"/>
      <c r="J30" s="33">
        <f t="shared" si="8"/>
        <v>0.2038348933800686</v>
      </c>
      <c r="K30" s="33">
        <f t="shared" si="13"/>
        <v>0.19011181373024094</v>
      </c>
      <c r="L30" s="33">
        <f t="shared" si="14"/>
        <v>0.21755797302989627</v>
      </c>
      <c r="M30" s="33"/>
      <c r="N30" s="33">
        <f t="shared" si="15"/>
        <v>0.1705869254494928</v>
      </c>
      <c r="O30" s="33">
        <f t="shared" si="16"/>
        <v>0</v>
      </c>
      <c r="P30" s="33">
        <f t="shared" si="17"/>
        <v>0.38335594025481612</v>
      </c>
      <c r="AF30" s="36">
        <f t="shared" si="0"/>
        <v>46015</v>
      </c>
      <c r="AG30" s="34">
        <f t="shared" si="1"/>
        <v>5.6055887708733577E-2</v>
      </c>
      <c r="AH30" s="43">
        <f t="shared" si="2"/>
        <v>0</v>
      </c>
      <c r="AI30" s="43"/>
      <c r="AK30" s="34">
        <f t="shared" si="7"/>
        <v>0.26311046785998904</v>
      </c>
      <c r="AL30" s="34">
        <f t="shared" si="5"/>
        <v>0.24855485408089309</v>
      </c>
      <c r="AM30" s="34">
        <f t="shared" si="6"/>
        <v>0.27766608163908502</v>
      </c>
      <c r="AN30" s="42"/>
      <c r="AO30" s="42"/>
      <c r="AP30" s="42"/>
    </row>
    <row r="31" spans="2:42" x14ac:dyDescent="0.3">
      <c r="B31" s="35">
        <f t="shared" si="9"/>
        <v>46380</v>
      </c>
      <c r="C31" s="33"/>
      <c r="D31" s="33">
        <f t="shared" si="10"/>
        <v>5.7855901973488867E-2</v>
      </c>
      <c r="E31" s="33">
        <f t="shared" si="11"/>
        <v>3.7273293190906234E-2</v>
      </c>
      <c r="F31" s="33">
        <f t="shared" si="12"/>
        <v>7.84385107560715E-2</v>
      </c>
      <c r="G31" s="33"/>
      <c r="H31" s="33"/>
      <c r="I31" s="33"/>
      <c r="J31" s="33">
        <f t="shared" si="8"/>
        <v>0.20870159847135467</v>
      </c>
      <c r="K31" s="33">
        <f t="shared" si="13"/>
        <v>0.19413366689564729</v>
      </c>
      <c r="L31" s="33">
        <f t="shared" si="14"/>
        <v>0.22326953004706204</v>
      </c>
      <c r="M31" s="33"/>
      <c r="N31" s="33">
        <f t="shared" si="15"/>
        <v>0.15187333025764282</v>
      </c>
      <c r="O31" s="33">
        <f t="shared" si="16"/>
        <v>0</v>
      </c>
      <c r="P31" s="33">
        <f t="shared" si="17"/>
        <v>0.37774132258934534</v>
      </c>
      <c r="AF31" s="36">
        <f t="shared" si="0"/>
        <v>46380</v>
      </c>
      <c r="AG31" s="34">
        <f t="shared" si="1"/>
        <v>5.7855901973488867E-2</v>
      </c>
      <c r="AH31" s="43">
        <f t="shared" si="2"/>
        <v>0</v>
      </c>
      <c r="AI31" s="43"/>
      <c r="AK31" s="34">
        <f t="shared" si="7"/>
        <v>0.28567015613913183</v>
      </c>
      <c r="AL31" s="34">
        <f t="shared" si="5"/>
        <v>0.27078449610258892</v>
      </c>
      <c r="AM31" s="34">
        <f t="shared" si="6"/>
        <v>0.30055581617567473</v>
      </c>
      <c r="AN31" s="42"/>
      <c r="AO31" s="42"/>
      <c r="AP31" s="42"/>
    </row>
    <row r="32" spans="2:42" x14ac:dyDescent="0.3">
      <c r="B32" s="35">
        <f t="shared" si="9"/>
        <v>46745</v>
      </c>
      <c r="C32" s="33"/>
      <c r="D32" s="33">
        <f t="shared" si="10"/>
        <v>4.8297720318869329E-2</v>
      </c>
      <c r="E32" s="33">
        <f t="shared" si="11"/>
        <v>2.3554544394178568E-2</v>
      </c>
      <c r="F32" s="33">
        <f t="shared" si="12"/>
        <v>7.3040896243560083E-2</v>
      </c>
      <c r="G32" s="33"/>
      <c r="H32" s="33"/>
      <c r="I32" s="33"/>
      <c r="J32" s="33">
        <f t="shared" si="8"/>
        <v>0.2135683035626407</v>
      </c>
      <c r="K32" s="33">
        <f t="shared" si="13"/>
        <v>0.19819881755273319</v>
      </c>
      <c r="L32" s="33">
        <f t="shared" si="14"/>
        <v>0.22893778957254821</v>
      </c>
      <c r="M32" s="33"/>
      <c r="N32" s="33">
        <f t="shared" si="15"/>
        <v>0.14000895171177402</v>
      </c>
      <c r="O32" s="33">
        <f t="shared" si="16"/>
        <v>0</v>
      </c>
      <c r="P32" s="33">
        <f t="shared" si="17"/>
        <v>0.37835236925468579</v>
      </c>
      <c r="AF32" s="36">
        <f t="shared" si="0"/>
        <v>46745</v>
      </c>
      <c r="AG32" s="34">
        <f t="shared" si="1"/>
        <v>4.8297720318869329E-2</v>
      </c>
      <c r="AH32" s="43">
        <f t="shared" si="2"/>
        <v>0</v>
      </c>
      <c r="AI32" s="43"/>
      <c r="AK32" s="34">
        <f t="shared" si="7"/>
        <v>0.30822984441827472</v>
      </c>
      <c r="AL32" s="34">
        <f t="shared" si="5"/>
        <v>0.29301881782622885</v>
      </c>
      <c r="AM32" s="34">
        <f t="shared" si="6"/>
        <v>0.3234408710103206</v>
      </c>
      <c r="AN32" s="42"/>
      <c r="AO32" s="42"/>
      <c r="AP32" s="42"/>
    </row>
    <row r="33" spans="2:42" x14ac:dyDescent="0.3">
      <c r="B33" s="35">
        <f t="shared" si="9"/>
        <v>47110</v>
      </c>
      <c r="C33" s="33"/>
      <c r="D33" s="33">
        <f t="shared" si="10"/>
        <v>4.3597034623184622E-2</v>
      </c>
      <c r="E33" s="33">
        <f t="shared" si="11"/>
        <v>1.7895447428647192E-2</v>
      </c>
      <c r="F33" s="33">
        <f t="shared" si="12"/>
        <v>6.9298621817722048E-2</v>
      </c>
      <c r="G33" s="33"/>
      <c r="H33" s="33"/>
      <c r="I33" s="33"/>
      <c r="J33" s="33">
        <f t="shared" si="8"/>
        <v>0.21842174807564074</v>
      </c>
      <c r="K33" s="33">
        <f t="shared" si="13"/>
        <v>0.20228957934150443</v>
      </c>
      <c r="L33" s="33">
        <f t="shared" si="14"/>
        <v>0.23455391680977705</v>
      </c>
      <c r="M33" s="33"/>
      <c r="N33" s="33">
        <f t="shared" si="15"/>
        <v>8.2866872474601713E-2</v>
      </c>
      <c r="O33" s="33">
        <f t="shared" si="16"/>
        <v>0</v>
      </c>
      <c r="P33" s="33">
        <f t="shared" si="17"/>
        <v>0.33303314580351251</v>
      </c>
      <c r="AF33" s="36">
        <f t="shared" si="0"/>
        <v>47110</v>
      </c>
      <c r="AG33" s="34">
        <f t="shared" si="1"/>
        <v>4.3597034623184622E-2</v>
      </c>
      <c r="AH33" s="43">
        <f t="shared" si="2"/>
        <v>0</v>
      </c>
      <c r="AI33" s="43"/>
      <c r="AK33" s="34">
        <f t="shared" si="7"/>
        <v>0.33072823195001638</v>
      </c>
      <c r="AL33" s="34">
        <f t="shared" si="5"/>
        <v>0.31519707827428312</v>
      </c>
      <c r="AM33" s="34">
        <f t="shared" si="6"/>
        <v>0.34625938562574965</v>
      </c>
      <c r="AN33" s="42"/>
      <c r="AO33" s="42"/>
      <c r="AP33" s="42"/>
    </row>
    <row r="34" spans="2:42" x14ac:dyDescent="0.3">
      <c r="B34" s="35">
        <f t="shared" si="9"/>
        <v>47475</v>
      </c>
      <c r="C34" s="33"/>
      <c r="D34" s="33">
        <f t="shared" si="10"/>
        <v>3.6365194563166003E-2</v>
      </c>
      <c r="E34" s="33">
        <f t="shared" si="11"/>
        <v>9.7409268952235312E-3</v>
      </c>
      <c r="F34" s="33">
        <f t="shared" si="12"/>
        <v>6.2989462231108476E-2</v>
      </c>
      <c r="G34" s="33"/>
      <c r="H34" s="33"/>
      <c r="I34" s="33"/>
      <c r="J34" s="33">
        <f t="shared" si="8"/>
        <v>0.22328838030660655</v>
      </c>
      <c r="K34" s="33">
        <f t="shared" si="13"/>
        <v>0.20642324502979767</v>
      </c>
      <c r="L34" s="33">
        <f t="shared" si="14"/>
        <v>0.24015351558341544</v>
      </c>
      <c r="M34" s="33"/>
      <c r="N34" s="33">
        <f t="shared" si="15"/>
        <v>8.4471923045849717E-2</v>
      </c>
      <c r="O34" s="33">
        <f t="shared" si="16"/>
        <v>0</v>
      </c>
      <c r="P34" s="33">
        <f t="shared" si="17"/>
        <v>0.34600046851254029</v>
      </c>
      <c r="AF34" s="36">
        <f t="shared" si="0"/>
        <v>47475</v>
      </c>
      <c r="AG34" s="34">
        <f t="shared" si="1"/>
        <v>3.6365194563166003E-2</v>
      </c>
      <c r="AH34" s="43">
        <f t="shared" si="2"/>
        <v>0</v>
      </c>
      <c r="AI34" s="43"/>
      <c r="AK34" s="34">
        <f t="shared" si="7"/>
        <v>0.35328741361141214</v>
      </c>
      <c r="AL34" s="34">
        <f t="shared" si="5"/>
        <v>0.33743936698973481</v>
      </c>
      <c r="AM34" s="34">
        <f t="shared" si="6"/>
        <v>0.36913546023308946</v>
      </c>
      <c r="AN34" s="42"/>
      <c r="AO34" s="42"/>
      <c r="AP34" s="42"/>
    </row>
    <row r="35" spans="2:42" x14ac:dyDescent="0.3">
      <c r="B35" s="35">
        <f t="shared" si="9"/>
        <v>47840</v>
      </c>
      <c r="C35" s="33"/>
      <c r="D35" s="33">
        <f t="shared" si="10"/>
        <v>3.5442347865492198E-2</v>
      </c>
      <c r="E35" s="33">
        <f t="shared" si="11"/>
        <v>7.9228517895924E-3</v>
      </c>
      <c r="F35" s="33">
        <f t="shared" si="12"/>
        <v>6.2961843941391996E-2</v>
      </c>
      <c r="G35" s="33"/>
      <c r="H35" s="33"/>
      <c r="I35" s="33"/>
      <c r="J35" s="33">
        <f t="shared" si="8"/>
        <v>0.22815508539789259</v>
      </c>
      <c r="K35" s="33">
        <f t="shared" si="13"/>
        <v>0.21058481548675487</v>
      </c>
      <c r="L35" s="33">
        <f t="shared" si="14"/>
        <v>0.24572535530903031</v>
      </c>
      <c r="M35" s="33"/>
      <c r="N35" s="33">
        <f t="shared" si="15"/>
        <v>2.8754019984275805E-2</v>
      </c>
      <c r="O35" s="33">
        <f t="shared" si="16"/>
        <v>0</v>
      </c>
      <c r="P35" s="33">
        <f t="shared" si="17"/>
        <v>0.30121355005053557</v>
      </c>
      <c r="AF35" s="36">
        <f t="shared" si="0"/>
        <v>47840</v>
      </c>
      <c r="AG35" s="34">
        <f t="shared" si="1"/>
        <v>3.5442347865492198E-2</v>
      </c>
      <c r="AH35" s="43">
        <f t="shared" si="2"/>
        <v>0</v>
      </c>
      <c r="AI35" s="43"/>
      <c r="AK35" s="34">
        <f t="shared" si="7"/>
        <v>0.37584710189055498</v>
      </c>
      <c r="AL35" s="34">
        <f t="shared" si="5"/>
        <v>0.35968600667080908</v>
      </c>
      <c r="AM35" s="34">
        <f t="shared" si="6"/>
        <v>0.39200819711030088</v>
      </c>
      <c r="AN35" s="42"/>
      <c r="AO35" s="42"/>
      <c r="AP35" s="42"/>
    </row>
    <row r="36" spans="2:42" x14ac:dyDescent="0.3">
      <c r="B36" s="35">
        <f t="shared" si="9"/>
        <v>48205</v>
      </c>
      <c r="C36" s="33"/>
      <c r="D36" s="33">
        <f t="shared" si="10"/>
        <v>3.2932018183289016E-2</v>
      </c>
      <c r="E36" s="33">
        <f t="shared" si="11"/>
        <v>4.5421547675874203E-3</v>
      </c>
      <c r="F36" s="33">
        <f t="shared" si="12"/>
        <v>6.1321881598990616E-2</v>
      </c>
      <c r="G36" s="33"/>
      <c r="H36" s="33"/>
      <c r="I36" s="33"/>
      <c r="J36" s="33">
        <f t="shared" si="8"/>
        <v>0.23302179048917865</v>
      </c>
      <c r="K36" s="33">
        <f t="shared" si="13"/>
        <v>0.2147709963867438</v>
      </c>
      <c r="L36" s="33">
        <f t="shared" si="14"/>
        <v>0.2512725845916135</v>
      </c>
      <c r="M36" s="33"/>
      <c r="N36" s="33">
        <f t="shared" si="15"/>
        <v>5.554717665832043E-2</v>
      </c>
      <c r="O36" s="33">
        <f t="shared" si="16"/>
        <v>0</v>
      </c>
      <c r="P36" s="33">
        <f t="shared" si="17"/>
        <v>0.33855630894587219</v>
      </c>
      <c r="AF36" s="36">
        <f t="shared" si="0"/>
        <v>48205</v>
      </c>
      <c r="AG36" s="34">
        <f t="shared" si="1"/>
        <v>3.2932018183289016E-2</v>
      </c>
      <c r="AH36" s="43">
        <f t="shared" si="2"/>
        <v>0</v>
      </c>
      <c r="AI36" s="43"/>
      <c r="AK36" s="34">
        <f t="shared" si="7"/>
        <v>0.39840679016969788</v>
      </c>
      <c r="AL36" s="34">
        <f t="shared" si="5"/>
        <v>0.38193626935857811</v>
      </c>
      <c r="AM36" s="34">
        <f t="shared" si="6"/>
        <v>0.41487731098081765</v>
      </c>
      <c r="AN36" s="42"/>
      <c r="AO36" s="42"/>
      <c r="AP36" s="42"/>
    </row>
    <row r="37" spans="2:42" x14ac:dyDescent="0.3">
      <c r="B37" s="35">
        <f t="shared" si="9"/>
        <v>48570</v>
      </c>
      <c r="C37" s="33"/>
      <c r="D37" s="33">
        <f t="shared" si="10"/>
        <v>3.471524292076069E-2</v>
      </c>
      <c r="E37" s="33">
        <f t="shared" si="11"/>
        <v>5.4799167599687004E-3</v>
      </c>
      <c r="F37" s="33">
        <f t="shared" si="12"/>
        <v>6.395056908155268E-2</v>
      </c>
      <c r="G37" s="33"/>
      <c r="H37" s="33"/>
      <c r="I37" s="33"/>
      <c r="J37" s="33">
        <f t="shared" si="8"/>
        <v>0.23787527143233883</v>
      </c>
      <c r="K37" s="33">
        <f t="shared" si="13"/>
        <v>0.21896765982692454</v>
      </c>
      <c r="L37" s="33">
        <f t="shared" si="14"/>
        <v>0.25678288303775315</v>
      </c>
      <c r="M37" s="33"/>
      <c r="N37" s="33">
        <f t="shared" si="15"/>
        <v>0.14611420174440826</v>
      </c>
      <c r="O37" s="33">
        <f t="shared" si="16"/>
        <v>0</v>
      </c>
      <c r="P37" s="33">
        <f t="shared" si="17"/>
        <v>0.43930553770657155</v>
      </c>
      <c r="AF37" s="36">
        <f t="shared" si="0"/>
        <v>48570</v>
      </c>
      <c r="AG37" s="34">
        <f t="shared" si="1"/>
        <v>3.471524292076069E-2</v>
      </c>
      <c r="AH37" s="43">
        <f t="shared" si="2"/>
        <v>0</v>
      </c>
      <c r="AI37" s="43"/>
      <c r="AK37" s="34">
        <f t="shared" si="7"/>
        <v>0.42090534657402184</v>
      </c>
      <c r="AL37" s="34">
        <f t="shared" si="5"/>
        <v>0.4041296357415517</v>
      </c>
      <c r="AM37" s="34">
        <f t="shared" si="6"/>
        <v>0.43768105740649199</v>
      </c>
      <c r="AN37" s="42"/>
      <c r="AO37" s="42"/>
      <c r="AP37" s="42"/>
    </row>
    <row r="38" spans="2:42" x14ac:dyDescent="0.3">
      <c r="B38" s="35">
        <f t="shared" si="9"/>
        <v>48935</v>
      </c>
      <c r="C38" s="33"/>
      <c r="D38" s="33">
        <f t="shared" si="10"/>
        <v>2.5219493445727562E-2</v>
      </c>
      <c r="E38" s="33">
        <f t="shared" si="11"/>
        <v>0</v>
      </c>
      <c r="F38" s="33">
        <f t="shared" si="12"/>
        <v>5.7542302937281554E-2</v>
      </c>
      <c r="G38" s="33"/>
      <c r="H38" s="33"/>
      <c r="I38" s="33"/>
      <c r="J38" s="33">
        <f t="shared" si="8"/>
        <v>0.2427418672331445</v>
      </c>
      <c r="K38" s="33">
        <f t="shared" si="13"/>
        <v>0.22319536793385583</v>
      </c>
      <c r="L38" s="33">
        <f t="shared" si="14"/>
        <v>0.2622883665324332</v>
      </c>
      <c r="M38" s="33"/>
      <c r="N38" s="33">
        <f t="shared" si="15"/>
        <v>0.12126666173903097</v>
      </c>
      <c r="O38" s="33">
        <f t="shared" si="16"/>
        <v>0</v>
      </c>
      <c r="P38" s="33">
        <f t="shared" si="17"/>
        <v>0.42440011827008883</v>
      </c>
      <c r="AF38" s="36">
        <f t="shared" si="0"/>
        <v>48935</v>
      </c>
      <c r="AG38" s="34">
        <f t="shared" si="1"/>
        <v>2.5219493445727562E-2</v>
      </c>
      <c r="AH38" s="43">
        <f t="shared" si="2"/>
        <v>0</v>
      </c>
      <c r="AI38" s="43"/>
      <c r="AK38" s="34">
        <f t="shared" si="7"/>
        <v>0.44346435936283518</v>
      </c>
      <c r="AL38" s="34">
        <f t="shared" si="5"/>
        <v>0.42638585910890869</v>
      </c>
      <c r="AM38" s="34">
        <f t="shared" si="6"/>
        <v>0.46054285961676167</v>
      </c>
      <c r="AN38" s="42"/>
      <c r="AO38" s="42"/>
      <c r="AP38" s="42"/>
    </row>
    <row r="39" spans="2:42" x14ac:dyDescent="0.3">
      <c r="B39" s="35">
        <f t="shared" si="9"/>
        <v>49300</v>
      </c>
      <c r="C39" s="33"/>
      <c r="D39" s="33">
        <f t="shared" si="10"/>
        <v>2.0479210337217828E-2</v>
      </c>
      <c r="E39" s="33">
        <f t="shared" si="11"/>
        <v>0</v>
      </c>
      <c r="F39" s="33">
        <f t="shared" si="12"/>
        <v>5.3572532927437494E-2</v>
      </c>
      <c r="G39" s="33"/>
      <c r="H39" s="33"/>
      <c r="I39" s="33"/>
      <c r="J39" s="33">
        <f t="shared" si="8"/>
        <v>0.24760857232443056</v>
      </c>
      <c r="K39" s="33">
        <f t="shared" si="13"/>
        <v>0.22744102144958664</v>
      </c>
      <c r="L39" s="33">
        <f t="shared" si="14"/>
        <v>0.26777612319927452</v>
      </c>
      <c r="M39" s="33"/>
      <c r="N39" s="33">
        <f t="shared" si="15"/>
        <v>0.10251409231537635</v>
      </c>
      <c r="O39" s="33">
        <f t="shared" si="16"/>
        <v>0</v>
      </c>
      <c r="P39" s="33">
        <f t="shared" si="17"/>
        <v>0.41527460263732319</v>
      </c>
      <c r="AF39" s="36">
        <f t="shared" si="0"/>
        <v>49300</v>
      </c>
      <c r="AG39" s="34">
        <f t="shared" si="1"/>
        <v>2.0479210337217828E-2</v>
      </c>
      <c r="AH39" s="43">
        <f t="shared" si="2"/>
        <v>0</v>
      </c>
      <c r="AI39" s="43"/>
      <c r="AK39" s="34">
        <f t="shared" si="7"/>
        <v>0.46602404764197802</v>
      </c>
      <c r="AL39" s="34">
        <f t="shared" si="5"/>
        <v>0.44864579434115021</v>
      </c>
      <c r="AM39" s="34">
        <f t="shared" si="6"/>
        <v>0.48340230094280584</v>
      </c>
      <c r="AN39" s="42"/>
      <c r="AO39" s="42"/>
      <c r="AP39" s="42"/>
    </row>
    <row r="40" spans="2:42" x14ac:dyDescent="0.3">
      <c r="B40" s="35">
        <f t="shared" si="9"/>
        <v>49665</v>
      </c>
      <c r="C40" s="33"/>
      <c r="D40" s="33">
        <f t="shared" si="10"/>
        <v>1.3254274604089962E-2</v>
      </c>
      <c r="E40" s="33">
        <f t="shared" si="11"/>
        <v>0</v>
      </c>
      <c r="F40" s="33">
        <f t="shared" si="12"/>
        <v>4.7086145321964021E-2</v>
      </c>
      <c r="G40" s="33"/>
      <c r="H40" s="33"/>
      <c r="I40" s="33"/>
      <c r="J40" s="33">
        <f t="shared" si="8"/>
        <v>0.25247527741571657</v>
      </c>
      <c r="K40" s="33">
        <f t="shared" si="13"/>
        <v>0.23170291994780712</v>
      </c>
      <c r="L40" s="33">
        <f t="shared" si="14"/>
        <v>0.27324763488362602</v>
      </c>
      <c r="M40" s="33"/>
      <c r="N40" s="33">
        <f t="shared" si="15"/>
        <v>9.0612187783078543E-2</v>
      </c>
      <c r="O40" s="33">
        <f t="shared" si="16"/>
        <v>0</v>
      </c>
      <c r="P40" s="33">
        <f t="shared" si="17"/>
        <v>0.41274776402137808</v>
      </c>
      <c r="AF40" s="36">
        <f t="shared" si="0"/>
        <v>49665</v>
      </c>
      <c r="AG40" s="34">
        <f t="shared" si="1"/>
        <v>1.3254274604089962E-2</v>
      </c>
      <c r="AH40" s="43">
        <f t="shared" si="2"/>
        <v>0</v>
      </c>
      <c r="AI40" s="43"/>
      <c r="AK40" s="34">
        <f t="shared" si="7"/>
        <v>0.48858373592112087</v>
      </c>
      <c r="AL40" s="34">
        <f t="shared" si="5"/>
        <v>0.47090861182404525</v>
      </c>
      <c r="AM40" s="34">
        <f t="shared" si="6"/>
        <v>0.50625886001819653</v>
      </c>
      <c r="AN40" s="42"/>
      <c r="AO40" s="42"/>
      <c r="AP40" s="42"/>
    </row>
    <row r="41" spans="2:42" x14ac:dyDescent="0.3">
      <c r="B41" s="35">
        <f t="shared" si="9"/>
        <v>50030</v>
      </c>
      <c r="C41" s="33"/>
      <c r="D41" s="33">
        <f t="shared" si="10"/>
        <v>1.2316415450223758E-2</v>
      </c>
      <c r="E41" s="33">
        <f t="shared" si="11"/>
        <v>0</v>
      </c>
      <c r="F41" s="33">
        <f t="shared" si="12"/>
        <v>4.68718926387122E-2</v>
      </c>
      <c r="G41" s="33"/>
      <c r="H41" s="33"/>
      <c r="I41" s="33"/>
      <c r="J41" s="33">
        <f t="shared" si="8"/>
        <v>0.25732879478903686</v>
      </c>
      <c r="K41" s="33">
        <f t="shared" si="13"/>
        <v>0.23596806816123467</v>
      </c>
      <c r="L41" s="33">
        <f t="shared" si="14"/>
        <v>0.27868952141683906</v>
      </c>
      <c r="M41" s="33"/>
      <c r="N41" s="33">
        <f t="shared" si="15"/>
        <v>3.3718990214502517E-2</v>
      </c>
      <c r="O41" s="33">
        <f t="shared" si="16"/>
        <v>0</v>
      </c>
      <c r="P41" s="33">
        <f t="shared" si="17"/>
        <v>0.36497495292348114</v>
      </c>
      <c r="AF41" s="36">
        <f t="shared" si="0"/>
        <v>50030</v>
      </c>
      <c r="AG41" s="34">
        <f t="shared" si="1"/>
        <v>1.2316415450223758E-2</v>
      </c>
      <c r="AH41" s="43">
        <f t="shared" si="2"/>
        <v>0</v>
      </c>
      <c r="AI41" s="43"/>
      <c r="AK41" s="34">
        <f t="shared" si="7"/>
        <v>0.51108246119802736</v>
      </c>
      <c r="AL41" s="34">
        <f t="shared" si="5"/>
        <v>0.49311398600609613</v>
      </c>
      <c r="AM41" s="34">
        <f t="shared" si="6"/>
        <v>0.52905093638995859</v>
      </c>
      <c r="AN41" s="42"/>
      <c r="AO41" s="42"/>
      <c r="AP41" s="42"/>
    </row>
    <row r="42" spans="2:42" x14ac:dyDescent="0.3">
      <c r="B42" s="35">
        <f t="shared" si="9"/>
        <v>50395</v>
      </c>
      <c r="C42" s="33"/>
      <c r="D42" s="33">
        <f t="shared" si="10"/>
        <v>9.8150507621931789E-3</v>
      </c>
      <c r="E42" s="33">
        <f t="shared" si="11"/>
        <v>0</v>
      </c>
      <c r="F42" s="33">
        <f t="shared" si="12"/>
        <v>4.5083902030764678E-2</v>
      </c>
      <c r="G42" s="33"/>
      <c r="H42" s="33"/>
      <c r="I42" s="33"/>
      <c r="J42" s="33">
        <f t="shared" si="8"/>
        <v>0.26219535415968243</v>
      </c>
      <c r="K42" s="33">
        <f t="shared" si="13"/>
        <v>0.24025832090633276</v>
      </c>
      <c r="L42" s="33">
        <f t="shared" si="14"/>
        <v>0.28413238741303209</v>
      </c>
      <c r="M42" s="33"/>
      <c r="N42" s="33">
        <f t="shared" si="15"/>
        <v>3.4999679514991722E-2</v>
      </c>
      <c r="O42" s="33">
        <f t="shared" si="16"/>
        <v>0</v>
      </c>
      <c r="P42" s="33">
        <f t="shared" si="17"/>
        <v>0.37518914783321322</v>
      </c>
      <c r="AF42" s="36">
        <f t="shared" si="0"/>
        <v>50395</v>
      </c>
      <c r="AG42" s="34">
        <f t="shared" si="1"/>
        <v>9.8150507621931789E-3</v>
      </c>
      <c r="AH42" s="43">
        <f t="shared" si="2"/>
        <v>0</v>
      </c>
      <c r="AI42" s="43"/>
      <c r="AK42" s="34">
        <f t="shared" si="7"/>
        <v>0.53364130511425834</v>
      </c>
      <c r="AL42" s="34">
        <f t="shared" si="5"/>
        <v>0.51538128573132624</v>
      </c>
      <c r="AM42" s="34">
        <f t="shared" si="6"/>
        <v>0.55190132449719043</v>
      </c>
      <c r="AN42" s="42"/>
      <c r="AO42" s="42"/>
      <c r="AP42" s="42"/>
    </row>
    <row r="43" spans="2:42" x14ac:dyDescent="0.3">
      <c r="B43" s="35">
        <f t="shared" si="9"/>
        <v>50760</v>
      </c>
      <c r="C43" s="33"/>
      <c r="D43" s="33">
        <f t="shared" si="10"/>
        <v>1.1579466546025048E-2</v>
      </c>
      <c r="E43" s="33">
        <f t="shared" si="11"/>
        <v>0</v>
      </c>
      <c r="F43" s="33">
        <f t="shared" si="12"/>
        <v>4.755025308160836E-2</v>
      </c>
      <c r="G43" s="33"/>
      <c r="H43" s="33"/>
      <c r="I43" s="33"/>
      <c r="J43" s="33">
        <f t="shared" si="8"/>
        <v>0.26706205925096849</v>
      </c>
      <c r="K43" s="33">
        <f t="shared" si="13"/>
        <v>0.24456130875150689</v>
      </c>
      <c r="L43" s="33">
        <f t="shared" si="14"/>
        <v>0.28956280975043008</v>
      </c>
      <c r="M43" s="33"/>
      <c r="N43" s="33">
        <f t="shared" si="15"/>
        <v>0</v>
      </c>
      <c r="O43" s="33">
        <f t="shared" si="16"/>
        <v>0</v>
      </c>
      <c r="P43" s="33">
        <f t="shared" si="17"/>
        <v>0.34892791229906794</v>
      </c>
      <c r="AF43" s="36">
        <f t="shared" si="0"/>
        <v>50760</v>
      </c>
      <c r="AG43" s="34">
        <f t="shared" si="1"/>
        <v>1.1579466546025048E-2</v>
      </c>
      <c r="AH43" s="43">
        <f t="shared" si="2"/>
        <v>0</v>
      </c>
      <c r="AI43" s="43"/>
      <c r="AK43" s="34">
        <f t="shared" si="7"/>
        <v>0.55620099339340112</v>
      </c>
      <c r="AL43" s="34">
        <f t="shared" si="5"/>
        <v>0.53765188048310353</v>
      </c>
      <c r="AM43" s="34">
        <f t="shared" si="6"/>
        <v>0.57475010630369872</v>
      </c>
      <c r="AN43" s="42"/>
      <c r="AO43" s="42"/>
      <c r="AP43" s="42"/>
    </row>
    <row r="44" spans="2:42" x14ac:dyDescent="0.3">
      <c r="B44" s="35">
        <f t="shared" si="9"/>
        <v>51125</v>
      </c>
      <c r="C44" s="33"/>
      <c r="D44" s="33">
        <f t="shared" si="10"/>
        <v>2.1149941942600423E-3</v>
      </c>
      <c r="E44" s="33">
        <f t="shared" si="11"/>
        <v>0</v>
      </c>
      <c r="F44" s="33">
        <f t="shared" si="12"/>
        <v>4.0661491596628026E-2</v>
      </c>
      <c r="G44" s="33"/>
      <c r="H44" s="33"/>
      <c r="I44" s="33"/>
      <c r="J44" s="33">
        <f t="shared" si="8"/>
        <v>0.27192876434225455</v>
      </c>
      <c r="K44" s="33">
        <f t="shared" si="13"/>
        <v>0.24887597447961232</v>
      </c>
      <c r="L44" s="33">
        <f t="shared" si="14"/>
        <v>0.2949815542048968</v>
      </c>
      <c r="M44" s="33"/>
      <c r="N44" s="33">
        <f t="shared" si="15"/>
        <v>5.9361928470651158E-3</v>
      </c>
      <c r="O44" s="33">
        <f t="shared" si="16"/>
        <v>0</v>
      </c>
      <c r="P44" s="33">
        <f t="shared" si="17"/>
        <v>0.36345392331793669</v>
      </c>
      <c r="AC44" t="s">
        <v>770</v>
      </c>
      <c r="AD44" s="49">
        <f>N35/N27+1</f>
        <v>1.3690735357825632</v>
      </c>
      <c r="AF44" s="36">
        <f t="shared" si="0"/>
        <v>51125</v>
      </c>
      <c r="AG44" s="34">
        <f t="shared" si="1"/>
        <v>2.1149941942600423E-3</v>
      </c>
      <c r="AH44" s="43">
        <f t="shared" si="2"/>
        <v>0</v>
      </c>
      <c r="AI44" s="43"/>
      <c r="AK44" s="34">
        <f t="shared" si="7"/>
        <v>0.57876068167254402</v>
      </c>
      <c r="AL44" s="34">
        <f t="shared" si="5"/>
        <v>0.5599248157265958</v>
      </c>
      <c r="AM44" s="34">
        <f t="shared" si="6"/>
        <v>0.59759654761849224</v>
      </c>
      <c r="AN44" s="42"/>
      <c r="AO44" s="42"/>
      <c r="AP44" s="42"/>
    </row>
    <row r="45" spans="2:42" x14ac:dyDescent="0.3">
      <c r="B45" s="35">
        <f t="shared" si="9"/>
        <v>51490</v>
      </c>
      <c r="C45" s="33"/>
      <c r="D45" s="33">
        <f t="shared" si="10"/>
        <v>0</v>
      </c>
      <c r="E45" s="33">
        <f t="shared" si="11"/>
        <v>0</v>
      </c>
      <c r="F45" s="33">
        <f t="shared" si="12"/>
        <v>3.9213008287757554E-2</v>
      </c>
      <c r="G45" s="33"/>
      <c r="H45" s="33"/>
      <c r="I45" s="33"/>
      <c r="J45" s="33">
        <f t="shared" si="8"/>
        <v>0.27678231814573501</v>
      </c>
      <c r="K45" s="33">
        <f t="shared" si="13"/>
        <v>0.25318978889386234</v>
      </c>
      <c r="L45" s="33">
        <f t="shared" si="14"/>
        <v>0.30037484739760767</v>
      </c>
      <c r="M45" s="33"/>
      <c r="N45" s="33">
        <f t="shared" si="15"/>
        <v>9.615436111733186E-2</v>
      </c>
      <c r="O45" s="33">
        <f t="shared" si="16"/>
        <v>0</v>
      </c>
      <c r="P45" s="33">
        <f t="shared" si="17"/>
        <v>0.46203860406219244</v>
      </c>
      <c r="AF45" s="36">
        <f t="shared" si="0"/>
        <v>51490</v>
      </c>
      <c r="AG45" s="34">
        <f t="shared" si="1"/>
        <v>0</v>
      </c>
      <c r="AH45" s="43">
        <f t="shared" si="2"/>
        <v>0</v>
      </c>
      <c r="AI45" s="43"/>
      <c r="AK45" s="34">
        <f t="shared" si="7"/>
        <v>0.60125957582203271</v>
      </c>
      <c r="AL45" s="34">
        <f t="shared" si="5"/>
        <v>0.58213994552365478</v>
      </c>
      <c r="AM45" s="34">
        <f t="shared" si="6"/>
        <v>0.62037920612041064</v>
      </c>
      <c r="AN45" s="42"/>
      <c r="AO45" s="42"/>
      <c r="AP45" s="42"/>
    </row>
    <row r="46" spans="2:42" x14ac:dyDescent="0.3">
      <c r="B46" s="35">
        <f t="shared" si="9"/>
        <v>51855</v>
      </c>
      <c r="C46" s="33"/>
      <c r="D46" s="33">
        <f t="shared" si="10"/>
        <v>0</v>
      </c>
      <c r="E46" s="33">
        <f t="shared" si="11"/>
        <v>0</v>
      </c>
      <c r="F46" s="33">
        <f t="shared" si="12"/>
        <v>3.9852794713149807E-2</v>
      </c>
      <c r="G46" s="33"/>
      <c r="H46" s="33"/>
      <c r="I46" s="33"/>
      <c r="J46" s="33">
        <f t="shared" si="8"/>
        <v>0.2816488410862204</v>
      </c>
      <c r="K46" s="33">
        <f t="shared" si="13"/>
        <v>0.25752523979544162</v>
      </c>
      <c r="L46" s="33">
        <f t="shared" si="14"/>
        <v>0.30577244237699919</v>
      </c>
      <c r="M46" s="33"/>
      <c r="N46" s="33">
        <f t="shared" si="15"/>
        <v>7.1946398028569197E-2</v>
      </c>
      <c r="O46" s="33">
        <f t="shared" si="16"/>
        <v>0</v>
      </c>
      <c r="P46" s="33">
        <f t="shared" si="17"/>
        <v>0.44606254508568033</v>
      </c>
      <c r="AF46" s="36">
        <f t="shared" si="0"/>
        <v>51855</v>
      </c>
      <c r="AG46" s="34">
        <f t="shared" si="1"/>
        <v>0</v>
      </c>
      <c r="AH46" s="43">
        <f t="shared" si="2"/>
        <v>0</v>
      </c>
      <c r="AI46" s="43"/>
      <c r="AK46" s="34">
        <f t="shared" si="7"/>
        <v>0.62381825086568143</v>
      </c>
      <c r="AL46" s="34">
        <f t="shared" si="5"/>
        <v>0.60441622415903973</v>
      </c>
      <c r="AM46" s="34">
        <f t="shared" si="6"/>
        <v>0.64322027757232314</v>
      </c>
      <c r="AN46" s="42"/>
      <c r="AO46" s="42"/>
      <c r="AP46" s="42"/>
    </row>
    <row r="47" spans="2:42" x14ac:dyDescent="0.3">
      <c r="B47" s="35">
        <f t="shared" si="9"/>
        <v>52220</v>
      </c>
      <c r="C47" s="33"/>
      <c r="D47" s="33">
        <f t="shared" si="10"/>
        <v>0</v>
      </c>
      <c r="E47" s="33">
        <f t="shared" si="11"/>
        <v>0</v>
      </c>
      <c r="F47" s="33">
        <f t="shared" si="12"/>
        <v>4.0484899878194314E-2</v>
      </c>
      <c r="G47" s="33"/>
      <c r="H47" s="33"/>
      <c r="I47" s="33"/>
      <c r="J47" s="33">
        <f t="shared" si="8"/>
        <v>0.28651554617750646</v>
      </c>
      <c r="K47" s="33">
        <f t="shared" si="13"/>
        <v>0.26187031639513259</v>
      </c>
      <c r="L47" s="33">
        <f t="shared" si="14"/>
        <v>0.31116077595988034</v>
      </c>
      <c r="M47" s="33"/>
      <c r="N47" s="33">
        <f t="shared" si="15"/>
        <v>5.3154854373109912E-2</v>
      </c>
      <c r="O47" s="33">
        <f t="shared" si="16"/>
        <v>0</v>
      </c>
      <c r="P47" s="33">
        <f t="shared" si="17"/>
        <v>0.4353566128477136</v>
      </c>
      <c r="AF47" s="36">
        <f t="shared" si="0"/>
        <v>52220</v>
      </c>
      <c r="AG47" s="34">
        <f t="shared" si="1"/>
        <v>0</v>
      </c>
      <c r="AH47" s="43">
        <f t="shared" si="2"/>
        <v>0</v>
      </c>
      <c r="AI47" s="43"/>
      <c r="AK47" s="34">
        <f t="shared" si="7"/>
        <v>0.64637793914482433</v>
      </c>
      <c r="AL47" s="34">
        <f t="shared" si="5"/>
        <v>0.62669552688431329</v>
      </c>
      <c r="AM47" s="34">
        <f t="shared" si="6"/>
        <v>0.66606035140533537</v>
      </c>
      <c r="AN47" s="42"/>
      <c r="AO47" s="42"/>
      <c r="AP47" s="42"/>
    </row>
    <row r="48" spans="2:42" x14ac:dyDescent="0.3">
      <c r="B48" s="35">
        <f t="shared" si="9"/>
        <v>52585</v>
      </c>
      <c r="C48" s="33"/>
      <c r="D48" s="33">
        <f t="shared" si="10"/>
        <v>0</v>
      </c>
      <c r="E48" s="33">
        <f t="shared" si="11"/>
        <v>0</v>
      </c>
      <c r="F48" s="33">
        <f t="shared" si="12"/>
        <v>4.1109659717166798E-2</v>
      </c>
      <c r="G48" s="33"/>
      <c r="H48" s="33"/>
      <c r="I48" s="33"/>
      <c r="J48" s="33">
        <f t="shared" si="8"/>
        <v>0.29138225126879252</v>
      </c>
      <c r="K48" s="33">
        <f t="shared" si="13"/>
        <v>0.26622426417868494</v>
      </c>
      <c r="L48" s="33">
        <f t="shared" si="14"/>
        <v>0.31654023835890011</v>
      </c>
      <c r="M48" s="33"/>
      <c r="N48" s="33">
        <f t="shared" si="15"/>
        <v>4.1215423854383107E-2</v>
      </c>
      <c r="O48" s="33">
        <f t="shared" si="16"/>
        <v>0</v>
      </c>
      <c r="P48" s="33">
        <f t="shared" si="17"/>
        <v>0.43136536327694541</v>
      </c>
      <c r="AF48" s="36">
        <f t="shared" si="0"/>
        <v>52585</v>
      </c>
      <c r="AG48" s="34">
        <f t="shared" si="1"/>
        <v>0</v>
      </c>
      <c r="AH48" s="43">
        <f t="shared" si="2"/>
        <v>0</v>
      </c>
      <c r="AI48" s="43"/>
      <c r="AK48" s="34">
        <f t="shared" si="7"/>
        <v>0.66893762742396712</v>
      </c>
      <c r="AL48" s="34">
        <f t="shared" si="5"/>
        <v>0.64897676056335785</v>
      </c>
      <c r="AM48" s="34">
        <f t="shared" si="6"/>
        <v>0.68889849428457639</v>
      </c>
      <c r="AN48" s="42"/>
      <c r="AO48" s="42"/>
      <c r="AP48" s="42"/>
    </row>
    <row r="49" spans="2:42" x14ac:dyDescent="0.3">
      <c r="B49" s="35">
        <f t="shared" si="9"/>
        <v>52950</v>
      </c>
      <c r="C49" s="33"/>
      <c r="D49" s="33">
        <f t="shared" si="10"/>
        <v>0</v>
      </c>
      <c r="E49" s="33">
        <f t="shared" si="11"/>
        <v>0</v>
      </c>
      <c r="F49" s="33">
        <f t="shared" si="12"/>
        <v>4.1725756132604673E-2</v>
      </c>
      <c r="G49" s="33"/>
      <c r="H49" s="33"/>
      <c r="I49" s="33"/>
      <c r="J49" s="33">
        <f t="shared" si="8"/>
        <v>0.29623584150243309</v>
      </c>
      <c r="K49" s="33">
        <f t="shared" si="13"/>
        <v>0.27057477893647874</v>
      </c>
      <c r="L49" s="33">
        <f t="shared" si="14"/>
        <v>0.32189690406838745</v>
      </c>
      <c r="M49" s="33"/>
      <c r="N49" s="33">
        <f t="shared" si="15"/>
        <v>0</v>
      </c>
      <c r="O49" s="33">
        <f t="shared" si="16"/>
        <v>0</v>
      </c>
      <c r="P49" s="33">
        <f t="shared" si="17"/>
        <v>0.39794811533070457</v>
      </c>
      <c r="AF49" s="36">
        <f t="shared" si="0"/>
        <v>52950</v>
      </c>
      <c r="AG49" s="34">
        <f t="shared" si="1"/>
        <v>0</v>
      </c>
      <c r="AH49" s="43">
        <f t="shared" si="2"/>
        <v>0</v>
      </c>
      <c r="AI49" s="43"/>
      <c r="AK49" s="34">
        <f t="shared" si="7"/>
        <v>0.69143669044603817</v>
      </c>
      <c r="AL49" s="34">
        <f t="shared" si="5"/>
        <v>0.67119995138344002</v>
      </c>
      <c r="AM49" s="34">
        <f t="shared" si="6"/>
        <v>0.71167342950863632</v>
      </c>
      <c r="AN49" s="42"/>
      <c r="AO49" s="42"/>
      <c r="AP49" s="42"/>
    </row>
    <row r="50" spans="2:42" x14ac:dyDescent="0.3">
      <c r="B50" s="35">
        <f t="shared" si="9"/>
        <v>53315</v>
      </c>
      <c r="C50" s="33"/>
      <c r="D50" s="33">
        <f t="shared" si="10"/>
        <v>0</v>
      </c>
      <c r="E50" s="33">
        <f t="shared" si="11"/>
        <v>0</v>
      </c>
      <c r="F50" s="33">
        <f t="shared" si="12"/>
        <v>4.3982458565870262E-2</v>
      </c>
      <c r="G50" s="33"/>
      <c r="H50" s="33"/>
      <c r="I50" s="33"/>
      <c r="J50" s="33">
        <f t="shared" si="8"/>
        <v>0.30110232801275838</v>
      </c>
      <c r="K50" s="33">
        <f t="shared" si="13"/>
        <v>0.27494469546090572</v>
      </c>
      <c r="L50" s="33">
        <f t="shared" si="14"/>
        <v>0.32725996056461104</v>
      </c>
      <c r="M50" s="33"/>
      <c r="N50" s="33">
        <f t="shared" si="15"/>
        <v>0</v>
      </c>
      <c r="O50" s="33">
        <f t="shared" si="16"/>
        <v>0</v>
      </c>
      <c r="P50" s="33">
        <f t="shared" si="17"/>
        <v>0.40567416688556951</v>
      </c>
      <c r="AF50" s="36">
        <f t="shared" si="0"/>
        <v>53315</v>
      </c>
      <c r="AG50" s="34">
        <f t="shared" si="1"/>
        <v>0</v>
      </c>
      <c r="AH50" s="43">
        <f t="shared" si="2"/>
        <v>0</v>
      </c>
      <c r="AI50" s="43"/>
      <c r="AK50" s="34">
        <f t="shared" si="7"/>
        <v>0.71399519661710442</v>
      </c>
      <c r="AL50" s="34">
        <f t="shared" si="5"/>
        <v>0.69348361900636857</v>
      </c>
      <c r="AM50" s="34">
        <f t="shared" si="6"/>
        <v>0.73450677422784028</v>
      </c>
      <c r="AN50" s="42"/>
      <c r="AO50" s="42"/>
      <c r="AP50" s="42"/>
    </row>
    <row r="51" spans="2:42" x14ac:dyDescent="0.3">
      <c r="B51" s="35">
        <f t="shared" si="9"/>
        <v>53680</v>
      </c>
      <c r="C51" s="33"/>
      <c r="D51" s="33">
        <f t="shared" si="10"/>
        <v>0</v>
      </c>
      <c r="E51" s="33">
        <f t="shared" si="11"/>
        <v>0</v>
      </c>
      <c r="F51" s="33">
        <f t="shared" si="12"/>
        <v>4.459142186527202E-2</v>
      </c>
      <c r="G51" s="33"/>
      <c r="H51" s="33"/>
      <c r="I51" s="33"/>
      <c r="J51" s="33">
        <f t="shared" si="8"/>
        <v>0.30596903310404444</v>
      </c>
      <c r="K51" s="33">
        <f t="shared" si="13"/>
        <v>0.27932221689127057</v>
      </c>
      <c r="L51" s="33">
        <f t="shared" si="14"/>
        <v>0.33261584931681831</v>
      </c>
      <c r="M51" s="33"/>
      <c r="N51" s="33">
        <f t="shared" si="15"/>
        <v>0</v>
      </c>
      <c r="O51" s="33">
        <f t="shared" si="16"/>
        <v>0</v>
      </c>
      <c r="P51" s="33">
        <f t="shared" si="17"/>
        <v>0.41325707485866103</v>
      </c>
      <c r="AF51" s="36">
        <f t="shared" si="0"/>
        <v>53680</v>
      </c>
      <c r="AG51" s="34">
        <f t="shared" si="1"/>
        <v>0</v>
      </c>
      <c r="AH51" s="43">
        <f t="shared" si="2"/>
        <v>0</v>
      </c>
      <c r="AI51" s="43"/>
      <c r="AK51" s="34">
        <f t="shared" si="7"/>
        <v>0.73655488489624721</v>
      </c>
      <c r="AL51" s="34">
        <f t="shared" si="5"/>
        <v>0.7157701399262868</v>
      </c>
      <c r="AM51" s="34">
        <f t="shared" si="6"/>
        <v>0.75733962986620762</v>
      </c>
      <c r="AN51" s="42"/>
      <c r="AO51" s="42"/>
      <c r="AP51" s="42"/>
    </row>
    <row r="52" spans="2:42" x14ac:dyDescent="0.3">
      <c r="B52" s="35">
        <f t="shared" si="9"/>
        <v>54045</v>
      </c>
      <c r="C52" s="33"/>
      <c r="D52" s="33">
        <f t="shared" si="10"/>
        <v>0</v>
      </c>
      <c r="E52" s="33">
        <f t="shared" si="11"/>
        <v>0</v>
      </c>
      <c r="F52" s="33">
        <f t="shared" si="12"/>
        <v>4.5168082091935687E-2</v>
      </c>
      <c r="G52" s="33"/>
      <c r="H52" s="33"/>
      <c r="I52" s="33"/>
      <c r="J52" s="33">
        <f t="shared" si="8"/>
        <v>0.3108357381953305</v>
      </c>
      <c r="K52" s="33">
        <f t="shared" si="13"/>
        <v>0.28370674284485325</v>
      </c>
      <c r="L52" s="33">
        <f t="shared" si="14"/>
        <v>0.33796473354580775</v>
      </c>
      <c r="M52" s="33"/>
      <c r="N52" s="33">
        <f t="shared" si="15"/>
        <v>0</v>
      </c>
      <c r="O52" s="33">
        <f t="shared" si="16"/>
        <v>0</v>
      </c>
      <c r="P52" s="33">
        <f t="shared" si="17"/>
        <v>0.42073100685900122</v>
      </c>
      <c r="AF52" s="36">
        <f t="shared" si="0"/>
        <v>54045</v>
      </c>
      <c r="AG52" s="34">
        <f t="shared" si="1"/>
        <v>0</v>
      </c>
      <c r="AH52" s="43">
        <f t="shared" si="2"/>
        <v>0</v>
      </c>
      <c r="AI52" s="43"/>
      <c r="AK52" s="34">
        <f t="shared" si="7"/>
        <v>0.75911457317539011</v>
      </c>
      <c r="AL52" s="34">
        <f t="shared" si="5"/>
        <v>0.73805827389693057</v>
      </c>
      <c r="AM52" s="34">
        <f t="shared" si="6"/>
        <v>0.78017087245384964</v>
      </c>
      <c r="AN52" s="42"/>
      <c r="AO52" s="42"/>
      <c r="AP52" s="42"/>
    </row>
    <row r="53" spans="2:42" x14ac:dyDescent="0.3">
      <c r="B53" s="35">
        <f t="shared" si="9"/>
        <v>54410</v>
      </c>
      <c r="C53" s="33"/>
      <c r="D53" s="33">
        <f t="shared" si="10"/>
        <v>0</v>
      </c>
      <c r="E53" s="33">
        <f t="shared" si="11"/>
        <v>0</v>
      </c>
      <c r="F53" s="33">
        <f t="shared" si="12"/>
        <v>4.5738099454882622E-2</v>
      </c>
      <c r="G53" s="33"/>
      <c r="H53" s="33"/>
      <c r="I53" s="33"/>
      <c r="J53" s="33">
        <f t="shared" si="8"/>
        <v>0.31568936485913113</v>
      </c>
      <c r="K53" s="33">
        <f t="shared" si="13"/>
        <v>0.28808609148979886</v>
      </c>
      <c r="L53" s="33">
        <f t="shared" si="14"/>
        <v>0.3432926382284634</v>
      </c>
      <c r="M53" s="33"/>
      <c r="N53" s="33">
        <f t="shared" si="15"/>
        <v>4.6194520490254944E-2</v>
      </c>
      <c r="O53" s="33">
        <f t="shared" si="16"/>
        <v>0</v>
      </c>
      <c r="P53" s="33">
        <f t="shared" si="17"/>
        <v>0.47427705752489591</v>
      </c>
      <c r="AF53" s="36">
        <f t="shared" si="0"/>
        <v>54410</v>
      </c>
      <c r="AG53" s="34">
        <f t="shared" si="1"/>
        <v>0</v>
      </c>
      <c r="AH53" s="43">
        <f t="shared" si="2"/>
        <v>0</v>
      </c>
      <c r="AI53" s="43"/>
      <c r="AK53" s="34">
        <f t="shared" si="7"/>
        <v>0.78161380507004363</v>
      </c>
      <c r="AL53" s="34">
        <f t="shared" si="5"/>
        <v>0.7602882151830469</v>
      </c>
      <c r="AM53" s="34">
        <f t="shared" si="6"/>
        <v>0.80293939495704036</v>
      </c>
      <c r="AN53" s="42"/>
      <c r="AO53" s="42"/>
      <c r="AP53" s="42"/>
    </row>
    <row r="54" spans="2:42" x14ac:dyDescent="0.3">
      <c r="B54" s="35">
        <f t="shared" si="9"/>
        <v>54775</v>
      </c>
      <c r="C54" s="33"/>
      <c r="D54" s="33">
        <f t="shared" si="10"/>
        <v>0</v>
      </c>
      <c r="E54" s="33">
        <f t="shared" si="11"/>
        <v>0</v>
      </c>
      <c r="F54" s="33">
        <f t="shared" si="12"/>
        <v>4.6304703784492141E-2</v>
      </c>
      <c r="G54" s="33"/>
      <c r="H54" s="33"/>
      <c r="I54" s="33"/>
      <c r="J54" s="33">
        <f t="shared" si="8"/>
        <v>0.3205558149392963</v>
      </c>
      <c r="K54" s="33">
        <f t="shared" si="13"/>
        <v>0.29248329805125484</v>
      </c>
      <c r="L54" s="33">
        <f t="shared" si="14"/>
        <v>0.34862833182733777</v>
      </c>
      <c r="M54" s="33"/>
      <c r="N54" s="33">
        <f t="shared" si="15"/>
        <v>2.2626134318107453E-2</v>
      </c>
      <c r="O54" s="33">
        <f t="shared" si="16"/>
        <v>0</v>
      </c>
      <c r="P54" s="33">
        <f t="shared" si="17"/>
        <v>0.45798222748945716</v>
      </c>
      <c r="AF54" s="36">
        <f t="shared" si="0"/>
        <v>54775</v>
      </c>
      <c r="AG54" s="34">
        <f t="shared" si="1"/>
        <v>0</v>
      </c>
      <c r="AH54" s="43">
        <f t="shared" si="2"/>
        <v>0</v>
      </c>
      <c r="AI54" s="43"/>
      <c r="AK54" s="34">
        <f t="shared" si="7"/>
        <v>0.80417214236852752</v>
      </c>
      <c r="AL54" s="34">
        <f t="shared" si="5"/>
        <v>0.78257803477153765</v>
      </c>
      <c r="AM54" s="34">
        <f t="shared" si="6"/>
        <v>0.8257662499655174</v>
      </c>
      <c r="AN54" s="42"/>
      <c r="AO54" s="42"/>
      <c r="AP54" s="42"/>
    </row>
    <row r="55" spans="2:42" x14ac:dyDescent="0.3">
      <c r="B55" s="35">
        <f t="shared" si="9"/>
        <v>55140</v>
      </c>
      <c r="C55" s="33"/>
      <c r="D55" s="33">
        <f t="shared" si="10"/>
        <v>0</v>
      </c>
      <c r="E55" s="33">
        <f t="shared" si="11"/>
        <v>0</v>
      </c>
      <c r="F55" s="33">
        <f t="shared" si="12"/>
        <v>4.6866597012820796E-2</v>
      </c>
      <c r="G55" s="33"/>
      <c r="H55" s="33"/>
      <c r="I55" s="33"/>
      <c r="J55" s="33">
        <f t="shared" si="8"/>
        <v>0.32542252003058231</v>
      </c>
      <c r="K55" s="33">
        <f t="shared" si="13"/>
        <v>0.29688671559440061</v>
      </c>
      <c r="L55" s="33">
        <f t="shared" si="14"/>
        <v>0.35395832446676401</v>
      </c>
      <c r="M55" s="33"/>
      <c r="N55" s="33">
        <f t="shared" si="15"/>
        <v>3.7956164308434806E-3</v>
      </c>
      <c r="O55" s="33">
        <f t="shared" si="16"/>
        <v>0</v>
      </c>
      <c r="P55" s="33">
        <f t="shared" si="17"/>
        <v>0.44633300312124791</v>
      </c>
      <c r="Q55" s="38"/>
      <c r="R55" s="38"/>
      <c r="AF55" s="36">
        <f t="shared" si="0"/>
        <v>55140</v>
      </c>
      <c r="AG55" s="34">
        <f>IF(C55=0,D55,C55)</f>
        <v>0</v>
      </c>
      <c r="AH55" s="43">
        <f t="shared" si="2"/>
        <v>0</v>
      </c>
      <c r="AI55" s="43"/>
      <c r="AK55" s="34">
        <f t="shared" si="7"/>
        <v>0.82673183064767042</v>
      </c>
      <c r="AL55" s="34">
        <f t="shared" si="5"/>
        <v>0.80487060811193312</v>
      </c>
      <c r="AM55" s="34">
        <f t="shared" si="6"/>
        <v>0.84859305318340772</v>
      </c>
      <c r="AN55" s="42"/>
      <c r="AO55" s="42"/>
      <c r="AP55" s="42"/>
    </row>
    <row r="56" spans="2:42" x14ac:dyDescent="0.3">
      <c r="B56" s="32"/>
      <c r="C56" s="33"/>
      <c r="D56" s="33"/>
      <c r="E56" s="33"/>
      <c r="F56" s="33"/>
      <c r="G56" s="33"/>
      <c r="H56" s="33"/>
      <c r="I56" s="33"/>
      <c r="J56" s="33"/>
      <c r="K56" s="33"/>
      <c r="L56" s="33"/>
      <c r="O56" s="38"/>
      <c r="P56" s="38"/>
      <c r="Q56" s="38"/>
      <c r="R56" s="38"/>
    </row>
    <row r="57" spans="2:42" x14ac:dyDescent="0.3">
      <c r="O57" s="38"/>
      <c r="P57" s="38"/>
      <c r="Q57" s="38"/>
      <c r="R57" s="38"/>
    </row>
    <row r="58" spans="2:42" x14ac:dyDescent="0.3">
      <c r="O58" s="38"/>
      <c r="P58" s="38"/>
      <c r="Q58" s="38"/>
      <c r="R58" s="38"/>
    </row>
    <row r="59" spans="2:42" x14ac:dyDescent="0.3">
      <c r="O59" s="38"/>
      <c r="P59" s="38"/>
      <c r="Q59" s="38"/>
      <c r="R59" s="38"/>
    </row>
  </sheetData>
  <phoneticPr fontId="20" type="noConversion"/>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D3E43-4402-473E-AD30-2579A4C9CAD5}">
  <dimension ref="A1"/>
  <sheetViews>
    <sheetView workbookViewId="0">
      <selection activeCell="B3" sqref="B3"/>
    </sheetView>
  </sheetViews>
  <sheetFormatPr defaultRowHeight="14.4" x14ac:dyDescent="0.3"/>
  <sheetData>
    <row r="1" spans="1:1" x14ac:dyDescent="0.3">
      <c r="A1" s="1" t="s">
        <v>618</v>
      </c>
    </row>
  </sheetData>
  <hyperlinks>
    <hyperlink ref="A1" r:id="rId1" xr:uid="{B86FE93F-3A2B-4232-921B-D8F4E2F492E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47EC-6A15-4898-B92A-BC1CF24A2597}">
  <dimension ref="B1:G4"/>
  <sheetViews>
    <sheetView workbookViewId="0">
      <selection activeCell="C6" sqref="C6"/>
    </sheetView>
  </sheetViews>
  <sheetFormatPr defaultRowHeight="48.75" customHeight="1" x14ac:dyDescent="0.3"/>
  <cols>
    <col min="2" max="2" width="16.88671875" customWidth="1"/>
    <col min="3" max="3" width="24.44140625" customWidth="1"/>
    <col min="4" max="4" width="44.6640625" bestFit="1" customWidth="1"/>
    <col min="5" max="5" width="16.88671875" bestFit="1" customWidth="1"/>
    <col min="6" max="6" width="118" bestFit="1" customWidth="1"/>
  </cols>
  <sheetData>
    <row r="1" spans="2:7" ht="15" customHeight="1" x14ac:dyDescent="0.3"/>
    <row r="2" spans="2:7" ht="15" customHeight="1" x14ac:dyDescent="0.3">
      <c r="B2" s="3" t="s">
        <v>11</v>
      </c>
      <c r="C2" s="3" t="s">
        <v>0</v>
      </c>
      <c r="D2" s="3" t="s">
        <v>1</v>
      </c>
      <c r="E2" s="3" t="s">
        <v>3</v>
      </c>
      <c r="F2" s="3" t="s">
        <v>2</v>
      </c>
      <c r="G2" s="3" t="s">
        <v>4</v>
      </c>
    </row>
    <row r="3" spans="2:7" ht="48.75" customHeight="1" x14ac:dyDescent="0.3">
      <c r="B3" t="s">
        <v>10</v>
      </c>
      <c r="C3" s="2" t="s">
        <v>12</v>
      </c>
      <c r="D3" t="s">
        <v>6</v>
      </c>
      <c r="E3" t="s">
        <v>7</v>
      </c>
      <c r="F3" s="1" t="s">
        <v>5</v>
      </c>
    </row>
    <row r="4" spans="2:7" ht="48.75" customHeight="1" x14ac:dyDescent="0.3">
      <c r="B4" t="s">
        <v>10</v>
      </c>
      <c r="C4" t="s">
        <v>8</v>
      </c>
      <c r="D4" t="s">
        <v>6</v>
      </c>
      <c r="E4" t="s">
        <v>9</v>
      </c>
      <c r="F4" s="1" t="s">
        <v>5</v>
      </c>
    </row>
  </sheetData>
  <hyperlinks>
    <hyperlink ref="F3" r:id="rId1" xr:uid="{2C89DD6D-C3D2-4421-A223-4FD258071ADA}"/>
    <hyperlink ref="F4" r:id="rId2" xr:uid="{754371BD-A57A-4924-9064-04BA78309E6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5E7A6-CB00-41A2-865C-92946F7BCA6C}">
  <dimension ref="B2:D25"/>
  <sheetViews>
    <sheetView workbookViewId="0">
      <selection activeCell="B26" sqref="B26"/>
    </sheetView>
  </sheetViews>
  <sheetFormatPr defaultRowHeight="14.4" x14ac:dyDescent="0.3"/>
  <cols>
    <col min="2" max="2" width="29.44140625" customWidth="1"/>
    <col min="3" max="3" width="23.6640625" customWidth="1"/>
  </cols>
  <sheetData>
    <row r="2" spans="2:2" x14ac:dyDescent="0.3">
      <c r="B2" t="s">
        <v>773</v>
      </c>
    </row>
    <row r="3" spans="2:2" x14ac:dyDescent="0.3">
      <c r="B3" s="1" t="s">
        <v>774</v>
      </c>
    </row>
    <row r="5" spans="2:2" x14ac:dyDescent="0.3">
      <c r="B5" t="s">
        <v>775</v>
      </c>
    </row>
    <row r="6" spans="2:2" x14ac:dyDescent="0.3">
      <c r="B6" s="1" t="s">
        <v>776</v>
      </c>
    </row>
    <row r="8" spans="2:2" x14ac:dyDescent="0.3">
      <c r="B8" t="s">
        <v>777</v>
      </c>
    </row>
    <row r="9" spans="2:2" x14ac:dyDescent="0.3">
      <c r="B9" s="1" t="s">
        <v>778</v>
      </c>
    </row>
    <row r="11" spans="2:2" x14ac:dyDescent="0.3">
      <c r="B11" t="s">
        <v>779</v>
      </c>
    </row>
    <row r="12" spans="2:2" x14ac:dyDescent="0.3">
      <c r="B12" s="1" t="s">
        <v>780</v>
      </c>
    </row>
    <row r="16" spans="2:2" x14ac:dyDescent="0.3">
      <c r="B16" t="s">
        <v>781</v>
      </c>
    </row>
    <row r="17" spans="2:4" x14ac:dyDescent="0.3">
      <c r="B17" t="s">
        <v>782</v>
      </c>
    </row>
    <row r="20" spans="2:4" x14ac:dyDescent="0.3">
      <c r="B20" t="s">
        <v>784</v>
      </c>
      <c r="C20" t="s">
        <v>783</v>
      </c>
      <c r="D20" t="s">
        <v>785</v>
      </c>
    </row>
    <row r="21" spans="2:4" x14ac:dyDescent="0.3">
      <c r="B21">
        <v>0.7</v>
      </c>
      <c r="C21">
        <v>10290000</v>
      </c>
      <c r="D21">
        <f>B21*C21/100000</f>
        <v>72.03</v>
      </c>
    </row>
    <row r="24" spans="2:4" x14ac:dyDescent="0.3">
      <c r="B24" t="s">
        <v>855</v>
      </c>
    </row>
    <row r="25" spans="2:4" x14ac:dyDescent="0.3">
      <c r="B25" t="s">
        <v>856</v>
      </c>
    </row>
  </sheetData>
  <hyperlinks>
    <hyperlink ref="B3" r:id="rId1" xr:uid="{160EDED4-4C4A-4EE8-97B6-81BFA04764C7}"/>
    <hyperlink ref="B6" r:id="rId2" xr:uid="{6C1A51D9-19F4-48E1-88DB-45A5D0F00214}"/>
    <hyperlink ref="B9" r:id="rId3" xr:uid="{017C3A4A-9772-4528-8F47-8772816E71EA}"/>
    <hyperlink ref="B12" r:id="rId4" xr:uid="{6EFBA1B8-7011-4A05-AC6F-B7A9967B29B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A197D-5062-42E3-8D91-ADFB5E84E883}">
  <dimension ref="B1:AA43"/>
  <sheetViews>
    <sheetView tabSelected="1" zoomScale="60" zoomScaleNormal="60" workbookViewId="0">
      <selection activeCell="J22" sqref="J22"/>
    </sheetView>
  </sheetViews>
  <sheetFormatPr defaultRowHeight="14.4" x14ac:dyDescent="0.3"/>
  <cols>
    <col min="3" max="3" width="39.88671875" customWidth="1"/>
    <col min="4" max="4" width="36.109375" customWidth="1"/>
    <col min="5" max="5" width="15.6640625" bestFit="1" customWidth="1"/>
    <col min="6" max="7" width="15.6640625" customWidth="1"/>
    <col min="8" max="8" width="18" customWidth="1"/>
    <col min="9" max="9" width="13.21875" customWidth="1"/>
    <col min="10" max="10" width="16" customWidth="1"/>
    <col min="11" max="11" width="16.77734375" customWidth="1"/>
    <col min="12" max="12" width="12.44140625" customWidth="1"/>
    <col min="13" max="13" width="18.21875" bestFit="1" customWidth="1"/>
    <col min="14" max="14" width="16.44140625" bestFit="1" customWidth="1"/>
    <col min="15" max="15" width="15.33203125" bestFit="1" customWidth="1"/>
    <col min="16" max="16" width="17.6640625" customWidth="1"/>
    <col min="17" max="17" width="13.109375" customWidth="1"/>
  </cols>
  <sheetData>
    <row r="1" spans="2:17" x14ac:dyDescent="0.3">
      <c r="C1" t="s">
        <v>817</v>
      </c>
      <c r="D1" t="s">
        <v>818</v>
      </c>
    </row>
    <row r="2" spans="2:17" s="2" customFormat="1" ht="54.6" customHeight="1" x14ac:dyDescent="0.3">
      <c r="B2" s="2" t="s">
        <v>799</v>
      </c>
      <c r="C2" s="2" t="s">
        <v>820</v>
      </c>
      <c r="D2" s="2" t="s">
        <v>801</v>
      </c>
      <c r="E2" s="2" t="s">
        <v>802</v>
      </c>
      <c r="F2" s="2" t="s">
        <v>804</v>
      </c>
      <c r="G2" s="2" t="s">
        <v>805</v>
      </c>
      <c r="H2" s="2" t="s">
        <v>803</v>
      </c>
      <c r="I2" s="2" t="s">
        <v>800</v>
      </c>
      <c r="J2" s="2" t="s">
        <v>819</v>
      </c>
      <c r="K2" s="2" t="s">
        <v>850</v>
      </c>
      <c r="L2" s="2" t="s">
        <v>849</v>
      </c>
      <c r="M2" s="2" t="s">
        <v>851</v>
      </c>
      <c r="N2" s="2" t="s">
        <v>860</v>
      </c>
      <c r="O2" s="2" t="s">
        <v>852</v>
      </c>
      <c r="P2" s="2" t="s">
        <v>853</v>
      </c>
      <c r="Q2" s="2" t="s">
        <v>857</v>
      </c>
    </row>
    <row r="3" spans="2:17" x14ac:dyDescent="0.3">
      <c r="B3">
        <v>2014</v>
      </c>
      <c r="C3" s="33">
        <f>0.106</f>
        <v>0.106</v>
      </c>
      <c r="D3" s="50">
        <v>1.7999999999999999E-2</v>
      </c>
      <c r="I3" s="34">
        <f>C3</f>
        <v>0.106</v>
      </c>
      <c r="J3" s="51">
        <f>D3</f>
        <v>1.7999999999999999E-2</v>
      </c>
      <c r="K3" s="43">
        <f>I3*100*365</f>
        <v>3869</v>
      </c>
      <c r="L3" s="43">
        <f>K3*J3</f>
        <v>69.641999999999996</v>
      </c>
      <c r="M3" s="43">
        <v>10374822</v>
      </c>
      <c r="N3" s="43">
        <f>M3/100000*K3</f>
        <v>401401.86317999999</v>
      </c>
      <c r="O3" s="43">
        <f>M3/100000*L3</f>
        <v>7225.2335372400003</v>
      </c>
      <c r="P3" s="43">
        <f>O3*Costs!$H$7</f>
        <v>17048877.811477624</v>
      </c>
      <c r="Q3" s="43">
        <f>(0.4214-0.2116)*O3</f>
        <v>1515.853996112952</v>
      </c>
    </row>
    <row r="4" spans="2:17" x14ac:dyDescent="0.3">
      <c r="B4">
        <v>2015</v>
      </c>
      <c r="C4" s="33">
        <f>0.1</f>
        <v>0.1</v>
      </c>
      <c r="D4" s="50">
        <v>3.4000000000000002E-2</v>
      </c>
      <c r="I4" s="34">
        <f t="shared" ref="I4:I9" si="0">C4</f>
        <v>0.1</v>
      </c>
      <c r="J4" s="51">
        <f t="shared" ref="J4:J6" si="1">D4</f>
        <v>3.4000000000000002E-2</v>
      </c>
      <c r="K4" s="43">
        <f t="shared" ref="K4:K19" si="2">I4*100*365</f>
        <v>3650</v>
      </c>
      <c r="L4" s="43">
        <f t="shared" ref="L4:L18" si="3">K4*J4</f>
        <v>124.10000000000001</v>
      </c>
      <c r="M4" s="43">
        <v>10341330</v>
      </c>
      <c r="N4" s="43">
        <f t="shared" ref="N4:N19" si="4">M4/100000*K4</f>
        <v>377458.54500000004</v>
      </c>
      <c r="O4" s="43">
        <f t="shared" ref="O4:O19" si="5">M4/100000*L4</f>
        <v>12833.590530000001</v>
      </c>
      <c r="P4" s="43">
        <f>O4*Costs!$H$7</f>
        <v>30282525.222303905</v>
      </c>
      <c r="Q4" s="43">
        <f t="shared" ref="Q4:Q19" si="6">(0.4214-0.2116)*O4</f>
        <v>2692.4872931939999</v>
      </c>
    </row>
    <row r="5" spans="2:17" x14ac:dyDescent="0.3">
      <c r="B5">
        <v>2016</v>
      </c>
      <c r="C5" s="33">
        <f>0.092</f>
        <v>9.1999999999999998E-2</v>
      </c>
      <c r="D5" s="50">
        <v>5.1999999999999998E-2</v>
      </c>
      <c r="I5" s="34">
        <f t="shared" si="0"/>
        <v>9.1999999999999998E-2</v>
      </c>
      <c r="J5" s="51">
        <f t="shared" si="1"/>
        <v>5.1999999999999998E-2</v>
      </c>
      <c r="K5" s="43">
        <f t="shared" si="2"/>
        <v>3357.9999999999995</v>
      </c>
      <c r="L5" s="43">
        <f t="shared" si="3"/>
        <v>174.61599999999996</v>
      </c>
      <c r="M5" s="43">
        <v>10309573</v>
      </c>
      <c r="N5" s="43">
        <f t="shared" si="4"/>
        <v>346195.46133999998</v>
      </c>
      <c r="O5" s="43">
        <f t="shared" si="5"/>
        <v>18002.163989679997</v>
      </c>
      <c r="P5" s="43">
        <f>O5*Costs!$H$7</f>
        <v>42478446.214968614</v>
      </c>
      <c r="Q5" s="43">
        <f t="shared" si="6"/>
        <v>3776.8540050348633</v>
      </c>
    </row>
    <row r="6" spans="2:17" x14ac:dyDescent="0.3">
      <c r="B6">
        <v>2017</v>
      </c>
      <c r="C6" s="33">
        <f>0.083</f>
        <v>8.3000000000000004E-2</v>
      </c>
      <c r="D6" s="50">
        <v>8.5999999999999993E-2</v>
      </c>
      <c r="H6" s="51">
        <f>D6</f>
        <v>8.5999999999999993E-2</v>
      </c>
      <c r="I6" s="34">
        <f t="shared" si="0"/>
        <v>8.3000000000000004E-2</v>
      </c>
      <c r="J6" s="51">
        <f t="shared" si="1"/>
        <v>8.5999999999999993E-2</v>
      </c>
      <c r="K6" s="43">
        <f t="shared" si="2"/>
        <v>3029.5000000000005</v>
      </c>
      <c r="L6" s="43">
        <f t="shared" si="3"/>
        <v>260.53700000000003</v>
      </c>
      <c r="M6" s="43">
        <v>10291027</v>
      </c>
      <c r="N6" s="43">
        <f t="shared" si="4"/>
        <v>311766.66296500002</v>
      </c>
      <c r="O6" s="43">
        <f t="shared" si="5"/>
        <v>26811.933014990002</v>
      </c>
      <c r="P6" s="43">
        <f>O6*Costs!$H$7</f>
        <v>63266241.500160858</v>
      </c>
      <c r="Q6" s="43">
        <f t="shared" si="6"/>
        <v>5625.1435465449022</v>
      </c>
    </row>
    <row r="7" spans="2:17" x14ac:dyDescent="0.3">
      <c r="B7">
        <v>2018</v>
      </c>
      <c r="C7">
        <f>Análise!C23</f>
        <v>8.1000000000000003E-2</v>
      </c>
      <c r="H7" s="49">
        <f>-0.271*LN(IF(C7&gt;0,C7,E7))-0.5966</f>
        <v>8.4505959687928178E-2</v>
      </c>
      <c r="I7" s="34">
        <f t="shared" si="0"/>
        <v>8.1000000000000003E-2</v>
      </c>
      <c r="J7" s="52">
        <f>H7</f>
        <v>8.4505959687928178E-2</v>
      </c>
      <c r="K7" s="43">
        <f t="shared" si="2"/>
        <v>2956.5</v>
      </c>
      <c r="L7" s="43">
        <f t="shared" si="3"/>
        <v>249.84186981735965</v>
      </c>
      <c r="M7" s="43">
        <v>10276617</v>
      </c>
      <c r="N7" s="43">
        <f t="shared" si="4"/>
        <v>303828.18160499999</v>
      </c>
      <c r="O7" s="43">
        <f t="shared" si="5"/>
        <v>25675.292066768652</v>
      </c>
      <c r="P7" s="43">
        <f>O7*Costs!$H$7</f>
        <v>60584189.419509314</v>
      </c>
      <c r="Q7" s="43">
        <f t="shared" si="6"/>
        <v>5386.6762756080625</v>
      </c>
    </row>
    <row r="8" spans="2:17" x14ac:dyDescent="0.3">
      <c r="B8">
        <f>B7+1</f>
        <v>2019</v>
      </c>
      <c r="C8">
        <f>Análise!C24</f>
        <v>7.4999999999999997E-2</v>
      </c>
      <c r="H8" s="49">
        <f t="shared" ref="H8:H19" si="7">-0.271*LN(IF(C8&gt;0,C8,E8))-0.5966</f>
        <v>0.10536240183581902</v>
      </c>
      <c r="I8" s="34">
        <f t="shared" si="0"/>
        <v>7.4999999999999997E-2</v>
      </c>
      <c r="J8" s="52">
        <f t="shared" ref="J8:J19" si="8">H8</f>
        <v>0.10536240183581902</v>
      </c>
      <c r="K8" s="43">
        <f t="shared" si="2"/>
        <v>2737.5</v>
      </c>
      <c r="L8" s="43">
        <f t="shared" si="3"/>
        <v>288.42957502555458</v>
      </c>
      <c r="M8" s="43">
        <v>10295909</v>
      </c>
      <c r="N8" s="43">
        <f t="shared" si="4"/>
        <v>281850.508875</v>
      </c>
      <c r="O8" s="43">
        <f t="shared" si="5"/>
        <v>29696.446573717829</v>
      </c>
      <c r="P8" s="43">
        <f>O8*Costs!$H$7</f>
        <v>70072626.22874181</v>
      </c>
      <c r="Q8" s="43">
        <f t="shared" si="6"/>
        <v>6230.3144911660002</v>
      </c>
    </row>
    <row r="9" spans="2:17" x14ac:dyDescent="0.3">
      <c r="B9">
        <f t="shared" ref="B9:B19" si="9">B8+1</f>
        <v>2020</v>
      </c>
      <c r="C9">
        <f>Análise!C25</f>
        <v>8.1000000000000003E-2</v>
      </c>
      <c r="E9">
        <f>C9</f>
        <v>8.1000000000000003E-2</v>
      </c>
      <c r="F9">
        <f>E9</f>
        <v>8.1000000000000003E-2</v>
      </c>
      <c r="G9">
        <f>F9</f>
        <v>8.1000000000000003E-2</v>
      </c>
      <c r="H9" s="49">
        <f t="shared" si="7"/>
        <v>8.4505959687928178E-2</v>
      </c>
      <c r="I9" s="34">
        <f t="shared" si="0"/>
        <v>8.1000000000000003E-2</v>
      </c>
      <c r="J9" s="52">
        <f t="shared" si="8"/>
        <v>8.4505959687928178E-2</v>
      </c>
      <c r="K9" s="43">
        <f t="shared" si="2"/>
        <v>2956.5</v>
      </c>
      <c r="L9" s="43">
        <f t="shared" si="3"/>
        <v>249.84186981735965</v>
      </c>
      <c r="M9" s="43">
        <v>10298252</v>
      </c>
      <c r="N9" s="43">
        <f t="shared" si="4"/>
        <v>304467.82037999999</v>
      </c>
      <c r="O9" s="43">
        <f t="shared" si="5"/>
        <v>25729.345355303634</v>
      </c>
      <c r="P9" s="43">
        <f>O9*Costs!$H$7</f>
        <v>60711735.180735119</v>
      </c>
      <c r="Q9" s="43">
        <f t="shared" si="6"/>
        <v>5398.0166555427022</v>
      </c>
    </row>
    <row r="10" spans="2:17" x14ac:dyDescent="0.3">
      <c r="B10">
        <f t="shared" si="9"/>
        <v>2021</v>
      </c>
      <c r="E10">
        <f>Análise!D26</f>
        <v>7.140221957033685E-2</v>
      </c>
      <c r="F10">
        <f>Análise!E26</f>
        <v>5.7724048317230547E-2</v>
      </c>
      <c r="G10">
        <f>Análise!F26</f>
        <v>8.5080390823443153E-2</v>
      </c>
      <c r="H10" s="49">
        <f t="shared" si="7"/>
        <v>0.11868453372283216</v>
      </c>
      <c r="I10" s="34">
        <f>E10</f>
        <v>7.140221957033685E-2</v>
      </c>
      <c r="J10" s="52">
        <f t="shared" si="8"/>
        <v>0.11868453372283216</v>
      </c>
      <c r="K10" s="43">
        <f t="shared" si="2"/>
        <v>2606.1810143172947</v>
      </c>
      <c r="L10" s="43">
        <f t="shared" si="3"/>
        <v>309.3133784815459</v>
      </c>
      <c r="M10" s="43">
        <f t="shared" ref="M10:M19" si="10">_xlfn.FORECAST.ETS(B10,$M$3:$M$9,$B$3:$B$9,1,1,1)</f>
        <v>10285626.714285715</v>
      </c>
      <c r="N10" s="43">
        <f t="shared" si="4"/>
        <v>268062.05063126207</v>
      </c>
      <c r="O10" s="43">
        <f t="shared" si="5"/>
        <v>31814.819487957568</v>
      </c>
      <c r="P10" s="43">
        <f>O10*Costs!$H$7</f>
        <v>75071202.508369312</v>
      </c>
      <c r="Q10" s="43">
        <f t="shared" si="6"/>
        <v>6674.7491285734968</v>
      </c>
    </row>
    <row r="11" spans="2:17" x14ac:dyDescent="0.3">
      <c r="B11">
        <f t="shared" si="9"/>
        <v>2022</v>
      </c>
      <c r="E11">
        <f>Análise!D27</f>
        <v>6.6702122663322094E-2</v>
      </c>
      <c r="F11">
        <f>Análise!E27</f>
        <v>5.1403340342567688E-2</v>
      </c>
      <c r="G11">
        <f>Análise!F27</f>
        <v>8.20009049840765E-2</v>
      </c>
      <c r="H11" s="49">
        <f t="shared" si="7"/>
        <v>0.13713751418539166</v>
      </c>
      <c r="I11" s="34">
        <f t="shared" ref="I11:I19" si="11">E11</f>
        <v>6.6702122663322094E-2</v>
      </c>
      <c r="J11" s="52">
        <f t="shared" si="8"/>
        <v>0.13713751418539166</v>
      </c>
      <c r="K11" s="43">
        <f t="shared" si="2"/>
        <v>2434.6274772112561</v>
      </c>
      <c r="L11" s="43">
        <f t="shared" si="3"/>
        <v>333.87876019220295</v>
      </c>
      <c r="M11" s="43">
        <f t="shared" si="10"/>
        <v>10273001.428571429</v>
      </c>
      <c r="N11" s="43">
        <f t="shared" si="4"/>
        <v>250109.31551430488</v>
      </c>
      <c r="O11" s="43">
        <f t="shared" si="5"/>
        <v>34299.369804241585</v>
      </c>
      <c r="P11" s="43">
        <f>O11*Costs!$H$7</f>
        <v>80933821.97118257</v>
      </c>
      <c r="Q11" s="43">
        <f t="shared" si="6"/>
        <v>7196.0077849298841</v>
      </c>
    </row>
    <row r="12" spans="2:17" x14ac:dyDescent="0.3">
      <c r="B12">
        <f t="shared" si="9"/>
        <v>2023</v>
      </c>
      <c r="E12">
        <f>Análise!D28</f>
        <v>5.9456262851524784E-2</v>
      </c>
      <c r="F12">
        <f>Análise!E28</f>
        <v>4.268722096439577E-2</v>
      </c>
      <c r="G12">
        <f>Análise!F28</f>
        <v>7.6225304738653799E-2</v>
      </c>
      <c r="H12" s="49">
        <f t="shared" si="7"/>
        <v>0.16830137932667599</v>
      </c>
      <c r="I12" s="34">
        <f t="shared" si="11"/>
        <v>5.9456262851524784E-2</v>
      </c>
      <c r="J12" s="52">
        <f t="shared" si="8"/>
        <v>0.16830137932667599</v>
      </c>
      <c r="K12" s="43">
        <f t="shared" si="2"/>
        <v>2170.1535940806548</v>
      </c>
      <c r="L12" s="43">
        <f t="shared" si="3"/>
        <v>365.23984323451754</v>
      </c>
      <c r="M12" s="43">
        <f t="shared" si="10"/>
        <v>10260376.142857144</v>
      </c>
      <c r="N12" s="43">
        <f t="shared" si="4"/>
        <v>222665.92163040835</v>
      </c>
      <c r="O12" s="43">
        <f t="shared" si="5"/>
        <v>37474.981739443268</v>
      </c>
      <c r="P12" s="43">
        <f>O12*Costs!$H$7</f>
        <v>88427091.161842525</v>
      </c>
      <c r="Q12" s="43">
        <f t="shared" si="6"/>
        <v>7862.2511689351968</v>
      </c>
    </row>
    <row r="13" spans="2:17" x14ac:dyDescent="0.3">
      <c r="B13">
        <f t="shared" si="9"/>
        <v>2024</v>
      </c>
      <c r="E13">
        <f>Análise!D29</f>
        <v>5.8570679946204962E-2</v>
      </c>
      <c r="F13">
        <f>Análise!E29</f>
        <v>4.044866335094488E-2</v>
      </c>
      <c r="G13">
        <f>Análise!F29</f>
        <v>7.6692696541465044E-2</v>
      </c>
      <c r="H13" s="49">
        <f t="shared" si="7"/>
        <v>0.17236820450312695</v>
      </c>
      <c r="I13" s="34">
        <f t="shared" si="11"/>
        <v>5.8570679946204962E-2</v>
      </c>
      <c r="J13" s="52">
        <f t="shared" si="8"/>
        <v>0.17236820450312695</v>
      </c>
      <c r="K13" s="43">
        <f t="shared" si="2"/>
        <v>2137.8298180364809</v>
      </c>
      <c r="L13" s="43">
        <f t="shared" si="3"/>
        <v>368.49388726819484</v>
      </c>
      <c r="M13" s="43">
        <f t="shared" si="10"/>
        <v>10247750.857142856</v>
      </c>
      <c r="N13" s="43">
        <f t="shared" si="4"/>
        <v>219079.47350208904</v>
      </c>
      <c r="O13" s="43">
        <f t="shared" si="5"/>
        <v>37762.335491045465</v>
      </c>
      <c r="P13" s="43">
        <f>O13*Costs!$H$7</f>
        <v>89105139.694735616</v>
      </c>
      <c r="Q13" s="43">
        <f t="shared" si="6"/>
        <v>7922.5379860213379</v>
      </c>
    </row>
    <row r="14" spans="2:17" x14ac:dyDescent="0.3">
      <c r="B14">
        <f t="shared" si="9"/>
        <v>2025</v>
      </c>
      <c r="E14">
        <f>Análise!D30</f>
        <v>5.6055887708733577E-2</v>
      </c>
      <c r="F14">
        <f>Análise!E30</f>
        <v>3.6666945753814434E-2</v>
      </c>
      <c r="G14">
        <f>Análise!F30</f>
        <v>7.5444829663652721E-2</v>
      </c>
      <c r="H14" s="49">
        <f t="shared" si="7"/>
        <v>0.1842610506918666</v>
      </c>
      <c r="I14" s="34">
        <f t="shared" si="11"/>
        <v>5.6055887708733577E-2</v>
      </c>
      <c r="J14" s="52">
        <f t="shared" si="8"/>
        <v>0.1842610506918666</v>
      </c>
      <c r="K14" s="43">
        <f t="shared" si="2"/>
        <v>2046.0399013687756</v>
      </c>
      <c r="L14" s="43">
        <f t="shared" si="3"/>
        <v>377.00546198369369</v>
      </c>
      <c r="M14" s="43">
        <f t="shared" si="10"/>
        <v>10235125.571428571</v>
      </c>
      <c r="N14" s="43">
        <f t="shared" si="4"/>
        <v>209414.75314662748</v>
      </c>
      <c r="O14" s="43">
        <f t="shared" si="5"/>
        <v>38586.982445175454</v>
      </c>
      <c r="P14" s="43">
        <f>O14*Costs!$H$7</f>
        <v>91051001.387109354</v>
      </c>
      <c r="Q14" s="43">
        <f t="shared" si="6"/>
        <v>8095.54891699781</v>
      </c>
    </row>
    <row r="15" spans="2:17" x14ac:dyDescent="0.3">
      <c r="B15">
        <f t="shared" si="9"/>
        <v>2026</v>
      </c>
      <c r="E15">
        <f>Análise!D31</f>
        <v>5.7855901973488867E-2</v>
      </c>
      <c r="F15">
        <f>Análise!E31</f>
        <v>3.7273293190906234E-2</v>
      </c>
      <c r="G15">
        <f>Análise!F31</f>
        <v>7.84385107560715E-2</v>
      </c>
      <c r="H15" s="49">
        <f t="shared" si="7"/>
        <v>0.17569574811236355</v>
      </c>
      <c r="I15" s="34">
        <f t="shared" si="11"/>
        <v>5.7855901973488867E-2</v>
      </c>
      <c r="J15" s="52">
        <f t="shared" si="8"/>
        <v>0.17569574811236355</v>
      </c>
      <c r="K15" s="43">
        <f t="shared" si="2"/>
        <v>2111.7404220323438</v>
      </c>
      <c r="L15" s="43">
        <f t="shared" si="3"/>
        <v>371.02381326809098</v>
      </c>
      <c r="M15" s="43">
        <f t="shared" si="10"/>
        <v>10222500.285714285</v>
      </c>
      <c r="N15" s="43">
        <f t="shared" si="4"/>
        <v>215872.67067580039</v>
      </c>
      <c r="O15" s="43">
        <f t="shared" si="5"/>
        <v>37927.910371398633</v>
      </c>
      <c r="P15" s="43">
        <f>O15*Costs!$H$7</f>
        <v>89495835.149663359</v>
      </c>
      <c r="Q15" s="43">
        <f t="shared" si="6"/>
        <v>7957.2755959194328</v>
      </c>
    </row>
    <row r="16" spans="2:17" x14ac:dyDescent="0.3">
      <c r="B16">
        <f t="shared" si="9"/>
        <v>2027</v>
      </c>
      <c r="E16">
        <f>Análise!D32</f>
        <v>4.8297720318869329E-2</v>
      </c>
      <c r="F16">
        <f>Análise!E32</f>
        <v>2.3554544394178568E-2</v>
      </c>
      <c r="G16">
        <f>Análise!F32</f>
        <v>7.3040896243560083E-2</v>
      </c>
      <c r="H16" s="49">
        <f t="shared" si="7"/>
        <v>0.22463051872504192</v>
      </c>
      <c r="I16" s="34">
        <f t="shared" si="11"/>
        <v>4.8297720318869329E-2</v>
      </c>
      <c r="J16" s="52">
        <f t="shared" si="8"/>
        <v>0.22463051872504192</v>
      </c>
      <c r="K16" s="43">
        <f t="shared" si="2"/>
        <v>1762.8667916387305</v>
      </c>
      <c r="L16" s="43">
        <f t="shared" si="3"/>
        <v>395.99368184895843</v>
      </c>
      <c r="M16" s="43">
        <f t="shared" si="10"/>
        <v>10209875</v>
      </c>
      <c r="N16" s="43">
        <f t="shared" si="4"/>
        <v>179986.49584282484</v>
      </c>
      <c r="O16" s="43">
        <f t="shared" si="5"/>
        <v>40430.459924676346</v>
      </c>
      <c r="P16" s="43">
        <f>O16*Costs!$H$7</f>
        <v>95400926.152064055</v>
      </c>
      <c r="Q16" s="43">
        <f t="shared" si="6"/>
        <v>8482.3104921970971</v>
      </c>
    </row>
    <row r="17" spans="2:27" x14ac:dyDescent="0.3">
      <c r="B17">
        <f t="shared" si="9"/>
        <v>2028</v>
      </c>
      <c r="E17">
        <f>Análise!D33</f>
        <v>4.3597034623184622E-2</v>
      </c>
      <c r="F17">
        <f>Análise!E33</f>
        <v>1.7895447428647192E-2</v>
      </c>
      <c r="G17">
        <f>Análise!F33</f>
        <v>6.9298621817722048E-2</v>
      </c>
      <c r="H17" s="49">
        <f t="shared" si="7"/>
        <v>0.25237962507003298</v>
      </c>
      <c r="I17" s="34">
        <f t="shared" si="11"/>
        <v>4.3597034623184622E-2</v>
      </c>
      <c r="J17" s="52">
        <f t="shared" si="8"/>
        <v>0.25237962507003298</v>
      </c>
      <c r="K17" s="43">
        <f t="shared" si="2"/>
        <v>1591.2917637462388</v>
      </c>
      <c r="L17" s="43">
        <f t="shared" si="3"/>
        <v>401.60961871130723</v>
      </c>
      <c r="M17" s="43">
        <f t="shared" si="10"/>
        <v>10197249.714285715</v>
      </c>
      <c r="N17" s="43">
        <f t="shared" si="4"/>
        <v>162267.99483206545</v>
      </c>
      <c r="O17" s="43">
        <f t="shared" si="5"/>
        <v>40953.135696582729</v>
      </c>
      <c r="P17" s="43">
        <f>O17*Costs!$H$7</f>
        <v>96634247.583727509</v>
      </c>
      <c r="Q17" s="43">
        <f t="shared" si="6"/>
        <v>8591.9678691430563</v>
      </c>
    </row>
    <row r="18" spans="2:27" x14ac:dyDescent="0.3">
      <c r="B18">
        <f t="shared" si="9"/>
        <v>2029</v>
      </c>
      <c r="E18">
        <f>Análise!D34</f>
        <v>3.6365194563166003E-2</v>
      </c>
      <c r="F18">
        <f>Análise!E34</f>
        <v>9.7409268952235312E-3</v>
      </c>
      <c r="G18">
        <f>Análise!F34</f>
        <v>6.2989462231108476E-2</v>
      </c>
      <c r="H18" s="49">
        <f t="shared" si="7"/>
        <v>0.30153279503305297</v>
      </c>
      <c r="I18" s="34">
        <f t="shared" si="11"/>
        <v>3.6365194563166003E-2</v>
      </c>
      <c r="J18" s="52">
        <f t="shared" si="8"/>
        <v>0.30153279503305297</v>
      </c>
      <c r="K18" s="43">
        <f t="shared" si="2"/>
        <v>1327.3296015555591</v>
      </c>
      <c r="L18" s="43">
        <f t="shared" si="3"/>
        <v>400.23340468715628</v>
      </c>
      <c r="M18" s="43">
        <f t="shared" si="10"/>
        <v>10184624.428571429</v>
      </c>
      <c r="N18" s="43">
        <f t="shared" si="4"/>
        <v>135183.53484768729</v>
      </c>
      <c r="O18" s="43">
        <f t="shared" si="5"/>
        <v>40762.269105071267</v>
      </c>
      <c r="P18" s="43">
        <f>O18*Costs!$H$7</f>
        <v>96183873.048399314</v>
      </c>
      <c r="Q18" s="43">
        <f t="shared" si="6"/>
        <v>8551.9240582439506</v>
      </c>
    </row>
    <row r="19" spans="2:27" x14ac:dyDescent="0.3">
      <c r="B19">
        <f t="shared" si="9"/>
        <v>2030</v>
      </c>
      <c r="E19">
        <f>Análise!D35</f>
        <v>3.5442347865492198E-2</v>
      </c>
      <c r="F19">
        <f>Análise!E35</f>
        <v>7.9228517895924E-3</v>
      </c>
      <c r="G19">
        <f>Análise!F35</f>
        <v>6.2961843941391996E-2</v>
      </c>
      <c r="H19" s="49">
        <f t="shared" si="7"/>
        <v>0.30849878263801067</v>
      </c>
      <c r="I19" s="34">
        <f t="shared" si="11"/>
        <v>3.5442347865492198E-2</v>
      </c>
      <c r="J19" s="52">
        <f t="shared" si="8"/>
        <v>0.30849878263801067</v>
      </c>
      <c r="K19" s="43">
        <f t="shared" si="2"/>
        <v>1293.6456970904653</v>
      </c>
      <c r="L19" s="43">
        <f>K19*J19</f>
        <v>399.08812271730926</v>
      </c>
      <c r="M19" s="43">
        <f t="shared" si="10"/>
        <v>10171999.142857144</v>
      </c>
      <c r="N19" s="43">
        <f t="shared" si="4"/>
        <v>131589.62921965044</v>
      </c>
      <c r="O19" s="43">
        <f t="shared" si="5"/>
        <v>40595.240422049363</v>
      </c>
      <c r="P19" s="43">
        <f>O19*Costs!$H$7</f>
        <v>95789747.157080337</v>
      </c>
      <c r="Q19" s="43">
        <f t="shared" si="6"/>
        <v>8516.8814405459561</v>
      </c>
    </row>
    <row r="22" spans="2:27" x14ac:dyDescent="0.3">
      <c r="J22" t="s">
        <v>806</v>
      </c>
    </row>
    <row r="23" spans="2:27" x14ac:dyDescent="0.3">
      <c r="P23" s="56"/>
      <c r="Q23" s="56"/>
      <c r="R23" s="56"/>
    </row>
    <row r="24" spans="2:27" x14ac:dyDescent="0.3">
      <c r="K24" t="s">
        <v>800</v>
      </c>
      <c r="P24" s="56"/>
      <c r="Q24" s="56"/>
      <c r="R24" s="56"/>
    </row>
    <row r="25" spans="2:27" x14ac:dyDescent="0.3">
      <c r="K25" t="s">
        <v>810</v>
      </c>
      <c r="P25" s="56"/>
      <c r="Q25" s="56"/>
      <c r="R25" s="56"/>
    </row>
    <row r="26" spans="2:27" x14ac:dyDescent="0.3">
      <c r="O26" s="56"/>
      <c r="P26" s="56"/>
      <c r="Q26" s="56"/>
      <c r="R26" s="57"/>
      <c r="S26" s="2"/>
      <c r="T26" s="57"/>
      <c r="U26" s="2"/>
      <c r="V26" s="2"/>
      <c r="W26" s="2"/>
      <c r="X26" s="2"/>
      <c r="Y26" s="2"/>
      <c r="Z26" s="2"/>
      <c r="AA26" s="2"/>
    </row>
    <row r="27" spans="2:27" x14ac:dyDescent="0.3">
      <c r="J27" t="s">
        <v>807</v>
      </c>
      <c r="S27" s="34"/>
      <c r="T27" s="51"/>
      <c r="U27" s="43"/>
      <c r="V27" s="43"/>
      <c r="W27" s="43"/>
      <c r="X27" s="43"/>
      <c r="Y27" s="43"/>
      <c r="Z27" s="43"/>
      <c r="AA27" s="43"/>
    </row>
    <row r="28" spans="2:27" x14ac:dyDescent="0.3">
      <c r="S28" s="34"/>
      <c r="T28" s="51"/>
      <c r="U28" s="43"/>
      <c r="V28" s="43"/>
      <c r="W28" s="43"/>
      <c r="X28" s="43"/>
      <c r="Y28" s="43"/>
      <c r="Z28" s="43"/>
      <c r="AA28" s="43"/>
    </row>
    <row r="29" spans="2:27" x14ac:dyDescent="0.3">
      <c r="K29" t="s">
        <v>811</v>
      </c>
      <c r="S29" s="34"/>
      <c r="T29" s="51"/>
      <c r="U29" s="43"/>
      <c r="V29" s="43"/>
      <c r="W29" s="43"/>
      <c r="X29" s="43"/>
      <c r="Y29" s="43"/>
      <c r="Z29" s="43"/>
      <c r="AA29" s="43"/>
    </row>
    <row r="30" spans="2:27" x14ac:dyDescent="0.3">
      <c r="S30" s="34"/>
      <c r="T30" s="51"/>
      <c r="U30" s="43"/>
      <c r="V30" s="43"/>
      <c r="W30" s="43"/>
      <c r="X30" s="43"/>
      <c r="Y30" s="43"/>
      <c r="Z30" s="43"/>
      <c r="AA30" s="43"/>
    </row>
    <row r="31" spans="2:27" x14ac:dyDescent="0.3">
      <c r="J31" t="s">
        <v>808</v>
      </c>
      <c r="S31" s="34"/>
      <c r="T31" s="52"/>
      <c r="U31" s="43"/>
      <c r="V31" s="43"/>
      <c r="W31" s="43"/>
      <c r="X31" s="43"/>
      <c r="Y31" s="43"/>
      <c r="Z31" s="43"/>
      <c r="AA31" s="43"/>
    </row>
    <row r="32" spans="2:27" x14ac:dyDescent="0.3">
      <c r="S32" s="34"/>
      <c r="T32" s="52"/>
      <c r="U32" s="43"/>
      <c r="V32" s="43"/>
      <c r="W32" s="43"/>
      <c r="X32" s="43"/>
      <c r="Y32" s="43"/>
      <c r="Z32" s="43"/>
      <c r="AA32" s="43"/>
    </row>
    <row r="33" spans="10:27" x14ac:dyDescent="0.3">
      <c r="K33" t="s">
        <v>812</v>
      </c>
      <c r="S33" s="34"/>
      <c r="T33" s="52"/>
      <c r="U33" s="43"/>
      <c r="V33" s="43"/>
      <c r="W33" s="43"/>
      <c r="X33" s="43"/>
      <c r="Y33" s="43"/>
      <c r="Z33" s="43"/>
      <c r="AA33" s="43"/>
    </row>
    <row r="34" spans="10:27" x14ac:dyDescent="0.3">
      <c r="S34" s="34"/>
      <c r="T34" s="52"/>
      <c r="U34" s="43"/>
      <c r="V34" s="43"/>
      <c r="W34" s="43"/>
      <c r="X34" s="43"/>
      <c r="Y34" s="43"/>
      <c r="Z34" s="43"/>
      <c r="AA34" s="43"/>
    </row>
    <row r="35" spans="10:27" x14ac:dyDescent="0.3">
      <c r="J35" t="s">
        <v>809</v>
      </c>
      <c r="S35" s="34"/>
      <c r="T35" s="52"/>
      <c r="U35" s="43"/>
      <c r="V35" s="43"/>
      <c r="W35" s="43"/>
      <c r="X35" s="43"/>
      <c r="Y35" s="43"/>
      <c r="Z35" s="43"/>
      <c r="AA35" s="43"/>
    </row>
    <row r="36" spans="10:27" x14ac:dyDescent="0.3">
      <c r="S36" s="34"/>
      <c r="T36" s="52"/>
      <c r="U36" s="43"/>
      <c r="V36" s="43"/>
      <c r="W36" s="43"/>
      <c r="X36" s="43"/>
      <c r="Y36" s="43"/>
      <c r="Z36" s="43"/>
      <c r="AA36" s="43"/>
    </row>
    <row r="37" spans="10:27" x14ac:dyDescent="0.3">
      <c r="K37" t="s">
        <v>813</v>
      </c>
      <c r="S37" s="34"/>
      <c r="T37" s="52"/>
      <c r="U37" s="43"/>
      <c r="V37" s="43"/>
      <c r="W37" s="43"/>
      <c r="X37" s="43"/>
      <c r="Y37" s="43"/>
      <c r="Z37" s="43"/>
      <c r="AA37" s="43"/>
    </row>
    <row r="38" spans="10:27" x14ac:dyDescent="0.3">
      <c r="S38" s="34"/>
      <c r="T38" s="52"/>
      <c r="U38" s="43"/>
      <c r="V38" s="43"/>
      <c r="W38" s="43"/>
      <c r="X38" s="43"/>
      <c r="Y38" s="43"/>
      <c r="Z38" s="43"/>
      <c r="AA38" s="43"/>
    </row>
    <row r="39" spans="10:27" x14ac:dyDescent="0.3">
      <c r="J39" t="s">
        <v>814</v>
      </c>
      <c r="S39" s="34"/>
      <c r="T39" s="52"/>
      <c r="U39" s="43"/>
      <c r="V39" s="43"/>
      <c r="W39" s="43"/>
      <c r="X39" s="43"/>
      <c r="Y39" s="43"/>
      <c r="Z39" s="43"/>
      <c r="AA39" s="43"/>
    </row>
    <row r="40" spans="10:27" x14ac:dyDescent="0.3">
      <c r="S40" s="34"/>
      <c r="T40" s="52"/>
      <c r="U40" s="43"/>
      <c r="V40" s="43"/>
      <c r="W40" s="43"/>
      <c r="X40" s="43"/>
      <c r="Y40" s="43"/>
      <c r="Z40" s="43"/>
      <c r="AA40" s="43"/>
    </row>
    <row r="41" spans="10:27" x14ac:dyDescent="0.3">
      <c r="K41" t="s">
        <v>815</v>
      </c>
      <c r="S41" s="34"/>
      <c r="T41" s="52"/>
      <c r="U41" s="43"/>
      <c r="V41" s="43"/>
      <c r="W41" s="43"/>
      <c r="X41" s="43"/>
      <c r="Y41" s="43"/>
      <c r="Z41" s="43"/>
      <c r="AA41" s="43"/>
    </row>
    <row r="42" spans="10:27" x14ac:dyDescent="0.3">
      <c r="K42" t="s">
        <v>816</v>
      </c>
      <c r="S42" s="34"/>
      <c r="T42" s="52"/>
      <c r="U42" s="43"/>
      <c r="V42" s="43"/>
      <c r="W42" s="43"/>
      <c r="X42" s="43"/>
      <c r="Y42" s="43"/>
      <c r="Z42" s="43"/>
      <c r="AA42" s="43"/>
    </row>
    <row r="43" spans="10:27" x14ac:dyDescent="0.3">
      <c r="S43" s="34"/>
      <c r="T43" s="52"/>
      <c r="U43" s="43"/>
      <c r="V43" s="43"/>
      <c r="W43" s="43"/>
      <c r="X43" s="43"/>
      <c r="Y43" s="43"/>
      <c r="Z43" s="43"/>
      <c r="AA43" s="4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3515-A25E-474E-89BF-7C39D56D465D}">
  <dimension ref="A1:K14"/>
  <sheetViews>
    <sheetView workbookViewId="0">
      <selection activeCell="H7" sqref="H7"/>
    </sheetView>
  </sheetViews>
  <sheetFormatPr defaultRowHeight="14.4" x14ac:dyDescent="0.3"/>
  <cols>
    <col min="3" max="3" width="10.5546875" bestFit="1" customWidth="1"/>
    <col min="4" max="4" width="11" bestFit="1" customWidth="1"/>
    <col min="5" max="5" width="10" bestFit="1" customWidth="1"/>
    <col min="6" max="6" width="12" bestFit="1" customWidth="1"/>
    <col min="8" max="8" width="11.6640625" bestFit="1" customWidth="1"/>
    <col min="9" max="9" width="10.6640625" bestFit="1" customWidth="1"/>
    <col min="10" max="10" width="12.6640625" bestFit="1" customWidth="1"/>
  </cols>
  <sheetData>
    <row r="1" spans="1:11" x14ac:dyDescent="0.3">
      <c r="D1" t="s">
        <v>859</v>
      </c>
      <c r="E1" s="53">
        <v>1</v>
      </c>
      <c r="H1" t="s">
        <v>858</v>
      </c>
      <c r="I1" s="54">
        <v>0.91</v>
      </c>
    </row>
    <row r="2" spans="1:11" x14ac:dyDescent="0.3">
      <c r="B2" t="s">
        <v>821</v>
      </c>
      <c r="C2" t="s">
        <v>828</v>
      </c>
      <c r="D2" t="s">
        <v>822</v>
      </c>
      <c r="E2" t="s">
        <v>825</v>
      </c>
      <c r="F2" t="s">
        <v>826</v>
      </c>
      <c r="G2" t="s">
        <v>2</v>
      </c>
      <c r="H2" t="s">
        <v>822</v>
      </c>
      <c r="I2" t="s">
        <v>825</v>
      </c>
      <c r="J2" t="s">
        <v>826</v>
      </c>
    </row>
    <row r="3" spans="1:11" x14ac:dyDescent="0.3">
      <c r="B3" t="s">
        <v>823</v>
      </c>
      <c r="C3" t="s">
        <v>829</v>
      </c>
      <c r="D3" s="53">
        <v>1600</v>
      </c>
      <c r="E3" s="53">
        <v>700</v>
      </c>
      <c r="F3" s="53">
        <v>5000</v>
      </c>
      <c r="G3" t="s">
        <v>827</v>
      </c>
      <c r="H3" s="55">
        <f>D3*$I$1</f>
        <v>1456</v>
      </c>
      <c r="I3" s="55">
        <f t="shared" ref="I3:I14" si="0">E3*$I$1</f>
        <v>637</v>
      </c>
      <c r="J3" s="55">
        <f t="shared" ref="J3:J14" si="1">F3*$I$1</f>
        <v>4550</v>
      </c>
      <c r="K3" s="1" t="s">
        <v>836</v>
      </c>
    </row>
    <row r="4" spans="1:11" x14ac:dyDescent="0.3">
      <c r="B4" t="s">
        <v>824</v>
      </c>
      <c r="C4" t="s">
        <v>829</v>
      </c>
      <c r="D4" s="53">
        <v>3200</v>
      </c>
      <c r="E4" s="53">
        <v>1600</v>
      </c>
      <c r="F4" s="53">
        <v>6000</v>
      </c>
      <c r="G4" t="s">
        <v>827</v>
      </c>
      <c r="H4" s="55">
        <f t="shared" ref="H4:H14" si="2">D4*$I$1</f>
        <v>2912</v>
      </c>
      <c r="I4" s="55">
        <f t="shared" si="0"/>
        <v>1456</v>
      </c>
      <c r="J4" s="55">
        <f t="shared" si="1"/>
        <v>5460</v>
      </c>
      <c r="K4" s="1" t="s">
        <v>836</v>
      </c>
    </row>
    <row r="5" spans="1:11" ht="43.2" x14ac:dyDescent="0.3">
      <c r="B5" t="s">
        <v>830</v>
      </c>
      <c r="C5" s="2" t="s">
        <v>831</v>
      </c>
      <c r="D5" s="53" t="s">
        <v>832</v>
      </c>
      <c r="E5" s="53" t="s">
        <v>833</v>
      </c>
      <c r="F5" s="53" t="s">
        <v>834</v>
      </c>
      <c r="G5" t="s">
        <v>835</v>
      </c>
      <c r="H5" s="55" t="e">
        <f t="shared" si="2"/>
        <v>#VALUE!</v>
      </c>
      <c r="I5" s="55" t="e">
        <f t="shared" si="0"/>
        <v>#VALUE!</v>
      </c>
      <c r="J5" s="55" t="e">
        <f t="shared" si="1"/>
        <v>#VALUE!</v>
      </c>
      <c r="K5" s="1" t="s">
        <v>836</v>
      </c>
    </row>
    <row r="6" spans="1:11" x14ac:dyDescent="0.3">
      <c r="B6" t="s">
        <v>838</v>
      </c>
      <c r="D6" s="53" t="s">
        <v>837</v>
      </c>
      <c r="E6" s="53"/>
      <c r="F6" s="53"/>
      <c r="G6" t="s">
        <v>839</v>
      </c>
      <c r="H6" s="55" t="e">
        <f t="shared" si="2"/>
        <v>#VALUE!</v>
      </c>
      <c r="I6" s="55">
        <f t="shared" si="0"/>
        <v>0</v>
      </c>
      <c r="J6" s="55">
        <f t="shared" si="1"/>
        <v>0</v>
      </c>
      <c r="K6" s="1" t="s">
        <v>840</v>
      </c>
    </row>
    <row r="7" spans="1:11" ht="115.2" x14ac:dyDescent="0.3">
      <c r="B7" t="s">
        <v>830</v>
      </c>
      <c r="C7" s="2" t="s">
        <v>842</v>
      </c>
      <c r="D7" s="53">
        <v>2593</v>
      </c>
      <c r="E7" s="53">
        <v>809</v>
      </c>
      <c r="F7" s="53">
        <v>16391</v>
      </c>
      <c r="H7" s="55">
        <f t="shared" si="2"/>
        <v>2359.63</v>
      </c>
      <c r="I7" s="55">
        <f t="shared" si="0"/>
        <v>736.19</v>
      </c>
      <c r="J7" s="55">
        <f t="shared" si="1"/>
        <v>14915.810000000001</v>
      </c>
      <c r="K7" s="1" t="s">
        <v>841</v>
      </c>
    </row>
    <row r="8" spans="1:11" ht="115.2" x14ac:dyDescent="0.3">
      <c r="B8" t="s">
        <v>843</v>
      </c>
      <c r="C8" s="2" t="s">
        <v>842</v>
      </c>
      <c r="D8" s="53">
        <v>2593</v>
      </c>
      <c r="E8" s="53">
        <v>809</v>
      </c>
      <c r="F8" s="53">
        <v>16391</v>
      </c>
      <c r="H8" s="55">
        <f t="shared" si="2"/>
        <v>2359.63</v>
      </c>
      <c r="I8" s="55">
        <f t="shared" si="0"/>
        <v>736.19</v>
      </c>
      <c r="J8" s="55">
        <f t="shared" si="1"/>
        <v>14915.810000000001</v>
      </c>
      <c r="K8" s="1" t="s">
        <v>841</v>
      </c>
    </row>
    <row r="9" spans="1:11" x14ac:dyDescent="0.3">
      <c r="B9" t="s">
        <v>844</v>
      </c>
      <c r="C9" s="2" t="s">
        <v>846</v>
      </c>
      <c r="D9" s="53">
        <v>1811</v>
      </c>
      <c r="E9" s="53"/>
      <c r="F9" s="53"/>
      <c r="H9" s="55">
        <f t="shared" si="2"/>
        <v>1648.01</v>
      </c>
      <c r="I9" s="55">
        <f t="shared" si="0"/>
        <v>0</v>
      </c>
      <c r="J9" s="55">
        <f t="shared" si="1"/>
        <v>0</v>
      </c>
      <c r="K9" s="1" t="s">
        <v>841</v>
      </c>
    </row>
    <row r="10" spans="1:11" ht="57.6" x14ac:dyDescent="0.3">
      <c r="B10" t="s">
        <v>844</v>
      </c>
      <c r="C10" s="2" t="s">
        <v>845</v>
      </c>
      <c r="D10" s="53">
        <v>3775</v>
      </c>
      <c r="E10" s="53">
        <v>1217</v>
      </c>
      <c r="F10" s="53">
        <v>4300</v>
      </c>
      <c r="H10" s="55">
        <f t="shared" si="2"/>
        <v>3435.25</v>
      </c>
      <c r="I10" s="55">
        <f t="shared" si="0"/>
        <v>1107.47</v>
      </c>
      <c r="J10" s="55">
        <f t="shared" si="1"/>
        <v>3913</v>
      </c>
      <c r="K10" s="1" t="s">
        <v>841</v>
      </c>
    </row>
    <row r="11" spans="1:11" ht="57.6" x14ac:dyDescent="0.3">
      <c r="B11" t="s">
        <v>844</v>
      </c>
      <c r="C11" s="2" t="s">
        <v>845</v>
      </c>
      <c r="D11" s="53">
        <v>1020</v>
      </c>
      <c r="E11" s="53">
        <v>15</v>
      </c>
      <c r="F11" s="53">
        <v>566</v>
      </c>
      <c r="H11" s="55">
        <f t="shared" si="2"/>
        <v>928.2</v>
      </c>
      <c r="I11" s="55">
        <f t="shared" si="0"/>
        <v>13.65</v>
      </c>
      <c r="J11" s="55">
        <f t="shared" si="1"/>
        <v>515.06000000000006</v>
      </c>
      <c r="K11" s="1" t="s">
        <v>841</v>
      </c>
    </row>
    <row r="12" spans="1:11" ht="57.6" x14ac:dyDescent="0.3">
      <c r="B12" t="s">
        <v>844</v>
      </c>
      <c r="C12" s="2" t="s">
        <v>845</v>
      </c>
      <c r="D12" s="53">
        <v>1744</v>
      </c>
      <c r="E12" s="53">
        <v>0</v>
      </c>
      <c r="F12" s="53">
        <v>2575</v>
      </c>
      <c r="H12" s="55">
        <f t="shared" si="2"/>
        <v>1587.04</v>
      </c>
      <c r="I12" s="55">
        <f t="shared" si="0"/>
        <v>0</v>
      </c>
      <c r="J12" s="55">
        <f t="shared" si="1"/>
        <v>2343.25</v>
      </c>
      <c r="K12" s="1" t="s">
        <v>841</v>
      </c>
    </row>
    <row r="13" spans="1:11" ht="72" x14ac:dyDescent="0.3">
      <c r="B13" t="s">
        <v>830</v>
      </c>
      <c r="C13" s="2" t="s">
        <v>847</v>
      </c>
      <c r="D13" s="53">
        <v>35751</v>
      </c>
      <c r="E13" s="53">
        <v>6515</v>
      </c>
      <c r="F13" s="53">
        <v>124429</v>
      </c>
      <c r="H13" s="55">
        <f t="shared" si="2"/>
        <v>32533.41</v>
      </c>
      <c r="I13" s="55">
        <f t="shared" si="0"/>
        <v>5928.6500000000005</v>
      </c>
      <c r="J13" s="55">
        <f t="shared" si="1"/>
        <v>113230.39</v>
      </c>
      <c r="K13" s="1" t="s">
        <v>841</v>
      </c>
    </row>
    <row r="14" spans="1:11" ht="72" x14ac:dyDescent="0.3">
      <c r="A14" t="s">
        <v>848</v>
      </c>
      <c r="B14" t="s">
        <v>830</v>
      </c>
      <c r="C14" s="2" t="s">
        <v>847</v>
      </c>
      <c r="D14" s="53">
        <v>10838</v>
      </c>
      <c r="E14" s="53">
        <v>6208</v>
      </c>
      <c r="F14" s="53">
        <v>16925</v>
      </c>
      <c r="H14" s="55">
        <f t="shared" si="2"/>
        <v>9862.58</v>
      </c>
      <c r="I14" s="55">
        <f t="shared" si="0"/>
        <v>5649.28</v>
      </c>
      <c r="J14" s="55">
        <f t="shared" si="1"/>
        <v>15401.75</v>
      </c>
      <c r="K14" s="1" t="s">
        <v>841</v>
      </c>
    </row>
  </sheetData>
  <hyperlinks>
    <hyperlink ref="K3" r:id="rId1" xr:uid="{25089848-338B-43A0-9A8C-AC3FD1FC296E}"/>
    <hyperlink ref="K4" r:id="rId2" xr:uid="{053D27C7-F8A9-447F-A877-B9AEC2DFCAC3}"/>
    <hyperlink ref="K5" r:id="rId3" xr:uid="{C25DA404-C6C5-4964-9FA4-64EF44066B47}"/>
    <hyperlink ref="K6" r:id="rId4" xr:uid="{A1C4A35E-3BBE-4AA5-9F58-3A0C2EDBA0A7}"/>
    <hyperlink ref="K7" r:id="rId5" xr:uid="{BC04F618-784A-43FC-9A93-38F7919FA7E4}"/>
    <hyperlink ref="K8" r:id="rId6" xr:uid="{E58A6876-B994-4F36-9608-D05E9D35E02A}"/>
    <hyperlink ref="K9" r:id="rId7" xr:uid="{2A421182-11D6-4D8F-953A-B983055F05EF}"/>
    <hyperlink ref="K10" r:id="rId8" xr:uid="{3632B56B-5E1E-4E65-8026-DBB73770FA13}"/>
    <hyperlink ref="K11" r:id="rId9" xr:uid="{DF636B8F-48C4-4B6D-83D8-6D86E55F3628}"/>
    <hyperlink ref="K12" r:id="rId10" xr:uid="{893C9CD2-E35B-4179-9111-B558C705E640}"/>
    <hyperlink ref="K13" r:id="rId11" xr:uid="{FEC9A533-F559-4391-9F7A-86B9E746BB64}"/>
    <hyperlink ref="K14" r:id="rId12" xr:uid="{5FB683D6-3353-4352-B97A-D48BA10992D9}"/>
  </hyperlinks>
  <pageMargins left="0.7" right="0.7" top="0.75" bottom="0.75" header="0.3" footer="0.3"/>
  <pageSetup paperSize="9" orientation="portrait" horizontalDpi="300" verticalDpi="300"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4C0D-66CA-4E7D-9F31-8C1B37C3C129}">
  <dimension ref="A1:J87"/>
  <sheetViews>
    <sheetView workbookViewId="0">
      <selection activeCell="D56" sqref="D56"/>
    </sheetView>
  </sheetViews>
  <sheetFormatPr defaultColWidth="9.109375" defaultRowHeight="16.5" customHeight="1" x14ac:dyDescent="0.3"/>
  <cols>
    <col min="1" max="1" width="20.44140625" style="2" bestFit="1" customWidth="1"/>
    <col min="2" max="2" width="43.44140625" style="2" bestFit="1" customWidth="1"/>
    <col min="3" max="3" width="15.109375" style="2" customWidth="1"/>
    <col min="4" max="4" width="14.33203125" style="2" customWidth="1"/>
    <col min="5" max="5" width="20.109375" style="2" bestFit="1" customWidth="1"/>
    <col min="6" max="6" width="18.88671875" style="2" bestFit="1" customWidth="1"/>
    <col min="7" max="8" width="17.6640625" style="2" customWidth="1"/>
    <col min="9" max="9" width="17.5546875" style="2" bestFit="1" customWidth="1"/>
    <col min="10" max="10" width="15" style="2" customWidth="1"/>
    <col min="11" max="16384" width="9.109375" style="2"/>
  </cols>
  <sheetData>
    <row r="1" spans="1:10" ht="16.5" customHeight="1" thickBot="1" x14ac:dyDescent="0.35">
      <c r="A1" s="58" t="s">
        <v>13</v>
      </c>
      <c r="B1" s="58"/>
      <c r="C1" s="58"/>
      <c r="D1" s="58"/>
      <c r="E1" s="58"/>
      <c r="F1" s="58"/>
      <c r="G1" s="58"/>
      <c r="H1" s="58"/>
      <c r="I1" s="58"/>
      <c r="J1" s="58"/>
    </row>
    <row r="2" spans="1:10" ht="16.5" customHeight="1" thickTop="1" x14ac:dyDescent="0.3">
      <c r="A2" s="4"/>
      <c r="B2" s="5"/>
      <c r="C2" s="59" t="s">
        <v>14</v>
      </c>
      <c r="D2" s="60"/>
      <c r="E2" s="60"/>
      <c r="F2" s="61"/>
      <c r="G2" s="59" t="s">
        <v>15</v>
      </c>
      <c r="H2" s="60"/>
      <c r="I2" s="60"/>
      <c r="J2" s="61"/>
    </row>
    <row r="3" spans="1:10" ht="16.5" customHeight="1" x14ac:dyDescent="0.3">
      <c r="C3" s="62" t="s">
        <v>18</v>
      </c>
      <c r="D3" s="63"/>
      <c r="E3" s="6"/>
      <c r="F3" s="7" t="s">
        <v>19</v>
      </c>
      <c r="G3" s="62" t="s">
        <v>18</v>
      </c>
      <c r="H3" s="63"/>
      <c r="I3" s="63" t="s">
        <v>19</v>
      </c>
      <c r="J3" s="64"/>
    </row>
    <row r="4" spans="1:10" ht="16.5" customHeight="1" x14ac:dyDescent="0.3">
      <c r="A4" s="44" t="s">
        <v>16</v>
      </c>
      <c r="B4" s="45" t="s">
        <v>17</v>
      </c>
      <c r="C4" s="8" t="s">
        <v>20</v>
      </c>
      <c r="D4" s="12" t="s">
        <v>21</v>
      </c>
      <c r="E4" s="8" t="s">
        <v>759</v>
      </c>
      <c r="F4" s="12" t="s">
        <v>760</v>
      </c>
      <c r="G4" s="8" t="s">
        <v>761</v>
      </c>
      <c r="H4" s="12" t="s">
        <v>762</v>
      </c>
      <c r="I4" s="8" t="s">
        <v>763</v>
      </c>
      <c r="J4" s="46" t="s">
        <v>764</v>
      </c>
    </row>
    <row r="5" spans="1:10" ht="16.5" hidden="1" customHeight="1" x14ac:dyDescent="0.3">
      <c r="A5" s="9" t="s">
        <v>22</v>
      </c>
      <c r="B5" s="9" t="s">
        <v>23</v>
      </c>
      <c r="C5" s="10" t="s">
        <v>24</v>
      </c>
      <c r="D5" s="13" t="s">
        <v>25</v>
      </c>
      <c r="E5" s="10" t="s">
        <v>26</v>
      </c>
      <c r="F5" s="14" t="s">
        <v>27</v>
      </c>
      <c r="G5" s="10" t="s">
        <v>28</v>
      </c>
      <c r="H5" s="13" t="s">
        <v>29</v>
      </c>
      <c r="I5" s="10" t="s">
        <v>30</v>
      </c>
      <c r="J5" s="47" t="s">
        <v>31</v>
      </c>
    </row>
    <row r="6" spans="1:10" ht="16.5" hidden="1" customHeight="1" x14ac:dyDescent="0.3">
      <c r="A6" s="11" t="s">
        <v>32</v>
      </c>
      <c r="B6" s="9" t="s">
        <v>33</v>
      </c>
      <c r="C6" s="10" t="s">
        <v>34</v>
      </c>
      <c r="D6" s="13" t="s">
        <v>35</v>
      </c>
      <c r="E6" s="10" t="s">
        <v>36</v>
      </c>
      <c r="F6" s="14" t="s">
        <v>37</v>
      </c>
      <c r="G6" s="10" t="s">
        <v>38</v>
      </c>
      <c r="H6" s="13" t="s">
        <v>39</v>
      </c>
      <c r="I6" s="10" t="s">
        <v>40</v>
      </c>
      <c r="J6" s="47" t="s">
        <v>41</v>
      </c>
    </row>
    <row r="7" spans="1:10" ht="16.5" hidden="1" customHeight="1" x14ac:dyDescent="0.3">
      <c r="A7" s="11" t="s">
        <v>32</v>
      </c>
      <c r="B7" s="9" t="s">
        <v>42</v>
      </c>
      <c r="C7" s="10" t="s">
        <v>43</v>
      </c>
      <c r="D7" s="13" t="s">
        <v>44</v>
      </c>
      <c r="E7" s="10" t="s">
        <v>45</v>
      </c>
      <c r="F7" s="14" t="s">
        <v>46</v>
      </c>
      <c r="G7" s="10" t="s">
        <v>47</v>
      </c>
      <c r="H7" s="13" t="s">
        <v>48</v>
      </c>
      <c r="I7" s="10" t="s">
        <v>49</v>
      </c>
      <c r="J7" s="47" t="s">
        <v>50</v>
      </c>
    </row>
    <row r="8" spans="1:10" ht="16.5" hidden="1" customHeight="1" x14ac:dyDescent="0.3">
      <c r="A8" s="11" t="s">
        <v>32</v>
      </c>
      <c r="B8" s="9" t="s">
        <v>51</v>
      </c>
      <c r="C8" s="10" t="s">
        <v>52</v>
      </c>
      <c r="D8" s="13" t="s">
        <v>53</v>
      </c>
      <c r="E8" s="10" t="s">
        <v>54</v>
      </c>
      <c r="F8" s="14" t="s">
        <v>55</v>
      </c>
      <c r="G8" s="10" t="s">
        <v>56</v>
      </c>
      <c r="H8" s="13" t="s">
        <v>57</v>
      </c>
      <c r="I8" s="10" t="s">
        <v>58</v>
      </c>
      <c r="J8" s="47" t="s">
        <v>59</v>
      </c>
    </row>
    <row r="9" spans="1:10" ht="16.5" customHeight="1" x14ac:dyDescent="0.3">
      <c r="A9" s="11" t="s">
        <v>32</v>
      </c>
      <c r="B9" s="9" t="s">
        <v>60</v>
      </c>
      <c r="C9" s="10" t="s">
        <v>61</v>
      </c>
      <c r="D9" s="13" t="s">
        <v>62</v>
      </c>
      <c r="E9" s="10" t="s">
        <v>63</v>
      </c>
      <c r="F9" s="14" t="s">
        <v>64</v>
      </c>
      <c r="G9" s="10" t="s">
        <v>65</v>
      </c>
      <c r="H9" s="13" t="s">
        <v>66</v>
      </c>
      <c r="I9" s="10" t="s">
        <v>67</v>
      </c>
      <c r="J9" s="47" t="s">
        <v>68</v>
      </c>
    </row>
    <row r="10" spans="1:10" ht="16.5" hidden="1" customHeight="1" x14ac:dyDescent="0.3">
      <c r="A10" s="11" t="s">
        <v>32</v>
      </c>
      <c r="B10" s="9" t="s">
        <v>69</v>
      </c>
      <c r="C10" s="10" t="s">
        <v>70</v>
      </c>
      <c r="D10" s="13" t="s">
        <v>71</v>
      </c>
      <c r="E10" s="10" t="s">
        <v>72</v>
      </c>
      <c r="F10" s="14" t="s">
        <v>73</v>
      </c>
      <c r="G10" s="10" t="s">
        <v>74</v>
      </c>
      <c r="H10" s="13" t="s">
        <v>75</v>
      </c>
      <c r="I10" s="10" t="s">
        <v>76</v>
      </c>
      <c r="J10" s="47" t="s">
        <v>77</v>
      </c>
    </row>
    <row r="11" spans="1:10" ht="16.5" hidden="1" customHeight="1" x14ac:dyDescent="0.3">
      <c r="A11" s="11" t="s">
        <v>32</v>
      </c>
      <c r="B11" s="9" t="s">
        <v>78</v>
      </c>
      <c r="C11" s="10" t="s">
        <v>79</v>
      </c>
      <c r="D11" s="13" t="s">
        <v>80</v>
      </c>
      <c r="E11" s="10" t="s">
        <v>81</v>
      </c>
      <c r="F11" s="14" t="s">
        <v>82</v>
      </c>
      <c r="G11" s="10" t="s">
        <v>83</v>
      </c>
      <c r="H11" s="13" t="s">
        <v>84</v>
      </c>
      <c r="I11" s="10" t="s">
        <v>85</v>
      </c>
      <c r="J11" s="47" t="s">
        <v>86</v>
      </c>
    </row>
    <row r="12" spans="1:10" ht="16.5" hidden="1" customHeight="1" x14ac:dyDescent="0.3">
      <c r="A12" s="11" t="s">
        <v>32</v>
      </c>
      <c r="B12" s="9" t="s">
        <v>87</v>
      </c>
      <c r="C12" s="10" t="s">
        <v>88</v>
      </c>
      <c r="D12" s="13" t="s">
        <v>89</v>
      </c>
      <c r="E12" s="10" t="s">
        <v>90</v>
      </c>
      <c r="F12" s="14" t="s">
        <v>91</v>
      </c>
      <c r="G12" s="10" t="s">
        <v>92</v>
      </c>
      <c r="H12" s="13" t="s">
        <v>93</v>
      </c>
      <c r="I12" s="10" t="s">
        <v>94</v>
      </c>
      <c r="J12" s="47" t="s">
        <v>95</v>
      </c>
    </row>
    <row r="13" spans="1:10" ht="16.5" hidden="1" customHeight="1" x14ac:dyDescent="0.3">
      <c r="A13" s="11" t="s">
        <v>32</v>
      </c>
      <c r="B13" s="9" t="s">
        <v>23</v>
      </c>
      <c r="C13" s="10" t="s">
        <v>96</v>
      </c>
      <c r="D13" s="13" t="s">
        <v>97</v>
      </c>
      <c r="E13" s="10" t="s">
        <v>98</v>
      </c>
      <c r="F13" s="14" t="s">
        <v>99</v>
      </c>
      <c r="G13" s="10" t="s">
        <v>100</v>
      </c>
      <c r="H13" s="13" t="s">
        <v>101</v>
      </c>
      <c r="I13" s="10" t="s">
        <v>102</v>
      </c>
      <c r="J13" s="47" t="s">
        <v>103</v>
      </c>
    </row>
    <row r="14" spans="1:10" ht="16.5" hidden="1" customHeight="1" x14ac:dyDescent="0.3">
      <c r="A14" s="11" t="s">
        <v>104</v>
      </c>
      <c r="B14" s="9" t="s">
        <v>33</v>
      </c>
      <c r="C14" s="10" t="s">
        <v>105</v>
      </c>
      <c r="D14" s="13" t="s">
        <v>106</v>
      </c>
      <c r="E14" s="10" t="s">
        <v>107</v>
      </c>
      <c r="F14" s="14" t="s">
        <v>108</v>
      </c>
      <c r="G14" s="10" t="s">
        <v>109</v>
      </c>
      <c r="H14" s="13" t="s">
        <v>57</v>
      </c>
      <c r="I14" s="10" t="s">
        <v>110</v>
      </c>
      <c r="J14" s="47" t="s">
        <v>111</v>
      </c>
    </row>
    <row r="15" spans="1:10" ht="16.5" hidden="1" customHeight="1" x14ac:dyDescent="0.3">
      <c r="A15" s="11" t="s">
        <v>104</v>
      </c>
      <c r="B15" s="9" t="s">
        <v>42</v>
      </c>
      <c r="C15" s="10" t="s">
        <v>112</v>
      </c>
      <c r="D15" s="13" t="s">
        <v>48</v>
      </c>
      <c r="E15" s="10" t="s">
        <v>113</v>
      </c>
      <c r="F15" s="14" t="s">
        <v>114</v>
      </c>
      <c r="G15" s="10" t="s">
        <v>115</v>
      </c>
      <c r="H15" s="13" t="s">
        <v>57</v>
      </c>
      <c r="I15" s="10" t="s">
        <v>116</v>
      </c>
      <c r="J15" s="47" t="s">
        <v>117</v>
      </c>
    </row>
    <row r="16" spans="1:10" ht="16.5" customHeight="1" x14ac:dyDescent="0.3">
      <c r="A16" s="11" t="s">
        <v>104</v>
      </c>
      <c r="B16" s="9" t="s">
        <v>60</v>
      </c>
      <c r="C16" s="10" t="s">
        <v>118</v>
      </c>
      <c r="D16" s="13" t="s">
        <v>106</v>
      </c>
      <c r="E16" s="10" t="s">
        <v>119</v>
      </c>
      <c r="F16" s="14" t="s">
        <v>120</v>
      </c>
      <c r="G16" s="10" t="s">
        <v>121</v>
      </c>
      <c r="H16" s="13" t="s">
        <v>84</v>
      </c>
      <c r="I16" s="10" t="s">
        <v>122</v>
      </c>
      <c r="J16" s="47" t="s">
        <v>123</v>
      </c>
    </row>
    <row r="17" spans="1:10" ht="16.5" hidden="1" customHeight="1" x14ac:dyDescent="0.3">
      <c r="A17" s="11" t="s">
        <v>104</v>
      </c>
      <c r="B17" s="9" t="s">
        <v>69</v>
      </c>
      <c r="C17" s="10" t="s">
        <v>124</v>
      </c>
      <c r="D17" s="13" t="s">
        <v>125</v>
      </c>
      <c r="E17" s="10" t="s">
        <v>126</v>
      </c>
      <c r="F17" s="14" t="s">
        <v>127</v>
      </c>
      <c r="G17" s="10" t="s">
        <v>128</v>
      </c>
      <c r="H17" s="13" t="s">
        <v>84</v>
      </c>
      <c r="I17" s="10" t="s">
        <v>129</v>
      </c>
      <c r="J17" s="47" t="s">
        <v>130</v>
      </c>
    </row>
    <row r="18" spans="1:10" ht="16.5" hidden="1" customHeight="1" x14ac:dyDescent="0.3">
      <c r="A18" s="11" t="s">
        <v>104</v>
      </c>
      <c r="B18" s="9" t="s">
        <v>78</v>
      </c>
      <c r="C18" s="10" t="s">
        <v>131</v>
      </c>
      <c r="D18" s="13" t="s">
        <v>125</v>
      </c>
      <c r="E18" s="10" t="s">
        <v>132</v>
      </c>
      <c r="F18" s="14" t="s">
        <v>133</v>
      </c>
      <c r="G18" s="10" t="s">
        <v>134</v>
      </c>
      <c r="H18" s="13" t="s">
        <v>57</v>
      </c>
      <c r="I18" s="10" t="s">
        <v>135</v>
      </c>
      <c r="J18" s="47" t="s">
        <v>136</v>
      </c>
    </row>
    <row r="19" spans="1:10" ht="16.5" hidden="1" customHeight="1" x14ac:dyDescent="0.3">
      <c r="A19" s="11" t="s">
        <v>104</v>
      </c>
      <c r="B19" s="9" t="s">
        <v>87</v>
      </c>
      <c r="C19" s="10" t="s">
        <v>137</v>
      </c>
      <c r="D19" s="13" t="s">
        <v>138</v>
      </c>
      <c r="E19" s="10" t="s">
        <v>139</v>
      </c>
      <c r="F19" s="14" t="s">
        <v>140</v>
      </c>
      <c r="G19" s="10" t="s">
        <v>141</v>
      </c>
      <c r="H19" s="13" t="s">
        <v>57</v>
      </c>
      <c r="I19" s="10" t="s">
        <v>142</v>
      </c>
      <c r="J19" s="47" t="s">
        <v>143</v>
      </c>
    </row>
    <row r="20" spans="1:10" ht="16.5" hidden="1" customHeight="1" x14ac:dyDescent="0.3">
      <c r="A20" s="11" t="s">
        <v>104</v>
      </c>
      <c r="B20" s="9" t="s">
        <v>23</v>
      </c>
      <c r="C20" s="10" t="s">
        <v>144</v>
      </c>
      <c r="D20" s="13" t="s">
        <v>145</v>
      </c>
      <c r="E20" s="10" t="s">
        <v>146</v>
      </c>
      <c r="F20" s="14" t="s">
        <v>147</v>
      </c>
      <c r="G20" s="10" t="s">
        <v>148</v>
      </c>
      <c r="H20" s="13" t="s">
        <v>106</v>
      </c>
      <c r="I20" s="10" t="s">
        <v>149</v>
      </c>
      <c r="J20" s="47" t="s">
        <v>150</v>
      </c>
    </row>
    <row r="21" spans="1:10" ht="16.5" hidden="1" customHeight="1" x14ac:dyDescent="0.3">
      <c r="A21" s="11" t="s">
        <v>151</v>
      </c>
      <c r="B21" s="9" t="s">
        <v>33</v>
      </c>
      <c r="C21" s="10" t="s">
        <v>152</v>
      </c>
      <c r="D21" s="13" t="s">
        <v>153</v>
      </c>
      <c r="E21" s="10" t="s">
        <v>154</v>
      </c>
      <c r="F21" s="14" t="s">
        <v>155</v>
      </c>
      <c r="G21" s="10" t="s">
        <v>156</v>
      </c>
      <c r="H21" s="13" t="s">
        <v>84</v>
      </c>
      <c r="I21" s="10" t="s">
        <v>157</v>
      </c>
      <c r="J21" s="47" t="s">
        <v>158</v>
      </c>
    </row>
    <row r="22" spans="1:10" ht="16.5" hidden="1" customHeight="1" x14ac:dyDescent="0.3">
      <c r="A22" s="11" t="s">
        <v>151</v>
      </c>
      <c r="B22" s="9" t="s">
        <v>42</v>
      </c>
      <c r="C22" s="10" t="s">
        <v>159</v>
      </c>
      <c r="D22" s="13" t="s">
        <v>160</v>
      </c>
      <c r="E22" s="10" t="s">
        <v>161</v>
      </c>
      <c r="F22" s="14" t="s">
        <v>162</v>
      </c>
      <c r="G22" s="10" t="s">
        <v>163</v>
      </c>
      <c r="H22" s="13" t="s">
        <v>106</v>
      </c>
      <c r="I22" s="10" t="s">
        <v>164</v>
      </c>
      <c r="J22" s="47" t="s">
        <v>165</v>
      </c>
    </row>
    <row r="23" spans="1:10" ht="16.5" customHeight="1" x14ac:dyDescent="0.3">
      <c r="A23" s="11" t="s">
        <v>151</v>
      </c>
      <c r="B23" s="9" t="s">
        <v>60</v>
      </c>
      <c r="C23" s="10" t="s">
        <v>166</v>
      </c>
      <c r="D23" s="13" t="s">
        <v>167</v>
      </c>
      <c r="E23" s="10" t="s">
        <v>168</v>
      </c>
      <c r="F23" s="14" t="s">
        <v>169</v>
      </c>
      <c r="G23" s="10" t="s">
        <v>170</v>
      </c>
      <c r="H23" s="13" t="s">
        <v>48</v>
      </c>
      <c r="I23" s="10" t="s">
        <v>171</v>
      </c>
      <c r="J23" s="47" t="s">
        <v>172</v>
      </c>
    </row>
    <row r="24" spans="1:10" ht="16.5" hidden="1" customHeight="1" x14ac:dyDescent="0.3">
      <c r="A24" s="11" t="s">
        <v>151</v>
      </c>
      <c r="B24" s="9" t="s">
        <v>69</v>
      </c>
      <c r="C24" s="10" t="s">
        <v>173</v>
      </c>
      <c r="D24" s="13" t="s">
        <v>174</v>
      </c>
      <c r="E24" s="10" t="s">
        <v>175</v>
      </c>
      <c r="F24" s="14" t="s">
        <v>176</v>
      </c>
      <c r="G24" s="10" t="s">
        <v>177</v>
      </c>
      <c r="H24" s="13" t="s">
        <v>106</v>
      </c>
      <c r="I24" s="10" t="s">
        <v>178</v>
      </c>
      <c r="J24" s="47" t="s">
        <v>179</v>
      </c>
    </row>
    <row r="25" spans="1:10" ht="16.5" hidden="1" customHeight="1" x14ac:dyDescent="0.3">
      <c r="A25" s="11" t="s">
        <v>151</v>
      </c>
      <c r="B25" s="9" t="s">
        <v>78</v>
      </c>
      <c r="C25" s="10" t="s">
        <v>180</v>
      </c>
      <c r="D25" s="13" t="s">
        <v>181</v>
      </c>
      <c r="E25" s="10" t="s">
        <v>182</v>
      </c>
      <c r="F25" s="14" t="s">
        <v>183</v>
      </c>
      <c r="G25" s="10" t="s">
        <v>184</v>
      </c>
      <c r="H25" s="13" t="s">
        <v>185</v>
      </c>
      <c r="I25" s="10" t="s">
        <v>186</v>
      </c>
      <c r="J25" s="47" t="s">
        <v>187</v>
      </c>
    </row>
    <row r="26" spans="1:10" ht="16.5" hidden="1" customHeight="1" x14ac:dyDescent="0.3">
      <c r="A26" s="11" t="s">
        <v>151</v>
      </c>
      <c r="B26" s="9" t="s">
        <v>188</v>
      </c>
      <c r="C26" s="10" t="s">
        <v>189</v>
      </c>
      <c r="D26" s="13" t="s">
        <v>190</v>
      </c>
      <c r="E26" s="10" t="s">
        <v>191</v>
      </c>
      <c r="F26" s="14" t="s">
        <v>192</v>
      </c>
      <c r="G26" s="10" t="s">
        <v>193</v>
      </c>
      <c r="H26" s="13" t="s">
        <v>185</v>
      </c>
      <c r="I26" s="10" t="s">
        <v>194</v>
      </c>
      <c r="J26" s="47" t="s">
        <v>195</v>
      </c>
    </row>
    <row r="27" spans="1:10" ht="16.5" hidden="1" customHeight="1" x14ac:dyDescent="0.3">
      <c r="A27" s="11" t="s">
        <v>151</v>
      </c>
      <c r="B27" s="9" t="s">
        <v>23</v>
      </c>
      <c r="C27" s="10" t="s">
        <v>196</v>
      </c>
      <c r="D27" s="13" t="s">
        <v>197</v>
      </c>
      <c r="E27" s="10" t="s">
        <v>198</v>
      </c>
      <c r="F27" s="14" t="s">
        <v>199</v>
      </c>
      <c r="G27" s="10" t="s">
        <v>200</v>
      </c>
      <c r="H27" s="13" t="s">
        <v>201</v>
      </c>
      <c r="I27" s="10" t="s">
        <v>202</v>
      </c>
      <c r="J27" s="47" t="s">
        <v>203</v>
      </c>
    </row>
    <row r="28" spans="1:10" ht="16.5" hidden="1" customHeight="1" x14ac:dyDescent="0.3">
      <c r="A28" s="11" t="s">
        <v>204</v>
      </c>
      <c r="B28" s="9" t="s">
        <v>69</v>
      </c>
      <c r="C28" s="10" t="s">
        <v>205</v>
      </c>
      <c r="D28" s="13" t="s">
        <v>206</v>
      </c>
      <c r="E28" s="10" t="s">
        <v>207</v>
      </c>
      <c r="F28" s="14" t="s">
        <v>208</v>
      </c>
      <c r="G28" s="10" t="s">
        <v>209</v>
      </c>
      <c r="H28" s="13" t="s">
        <v>210</v>
      </c>
      <c r="I28" s="10" t="s">
        <v>211</v>
      </c>
      <c r="J28" s="47" t="s">
        <v>212</v>
      </c>
    </row>
    <row r="29" spans="1:10" ht="16.5" hidden="1" customHeight="1" x14ac:dyDescent="0.3">
      <c r="A29" s="11" t="s">
        <v>204</v>
      </c>
      <c r="B29" s="9" t="s">
        <v>213</v>
      </c>
      <c r="C29" s="10" t="s">
        <v>214</v>
      </c>
      <c r="D29" s="13" t="s">
        <v>48</v>
      </c>
      <c r="E29" s="10" t="s">
        <v>215</v>
      </c>
      <c r="F29" s="14" t="s">
        <v>216</v>
      </c>
      <c r="G29" s="10" t="s">
        <v>217</v>
      </c>
      <c r="H29" s="13" t="s">
        <v>84</v>
      </c>
      <c r="I29" s="10" t="s">
        <v>218</v>
      </c>
      <c r="J29" s="47" t="s">
        <v>219</v>
      </c>
    </row>
    <row r="30" spans="1:10" ht="16.5" hidden="1" customHeight="1" x14ac:dyDescent="0.3">
      <c r="A30" s="11" t="s">
        <v>204</v>
      </c>
      <c r="B30" s="9" t="s">
        <v>23</v>
      </c>
      <c r="C30" s="10" t="s">
        <v>220</v>
      </c>
      <c r="D30" s="13" t="s">
        <v>221</v>
      </c>
      <c r="E30" s="10" t="s">
        <v>222</v>
      </c>
      <c r="F30" s="14" t="s">
        <v>223</v>
      </c>
      <c r="G30" s="10" t="s">
        <v>224</v>
      </c>
      <c r="H30" s="13" t="s">
        <v>225</v>
      </c>
      <c r="I30" s="10" t="s">
        <v>226</v>
      </c>
      <c r="J30" s="47" t="s">
        <v>227</v>
      </c>
    </row>
    <row r="31" spans="1:10" ht="16.5" hidden="1" customHeight="1" x14ac:dyDescent="0.3">
      <c r="A31" s="11" t="s">
        <v>228</v>
      </c>
      <c r="B31" s="9" t="s">
        <v>69</v>
      </c>
      <c r="C31" s="10" t="s">
        <v>229</v>
      </c>
      <c r="D31" s="13" t="s">
        <v>230</v>
      </c>
      <c r="E31" s="10" t="s">
        <v>231</v>
      </c>
      <c r="F31" s="14" t="s">
        <v>232</v>
      </c>
      <c r="G31" s="10" t="s">
        <v>233</v>
      </c>
      <c r="H31" s="13" t="s">
        <v>234</v>
      </c>
      <c r="I31" s="10" t="s">
        <v>235</v>
      </c>
      <c r="J31" s="47" t="s">
        <v>236</v>
      </c>
    </row>
    <row r="32" spans="1:10" ht="16.5" hidden="1" customHeight="1" x14ac:dyDescent="0.3">
      <c r="A32" s="11" t="s">
        <v>228</v>
      </c>
      <c r="B32" s="9" t="s">
        <v>213</v>
      </c>
      <c r="C32" s="10" t="s">
        <v>237</v>
      </c>
      <c r="D32" s="13" t="s">
        <v>167</v>
      </c>
      <c r="E32" s="10" t="s">
        <v>238</v>
      </c>
      <c r="F32" s="14" t="s">
        <v>239</v>
      </c>
      <c r="G32" s="10" t="s">
        <v>240</v>
      </c>
      <c r="H32" s="13" t="s">
        <v>48</v>
      </c>
      <c r="I32" s="10" t="s">
        <v>241</v>
      </c>
      <c r="J32" s="47" t="s">
        <v>242</v>
      </c>
    </row>
    <row r="33" spans="1:10" ht="16.5" hidden="1" customHeight="1" x14ac:dyDescent="0.3">
      <c r="A33" s="11" t="s">
        <v>228</v>
      </c>
      <c r="B33" s="9" t="s">
        <v>23</v>
      </c>
      <c r="C33" s="10" t="s">
        <v>243</v>
      </c>
      <c r="D33" s="13" t="s">
        <v>230</v>
      </c>
      <c r="E33" s="10" t="s">
        <v>244</v>
      </c>
      <c r="F33" s="14" t="s">
        <v>245</v>
      </c>
      <c r="G33" s="10" t="s">
        <v>246</v>
      </c>
      <c r="H33" s="13" t="s">
        <v>247</v>
      </c>
      <c r="I33" s="10" t="s">
        <v>248</v>
      </c>
      <c r="J33" s="47" t="s">
        <v>249</v>
      </c>
    </row>
    <row r="34" spans="1:10" ht="16.5" hidden="1" customHeight="1" x14ac:dyDescent="0.3">
      <c r="A34" s="9" t="s">
        <v>250</v>
      </c>
      <c r="B34" s="9" t="s">
        <v>69</v>
      </c>
      <c r="C34" s="10" t="s">
        <v>251</v>
      </c>
      <c r="D34" s="13" t="s">
        <v>252</v>
      </c>
      <c r="E34" s="10" t="s">
        <v>253</v>
      </c>
      <c r="F34" s="14" t="s">
        <v>254</v>
      </c>
      <c r="G34" s="10" t="s">
        <v>255</v>
      </c>
      <c r="H34" s="13" t="s">
        <v>256</v>
      </c>
      <c r="I34" s="10" t="s">
        <v>257</v>
      </c>
      <c r="J34" s="47" t="s">
        <v>258</v>
      </c>
    </row>
    <row r="35" spans="1:10" ht="16.5" hidden="1" customHeight="1" x14ac:dyDescent="0.3">
      <c r="A35" s="9" t="s">
        <v>250</v>
      </c>
      <c r="B35" s="9" t="s">
        <v>213</v>
      </c>
      <c r="C35" s="10" t="s">
        <v>259</v>
      </c>
      <c r="D35" s="13" t="s">
        <v>260</v>
      </c>
      <c r="E35" s="10" t="s">
        <v>261</v>
      </c>
      <c r="F35" s="14" t="s">
        <v>262</v>
      </c>
      <c r="G35" s="10" t="s">
        <v>263</v>
      </c>
      <c r="H35" s="13" t="s">
        <v>84</v>
      </c>
      <c r="I35" s="10" t="s">
        <v>264</v>
      </c>
      <c r="J35" s="47" t="s">
        <v>66</v>
      </c>
    </row>
    <row r="36" spans="1:10" ht="16.5" hidden="1" customHeight="1" x14ac:dyDescent="0.3">
      <c r="A36" s="9" t="s">
        <v>250</v>
      </c>
      <c r="B36" s="9" t="s">
        <v>23</v>
      </c>
      <c r="C36" s="10" t="s">
        <v>265</v>
      </c>
      <c r="D36" s="13" t="s">
        <v>266</v>
      </c>
      <c r="E36" s="10" t="s">
        <v>267</v>
      </c>
      <c r="F36" s="14" t="s">
        <v>268</v>
      </c>
      <c r="G36" s="10" t="s">
        <v>269</v>
      </c>
      <c r="H36" s="13" t="s">
        <v>48</v>
      </c>
      <c r="I36" s="10" t="s">
        <v>270</v>
      </c>
      <c r="J36" s="47" t="s">
        <v>271</v>
      </c>
    </row>
    <row r="37" spans="1:10" ht="16.5" hidden="1" customHeight="1" x14ac:dyDescent="0.3">
      <c r="A37" s="11" t="s">
        <v>272</v>
      </c>
      <c r="B37" s="9" t="s">
        <v>33</v>
      </c>
      <c r="C37" s="10" t="s">
        <v>273</v>
      </c>
      <c r="D37" s="13" t="s">
        <v>274</v>
      </c>
      <c r="E37" s="10" t="s">
        <v>275</v>
      </c>
      <c r="F37" s="14" t="s">
        <v>276</v>
      </c>
      <c r="G37" s="10" t="s">
        <v>277</v>
      </c>
      <c r="H37" s="13" t="s">
        <v>260</v>
      </c>
      <c r="I37" s="10" t="s">
        <v>278</v>
      </c>
      <c r="J37" s="47" t="s">
        <v>279</v>
      </c>
    </row>
    <row r="38" spans="1:10" ht="16.5" hidden="1" customHeight="1" x14ac:dyDescent="0.3">
      <c r="A38" s="11" t="s">
        <v>272</v>
      </c>
      <c r="B38" s="9" t="s">
        <v>280</v>
      </c>
      <c r="C38" s="10" t="s">
        <v>281</v>
      </c>
      <c r="D38" s="13" t="s">
        <v>282</v>
      </c>
      <c r="E38" s="10" t="s">
        <v>283</v>
      </c>
      <c r="F38" s="14" t="s">
        <v>284</v>
      </c>
      <c r="G38" s="10" t="s">
        <v>285</v>
      </c>
      <c r="H38" s="13" t="s">
        <v>106</v>
      </c>
      <c r="I38" s="10" t="s">
        <v>286</v>
      </c>
      <c r="J38" s="47" t="s">
        <v>287</v>
      </c>
    </row>
    <row r="39" spans="1:10" ht="16.5" hidden="1" customHeight="1" x14ac:dyDescent="0.3">
      <c r="A39" s="11" t="s">
        <v>272</v>
      </c>
      <c r="B39" s="9" t="s">
        <v>51</v>
      </c>
      <c r="C39" s="10" t="s">
        <v>288</v>
      </c>
      <c r="D39" s="13" t="s">
        <v>289</v>
      </c>
      <c r="E39" s="10" t="s">
        <v>290</v>
      </c>
      <c r="F39" s="14" t="s">
        <v>291</v>
      </c>
      <c r="G39" s="10" t="s">
        <v>292</v>
      </c>
      <c r="H39" s="13" t="s">
        <v>293</v>
      </c>
      <c r="I39" s="10" t="s">
        <v>294</v>
      </c>
      <c r="J39" s="47" t="s">
        <v>295</v>
      </c>
    </row>
    <row r="40" spans="1:10" ht="16.5" customHeight="1" x14ac:dyDescent="0.3">
      <c r="A40" s="11" t="s">
        <v>272</v>
      </c>
      <c r="B40" s="9" t="s">
        <v>60</v>
      </c>
      <c r="C40" s="10" t="s">
        <v>296</v>
      </c>
      <c r="D40" s="13" t="s">
        <v>297</v>
      </c>
      <c r="E40" s="10" t="s">
        <v>298</v>
      </c>
      <c r="F40" s="14" t="s">
        <v>299</v>
      </c>
      <c r="G40" s="10" t="s">
        <v>300</v>
      </c>
      <c r="H40" s="13" t="s">
        <v>138</v>
      </c>
      <c r="I40" s="10" t="s">
        <v>301</v>
      </c>
      <c r="J40" s="47" t="s">
        <v>302</v>
      </c>
    </row>
    <row r="41" spans="1:10" ht="16.5" hidden="1" customHeight="1" x14ac:dyDescent="0.3">
      <c r="A41" s="11" t="s">
        <v>272</v>
      </c>
      <c r="B41" s="9" t="s">
        <v>69</v>
      </c>
      <c r="C41" s="10" t="s">
        <v>303</v>
      </c>
      <c r="D41" s="13" t="s">
        <v>304</v>
      </c>
      <c r="E41" s="10" t="s">
        <v>305</v>
      </c>
      <c r="F41" s="14" t="s">
        <v>306</v>
      </c>
      <c r="G41" s="10" t="s">
        <v>307</v>
      </c>
      <c r="H41" s="13" t="s">
        <v>153</v>
      </c>
      <c r="I41" s="10" t="s">
        <v>308</v>
      </c>
      <c r="J41" s="47" t="s">
        <v>309</v>
      </c>
    </row>
    <row r="42" spans="1:10" ht="16.5" hidden="1" customHeight="1" x14ac:dyDescent="0.3">
      <c r="A42" s="11" t="s">
        <v>272</v>
      </c>
      <c r="B42" s="9" t="s">
        <v>87</v>
      </c>
      <c r="C42" s="10" t="s">
        <v>310</v>
      </c>
      <c r="D42" s="13" t="s">
        <v>311</v>
      </c>
      <c r="E42" s="10" t="s">
        <v>312</v>
      </c>
      <c r="F42" s="14" t="s">
        <v>313</v>
      </c>
      <c r="G42" s="10" t="s">
        <v>314</v>
      </c>
      <c r="H42" s="13" t="s">
        <v>136</v>
      </c>
      <c r="I42" s="10" t="s">
        <v>315</v>
      </c>
      <c r="J42" s="47" t="s">
        <v>316</v>
      </c>
    </row>
    <row r="43" spans="1:10" ht="16.5" hidden="1" customHeight="1" x14ac:dyDescent="0.3">
      <c r="A43" s="11" t="s">
        <v>272</v>
      </c>
      <c r="B43" s="9" t="s">
        <v>188</v>
      </c>
      <c r="C43" s="10" t="s">
        <v>317</v>
      </c>
      <c r="D43" s="13" t="s">
        <v>318</v>
      </c>
      <c r="E43" s="10" t="s">
        <v>319</v>
      </c>
      <c r="F43" s="14" t="s">
        <v>320</v>
      </c>
      <c r="G43" s="10" t="s">
        <v>321</v>
      </c>
      <c r="H43" s="13" t="s">
        <v>322</v>
      </c>
      <c r="I43" s="10" t="s">
        <v>323</v>
      </c>
      <c r="J43" s="47" t="s">
        <v>324</v>
      </c>
    </row>
    <row r="44" spans="1:10" ht="16.5" hidden="1" customHeight="1" x14ac:dyDescent="0.3">
      <c r="A44" s="11" t="s">
        <v>272</v>
      </c>
      <c r="B44" s="9" t="s">
        <v>23</v>
      </c>
      <c r="C44" s="10" t="s">
        <v>325</v>
      </c>
      <c r="D44" s="13" t="s">
        <v>326</v>
      </c>
      <c r="E44" s="10" t="s">
        <v>327</v>
      </c>
      <c r="F44" s="14" t="s">
        <v>328</v>
      </c>
      <c r="G44" s="10" t="s">
        <v>329</v>
      </c>
      <c r="H44" s="13" t="s">
        <v>330</v>
      </c>
      <c r="I44" s="10" t="s">
        <v>331</v>
      </c>
      <c r="J44" s="47" t="s">
        <v>332</v>
      </c>
    </row>
    <row r="45" spans="1:10" ht="16.5" hidden="1" customHeight="1" x14ac:dyDescent="0.3">
      <c r="A45" s="9" t="s">
        <v>333</v>
      </c>
      <c r="B45" s="9" t="s">
        <v>334</v>
      </c>
      <c r="C45" s="10" t="s">
        <v>335</v>
      </c>
      <c r="D45" s="13" t="s">
        <v>336</v>
      </c>
      <c r="E45" s="10" t="s">
        <v>337</v>
      </c>
      <c r="F45" s="14" t="s">
        <v>338</v>
      </c>
      <c r="G45" s="10" t="s">
        <v>339</v>
      </c>
      <c r="H45" s="13" t="s">
        <v>340</v>
      </c>
      <c r="I45" s="10" t="s">
        <v>341</v>
      </c>
      <c r="J45" s="47" t="s">
        <v>342</v>
      </c>
    </row>
    <row r="46" spans="1:10" ht="16.5" hidden="1" customHeight="1" x14ac:dyDescent="0.3">
      <c r="A46" s="9" t="s">
        <v>333</v>
      </c>
      <c r="B46" s="9" t="s">
        <v>23</v>
      </c>
      <c r="C46" s="10" t="s">
        <v>335</v>
      </c>
      <c r="D46" s="13" t="s">
        <v>336</v>
      </c>
      <c r="E46" s="10" t="s">
        <v>337</v>
      </c>
      <c r="F46" s="14" t="s">
        <v>338</v>
      </c>
      <c r="G46" s="10" t="s">
        <v>339</v>
      </c>
      <c r="H46" s="13" t="s">
        <v>340</v>
      </c>
      <c r="I46" s="10" t="s">
        <v>341</v>
      </c>
      <c r="J46" s="47" t="s">
        <v>342</v>
      </c>
    </row>
    <row r="47" spans="1:10" ht="16.5" hidden="1" customHeight="1" x14ac:dyDescent="0.3">
      <c r="A47" s="9" t="s">
        <v>343</v>
      </c>
      <c r="B47" s="9" t="s">
        <v>69</v>
      </c>
      <c r="C47" s="10" t="s">
        <v>344</v>
      </c>
      <c r="D47" s="13" t="s">
        <v>345</v>
      </c>
      <c r="E47" s="10" t="s">
        <v>346</v>
      </c>
      <c r="F47" s="14" t="s">
        <v>347</v>
      </c>
      <c r="G47" s="10" t="s">
        <v>348</v>
      </c>
      <c r="H47" s="13" t="s">
        <v>39</v>
      </c>
      <c r="I47" s="10" t="s">
        <v>349</v>
      </c>
      <c r="J47" s="47" t="s">
        <v>350</v>
      </c>
    </row>
    <row r="48" spans="1:10" ht="16.5" hidden="1" customHeight="1" x14ac:dyDescent="0.3">
      <c r="A48" s="9" t="s">
        <v>343</v>
      </c>
      <c r="B48" s="9" t="s">
        <v>334</v>
      </c>
      <c r="C48" s="10" t="s">
        <v>351</v>
      </c>
      <c r="D48" s="13" t="s">
        <v>352</v>
      </c>
      <c r="E48" s="10" t="s">
        <v>353</v>
      </c>
      <c r="F48" s="14" t="s">
        <v>354</v>
      </c>
      <c r="G48" s="10" t="s">
        <v>355</v>
      </c>
      <c r="H48" s="13" t="s">
        <v>356</v>
      </c>
      <c r="I48" s="10" t="s">
        <v>357</v>
      </c>
      <c r="J48" s="47" t="s">
        <v>358</v>
      </c>
    </row>
    <row r="49" spans="1:10" ht="16.5" hidden="1" customHeight="1" x14ac:dyDescent="0.3">
      <c r="A49" s="9" t="s">
        <v>343</v>
      </c>
      <c r="B49" s="9" t="s">
        <v>359</v>
      </c>
      <c r="C49" s="10" t="s">
        <v>360</v>
      </c>
      <c r="D49" s="13" t="s">
        <v>84</v>
      </c>
      <c r="E49" s="10" t="s">
        <v>361</v>
      </c>
      <c r="F49" s="14" t="s">
        <v>362</v>
      </c>
      <c r="G49" s="10" t="s">
        <v>363</v>
      </c>
      <c r="H49" s="13" t="s">
        <v>57</v>
      </c>
      <c r="I49" s="10" t="s">
        <v>364</v>
      </c>
      <c r="J49" s="47" t="s">
        <v>365</v>
      </c>
    </row>
    <row r="50" spans="1:10" ht="16.5" hidden="1" customHeight="1" x14ac:dyDescent="0.3">
      <c r="A50" s="9" t="s">
        <v>343</v>
      </c>
      <c r="B50" s="9" t="s">
        <v>23</v>
      </c>
      <c r="C50" s="10" t="s">
        <v>366</v>
      </c>
      <c r="D50" s="13" t="s">
        <v>367</v>
      </c>
      <c r="E50" s="10" t="s">
        <v>368</v>
      </c>
      <c r="F50" s="14" t="s">
        <v>369</v>
      </c>
      <c r="G50" s="10" t="s">
        <v>370</v>
      </c>
      <c r="H50" s="13" t="s">
        <v>371</v>
      </c>
      <c r="I50" s="10" t="s">
        <v>372</v>
      </c>
      <c r="J50" s="47" t="s">
        <v>373</v>
      </c>
    </row>
    <row r="51" spans="1:10" ht="16.5" hidden="1" customHeight="1" x14ac:dyDescent="0.3">
      <c r="A51" s="11" t="s">
        <v>374</v>
      </c>
      <c r="B51" s="9" t="s">
        <v>280</v>
      </c>
      <c r="C51" s="10" t="s">
        <v>375</v>
      </c>
      <c r="D51" s="13" t="s">
        <v>376</v>
      </c>
      <c r="E51" s="10" t="s">
        <v>377</v>
      </c>
      <c r="F51" s="14" t="s">
        <v>378</v>
      </c>
      <c r="G51" s="10" t="s">
        <v>379</v>
      </c>
      <c r="H51" s="13" t="s">
        <v>185</v>
      </c>
      <c r="I51" s="10" t="s">
        <v>380</v>
      </c>
      <c r="J51" s="47" t="s">
        <v>381</v>
      </c>
    </row>
    <row r="52" spans="1:10" ht="16.5" hidden="1" customHeight="1" x14ac:dyDescent="0.3">
      <c r="A52" s="11" t="s">
        <v>374</v>
      </c>
      <c r="B52" s="9" t="s">
        <v>87</v>
      </c>
      <c r="C52" s="10" t="s">
        <v>382</v>
      </c>
      <c r="D52" s="13" t="s">
        <v>383</v>
      </c>
      <c r="E52" s="10" t="s">
        <v>384</v>
      </c>
      <c r="F52" s="14" t="s">
        <v>385</v>
      </c>
      <c r="G52" s="10" t="s">
        <v>386</v>
      </c>
      <c r="H52" s="13" t="s">
        <v>84</v>
      </c>
      <c r="I52" s="10" t="s">
        <v>387</v>
      </c>
      <c r="J52" s="47" t="s">
        <v>388</v>
      </c>
    </row>
    <row r="53" spans="1:10" ht="16.5" hidden="1" customHeight="1" x14ac:dyDescent="0.3">
      <c r="A53" s="11" t="s">
        <v>374</v>
      </c>
      <c r="B53" s="9" t="s">
        <v>23</v>
      </c>
      <c r="C53" s="10" t="s">
        <v>389</v>
      </c>
      <c r="D53" s="13" t="s">
        <v>390</v>
      </c>
      <c r="E53" s="10" t="s">
        <v>391</v>
      </c>
      <c r="F53" s="14" t="s">
        <v>392</v>
      </c>
      <c r="G53" s="10" t="s">
        <v>393</v>
      </c>
      <c r="H53" s="13" t="s">
        <v>185</v>
      </c>
      <c r="I53" s="10" t="s">
        <v>394</v>
      </c>
      <c r="J53" s="47" t="s">
        <v>395</v>
      </c>
    </row>
    <row r="54" spans="1:10" ht="16.5" hidden="1" customHeight="1" x14ac:dyDescent="0.3">
      <c r="A54" s="11" t="s">
        <v>396</v>
      </c>
      <c r="B54" s="9" t="s">
        <v>33</v>
      </c>
      <c r="C54" s="10" t="s">
        <v>397</v>
      </c>
      <c r="D54" s="13" t="s">
        <v>398</v>
      </c>
      <c r="E54" s="10" t="s">
        <v>399</v>
      </c>
      <c r="F54" s="14" t="s">
        <v>400</v>
      </c>
      <c r="G54" s="10" t="s">
        <v>401</v>
      </c>
      <c r="H54" s="13" t="s">
        <v>402</v>
      </c>
      <c r="I54" s="10" t="s">
        <v>403</v>
      </c>
      <c r="J54" s="47" t="s">
        <v>404</v>
      </c>
    </row>
    <row r="55" spans="1:10" ht="16.5" hidden="1" customHeight="1" x14ac:dyDescent="0.3">
      <c r="A55" s="30" t="s">
        <v>396</v>
      </c>
      <c r="B55" s="29" t="s">
        <v>51</v>
      </c>
      <c r="C55" s="10" t="s">
        <v>405</v>
      </c>
      <c r="D55" s="13" t="s">
        <v>406</v>
      </c>
      <c r="E55" s="10" t="s">
        <v>407</v>
      </c>
      <c r="F55" s="14" t="s">
        <v>408</v>
      </c>
      <c r="G55" s="10" t="s">
        <v>409</v>
      </c>
      <c r="H55" s="13" t="s">
        <v>106</v>
      </c>
      <c r="I55" s="10" t="s">
        <v>410</v>
      </c>
      <c r="J55" s="47" t="s">
        <v>411</v>
      </c>
    </row>
    <row r="56" spans="1:10" ht="16.5" customHeight="1" x14ac:dyDescent="0.3">
      <c r="A56" s="27" t="s">
        <v>396</v>
      </c>
      <c r="B56" s="26" t="s">
        <v>60</v>
      </c>
      <c r="C56" s="10" t="s">
        <v>412</v>
      </c>
      <c r="D56" s="28" t="s">
        <v>413</v>
      </c>
      <c r="E56" s="10" t="s">
        <v>414</v>
      </c>
      <c r="F56" s="14" t="s">
        <v>415</v>
      </c>
      <c r="G56" s="10" t="s">
        <v>416</v>
      </c>
      <c r="H56" s="28" t="s">
        <v>417</v>
      </c>
      <c r="I56" s="10" t="s">
        <v>418</v>
      </c>
      <c r="J56" s="48" t="s">
        <v>419</v>
      </c>
    </row>
    <row r="57" spans="1:10" ht="16.5" hidden="1" customHeight="1" x14ac:dyDescent="0.3">
      <c r="A57" s="27" t="s">
        <v>396</v>
      </c>
      <c r="B57" s="26" t="s">
        <v>69</v>
      </c>
      <c r="C57" s="10" t="s">
        <v>420</v>
      </c>
      <c r="D57" s="28" t="s">
        <v>421</v>
      </c>
      <c r="E57" s="10" t="s">
        <v>422</v>
      </c>
      <c r="F57" s="14" t="s">
        <v>423</v>
      </c>
      <c r="G57" s="10" t="s">
        <v>424</v>
      </c>
      <c r="H57" s="28" t="s">
        <v>138</v>
      </c>
      <c r="I57" s="10" t="s">
        <v>425</v>
      </c>
      <c r="J57" s="48" t="s">
        <v>426</v>
      </c>
    </row>
    <row r="58" spans="1:10" ht="16.5" hidden="1" customHeight="1" x14ac:dyDescent="0.3">
      <c r="A58" s="27" t="s">
        <v>396</v>
      </c>
      <c r="B58" s="26" t="s">
        <v>87</v>
      </c>
      <c r="C58" s="10" t="s">
        <v>427</v>
      </c>
      <c r="D58" s="28" t="s">
        <v>428</v>
      </c>
      <c r="E58" s="10" t="s">
        <v>429</v>
      </c>
      <c r="F58" s="14" t="s">
        <v>430</v>
      </c>
      <c r="G58" s="10" t="s">
        <v>431</v>
      </c>
      <c r="H58" s="28" t="s">
        <v>432</v>
      </c>
      <c r="I58" s="10" t="s">
        <v>433</v>
      </c>
      <c r="J58" s="48" t="s">
        <v>434</v>
      </c>
    </row>
    <row r="59" spans="1:10" ht="16.5" hidden="1" customHeight="1" x14ac:dyDescent="0.3">
      <c r="A59" s="11" t="s">
        <v>396</v>
      </c>
      <c r="B59" s="9" t="s">
        <v>188</v>
      </c>
      <c r="C59" s="10" t="s">
        <v>435</v>
      </c>
      <c r="D59" s="13" t="s">
        <v>436</v>
      </c>
      <c r="E59" s="10" t="s">
        <v>437</v>
      </c>
      <c r="F59" s="14" t="s">
        <v>438</v>
      </c>
      <c r="G59" s="10" t="s">
        <v>439</v>
      </c>
      <c r="H59" s="13" t="s">
        <v>440</v>
      </c>
      <c r="I59" s="10" t="s">
        <v>441</v>
      </c>
      <c r="J59" s="47" t="s">
        <v>442</v>
      </c>
    </row>
    <row r="60" spans="1:10" ht="16.5" hidden="1" customHeight="1" x14ac:dyDescent="0.3">
      <c r="A60" s="11" t="s">
        <v>396</v>
      </c>
      <c r="B60" s="9" t="s">
        <v>23</v>
      </c>
      <c r="C60" s="10" t="s">
        <v>443</v>
      </c>
      <c r="D60" s="13" t="s">
        <v>444</v>
      </c>
      <c r="E60" s="10" t="s">
        <v>445</v>
      </c>
      <c r="F60" s="14" t="s">
        <v>446</v>
      </c>
      <c r="G60" s="10" t="s">
        <v>447</v>
      </c>
      <c r="H60" s="13" t="s">
        <v>448</v>
      </c>
      <c r="I60" s="10" t="s">
        <v>449</v>
      </c>
      <c r="J60" s="47" t="s">
        <v>450</v>
      </c>
    </row>
    <row r="61" spans="1:10" ht="16.5" hidden="1" customHeight="1" x14ac:dyDescent="0.3">
      <c r="A61" s="11" t="s">
        <v>451</v>
      </c>
      <c r="B61" s="9" t="s">
        <v>69</v>
      </c>
      <c r="C61" s="10" t="s">
        <v>452</v>
      </c>
      <c r="D61" s="13" t="s">
        <v>84</v>
      </c>
      <c r="E61" s="10" t="s">
        <v>453</v>
      </c>
      <c r="F61" s="14" t="s">
        <v>417</v>
      </c>
      <c r="G61" s="10" t="s">
        <v>454</v>
      </c>
      <c r="H61" s="13" t="s">
        <v>57</v>
      </c>
      <c r="I61" s="10" t="s">
        <v>455</v>
      </c>
      <c r="J61" s="47" t="s">
        <v>93</v>
      </c>
    </row>
    <row r="62" spans="1:10" ht="16.5" hidden="1" customHeight="1" x14ac:dyDescent="0.3">
      <c r="A62" s="11" t="s">
        <v>451</v>
      </c>
      <c r="B62" s="9" t="s">
        <v>78</v>
      </c>
      <c r="C62" s="10" t="s">
        <v>456</v>
      </c>
      <c r="D62" s="13" t="s">
        <v>57</v>
      </c>
      <c r="E62" s="10" t="s">
        <v>457</v>
      </c>
      <c r="F62" s="14" t="s">
        <v>402</v>
      </c>
      <c r="G62" s="10" t="s">
        <v>458</v>
      </c>
      <c r="H62" s="13" t="s">
        <v>57</v>
      </c>
      <c r="I62" s="10" t="s">
        <v>459</v>
      </c>
      <c r="J62" s="47" t="s">
        <v>84</v>
      </c>
    </row>
    <row r="63" spans="1:10" ht="16.5" hidden="1" customHeight="1" x14ac:dyDescent="0.3">
      <c r="A63" s="11" t="s">
        <v>451</v>
      </c>
      <c r="B63" s="9" t="s">
        <v>87</v>
      </c>
      <c r="C63" s="10" t="s">
        <v>460</v>
      </c>
      <c r="D63" s="13" t="s">
        <v>57</v>
      </c>
      <c r="E63" s="10" t="s">
        <v>461</v>
      </c>
      <c r="F63" s="14" t="s">
        <v>138</v>
      </c>
      <c r="G63" s="10" t="s">
        <v>462</v>
      </c>
      <c r="H63" s="13" t="s">
        <v>57</v>
      </c>
      <c r="I63" s="10" t="s">
        <v>463</v>
      </c>
      <c r="J63" s="47" t="s">
        <v>84</v>
      </c>
    </row>
    <row r="64" spans="1:10" ht="16.5" hidden="1" customHeight="1" x14ac:dyDescent="0.3">
      <c r="A64" s="11" t="s">
        <v>451</v>
      </c>
      <c r="B64" s="9" t="s">
        <v>23</v>
      </c>
      <c r="C64" s="10" t="s">
        <v>464</v>
      </c>
      <c r="D64" s="13" t="s">
        <v>84</v>
      </c>
      <c r="E64" s="10" t="s">
        <v>465</v>
      </c>
      <c r="F64" s="14" t="s">
        <v>466</v>
      </c>
      <c r="G64" s="10" t="s">
        <v>467</v>
      </c>
      <c r="H64" s="13" t="s">
        <v>57</v>
      </c>
      <c r="I64" s="10" t="s">
        <v>468</v>
      </c>
      <c r="J64" s="47" t="s">
        <v>48</v>
      </c>
    </row>
    <row r="65" spans="1:10" ht="16.5" hidden="1" customHeight="1" x14ac:dyDescent="0.3">
      <c r="A65" s="11" t="s">
        <v>469</v>
      </c>
      <c r="B65" s="9" t="s">
        <v>470</v>
      </c>
      <c r="C65" s="10" t="s">
        <v>471</v>
      </c>
      <c r="D65" s="13" t="s">
        <v>106</v>
      </c>
      <c r="E65" s="10" t="s">
        <v>472</v>
      </c>
      <c r="F65" s="14" t="s">
        <v>473</v>
      </c>
      <c r="G65" s="10" t="s">
        <v>474</v>
      </c>
      <c r="H65" s="13" t="s">
        <v>185</v>
      </c>
      <c r="I65" s="10" t="s">
        <v>475</v>
      </c>
      <c r="J65" s="47" t="s">
        <v>476</v>
      </c>
    </row>
    <row r="66" spans="1:10" ht="16.5" hidden="1" customHeight="1" x14ac:dyDescent="0.3">
      <c r="A66" s="11" t="s">
        <v>469</v>
      </c>
      <c r="B66" s="9" t="s">
        <v>477</v>
      </c>
      <c r="C66" s="10" t="s">
        <v>478</v>
      </c>
      <c r="D66" s="13" t="s">
        <v>479</v>
      </c>
      <c r="E66" s="10" t="s">
        <v>480</v>
      </c>
      <c r="F66" s="14" t="s">
        <v>481</v>
      </c>
      <c r="G66" s="10" t="s">
        <v>482</v>
      </c>
      <c r="H66" s="13" t="s">
        <v>356</v>
      </c>
      <c r="I66" s="10" t="s">
        <v>483</v>
      </c>
      <c r="J66" s="47" t="s">
        <v>484</v>
      </c>
    </row>
    <row r="67" spans="1:10" ht="16.5" hidden="1" customHeight="1" x14ac:dyDescent="0.3">
      <c r="A67" s="11" t="s">
        <v>469</v>
      </c>
      <c r="B67" s="9" t="s">
        <v>485</v>
      </c>
      <c r="C67" s="10" t="s">
        <v>486</v>
      </c>
      <c r="D67" s="13" t="s">
        <v>219</v>
      </c>
      <c r="E67" s="10" t="s">
        <v>487</v>
      </c>
      <c r="F67" s="14" t="s">
        <v>488</v>
      </c>
      <c r="G67" s="10" t="s">
        <v>489</v>
      </c>
      <c r="H67" s="13" t="s">
        <v>490</v>
      </c>
      <c r="I67" s="10" t="s">
        <v>491</v>
      </c>
      <c r="J67" s="47" t="s">
        <v>492</v>
      </c>
    </row>
    <row r="68" spans="1:10" ht="16.5" hidden="1" customHeight="1" x14ac:dyDescent="0.3">
      <c r="A68" s="11" t="s">
        <v>469</v>
      </c>
      <c r="B68" s="9" t="s">
        <v>493</v>
      </c>
      <c r="C68" s="10" t="s">
        <v>494</v>
      </c>
      <c r="D68" s="13" t="s">
        <v>260</v>
      </c>
      <c r="E68" s="10" t="s">
        <v>495</v>
      </c>
      <c r="F68" s="14" t="s">
        <v>496</v>
      </c>
      <c r="G68" s="10" t="s">
        <v>497</v>
      </c>
      <c r="H68" s="13" t="s">
        <v>84</v>
      </c>
      <c r="I68" s="10" t="s">
        <v>498</v>
      </c>
      <c r="J68" s="47" t="s">
        <v>499</v>
      </c>
    </row>
    <row r="69" spans="1:10" ht="16.5" hidden="1" customHeight="1" x14ac:dyDescent="0.3">
      <c r="A69" s="11" t="s">
        <v>469</v>
      </c>
      <c r="B69" s="9" t="s">
        <v>23</v>
      </c>
      <c r="C69" s="10" t="s">
        <v>500</v>
      </c>
      <c r="D69" s="13" t="s">
        <v>501</v>
      </c>
      <c r="E69" s="10" t="s">
        <v>502</v>
      </c>
      <c r="F69" s="14" t="s">
        <v>503</v>
      </c>
      <c r="G69" s="10" t="s">
        <v>504</v>
      </c>
      <c r="H69" s="13" t="s">
        <v>505</v>
      </c>
      <c r="I69" s="10" t="s">
        <v>506</v>
      </c>
      <c r="J69" s="47" t="s">
        <v>507</v>
      </c>
    </row>
    <row r="70" spans="1:10" ht="16.5" hidden="1" customHeight="1" x14ac:dyDescent="0.3">
      <c r="A70" s="11" t="s">
        <v>508</v>
      </c>
      <c r="B70" s="9" t="s">
        <v>69</v>
      </c>
      <c r="C70" s="10" t="s">
        <v>509</v>
      </c>
      <c r="D70" s="13" t="s">
        <v>509</v>
      </c>
      <c r="E70" s="10" t="s">
        <v>510</v>
      </c>
      <c r="F70" s="14" t="s">
        <v>247</v>
      </c>
      <c r="G70" s="10" t="s">
        <v>509</v>
      </c>
      <c r="H70" s="13" t="s">
        <v>509</v>
      </c>
      <c r="I70" s="10" t="s">
        <v>511</v>
      </c>
      <c r="J70" s="47" t="s">
        <v>185</v>
      </c>
    </row>
    <row r="71" spans="1:10" ht="16.5" hidden="1" customHeight="1" x14ac:dyDescent="0.3">
      <c r="A71" s="11" t="s">
        <v>508</v>
      </c>
      <c r="B71" s="9" t="s">
        <v>87</v>
      </c>
      <c r="C71" s="10" t="s">
        <v>509</v>
      </c>
      <c r="D71" s="13" t="s">
        <v>509</v>
      </c>
      <c r="E71" s="10" t="s">
        <v>512</v>
      </c>
      <c r="F71" s="14" t="s">
        <v>57</v>
      </c>
      <c r="G71" s="10" t="s">
        <v>509</v>
      </c>
      <c r="H71" s="13" t="s">
        <v>509</v>
      </c>
      <c r="I71" s="10" t="s">
        <v>513</v>
      </c>
      <c r="J71" s="47" t="s">
        <v>57</v>
      </c>
    </row>
    <row r="72" spans="1:10" ht="16.5" hidden="1" customHeight="1" x14ac:dyDescent="0.3">
      <c r="A72" s="11" t="s">
        <v>508</v>
      </c>
      <c r="B72" s="9" t="s">
        <v>23</v>
      </c>
      <c r="C72" s="10" t="s">
        <v>509</v>
      </c>
      <c r="D72" s="13" t="s">
        <v>509</v>
      </c>
      <c r="E72" s="10" t="s">
        <v>514</v>
      </c>
      <c r="F72" s="14" t="s">
        <v>247</v>
      </c>
      <c r="G72" s="10" t="s">
        <v>509</v>
      </c>
      <c r="H72" s="13" t="s">
        <v>509</v>
      </c>
      <c r="I72" s="10" t="s">
        <v>515</v>
      </c>
      <c r="J72" s="47" t="s">
        <v>185</v>
      </c>
    </row>
    <row r="73" spans="1:10" ht="16.5" hidden="1" customHeight="1" x14ac:dyDescent="0.3">
      <c r="A73" s="11" t="s">
        <v>516</v>
      </c>
      <c r="B73" s="9" t="s">
        <v>33</v>
      </c>
      <c r="C73" s="10" t="s">
        <v>517</v>
      </c>
      <c r="D73" s="13" t="s">
        <v>293</v>
      </c>
      <c r="E73" s="10" t="s">
        <v>518</v>
      </c>
      <c r="F73" s="14" t="s">
        <v>519</v>
      </c>
      <c r="G73" s="10" t="s">
        <v>520</v>
      </c>
      <c r="H73" s="13" t="s">
        <v>57</v>
      </c>
      <c r="I73" s="10" t="s">
        <v>521</v>
      </c>
      <c r="J73" s="47" t="s">
        <v>522</v>
      </c>
    </row>
    <row r="74" spans="1:10" ht="16.5" hidden="1" customHeight="1" x14ac:dyDescent="0.3">
      <c r="A74" s="11" t="s">
        <v>516</v>
      </c>
      <c r="B74" s="9" t="s">
        <v>280</v>
      </c>
      <c r="C74" s="10" t="s">
        <v>523</v>
      </c>
      <c r="D74" s="13" t="s">
        <v>266</v>
      </c>
      <c r="E74" s="10" t="s">
        <v>524</v>
      </c>
      <c r="F74" s="14" t="s">
        <v>525</v>
      </c>
      <c r="G74" s="10" t="s">
        <v>526</v>
      </c>
      <c r="H74" s="13" t="s">
        <v>84</v>
      </c>
      <c r="I74" s="10" t="s">
        <v>527</v>
      </c>
      <c r="J74" s="47" t="s">
        <v>528</v>
      </c>
    </row>
    <row r="75" spans="1:10" ht="16.5" hidden="1" customHeight="1" x14ac:dyDescent="0.3">
      <c r="A75" s="11" t="s">
        <v>516</v>
      </c>
      <c r="B75" s="9" t="s">
        <v>69</v>
      </c>
      <c r="C75" s="10" t="s">
        <v>529</v>
      </c>
      <c r="D75" s="13" t="s">
        <v>530</v>
      </c>
      <c r="E75" s="10" t="s">
        <v>531</v>
      </c>
      <c r="F75" s="14" t="s">
        <v>532</v>
      </c>
      <c r="G75" s="10" t="s">
        <v>533</v>
      </c>
      <c r="H75" s="13" t="s">
        <v>84</v>
      </c>
      <c r="I75" s="10" t="s">
        <v>534</v>
      </c>
      <c r="J75" s="47" t="s">
        <v>535</v>
      </c>
    </row>
    <row r="76" spans="1:10" ht="16.5" hidden="1" customHeight="1" x14ac:dyDescent="0.3">
      <c r="A76" s="11" t="s">
        <v>516</v>
      </c>
      <c r="B76" s="9" t="s">
        <v>87</v>
      </c>
      <c r="C76" s="10" t="s">
        <v>536</v>
      </c>
      <c r="D76" s="13" t="s">
        <v>293</v>
      </c>
      <c r="E76" s="10" t="s">
        <v>537</v>
      </c>
      <c r="F76" s="14" t="s">
        <v>538</v>
      </c>
      <c r="G76" s="10" t="s">
        <v>539</v>
      </c>
      <c r="H76" s="13" t="s">
        <v>185</v>
      </c>
      <c r="I76" s="10" t="s">
        <v>540</v>
      </c>
      <c r="J76" s="47" t="s">
        <v>541</v>
      </c>
    </row>
    <row r="77" spans="1:10" ht="16.5" hidden="1" customHeight="1" x14ac:dyDescent="0.3">
      <c r="A77" s="11" t="s">
        <v>516</v>
      </c>
      <c r="B77" s="9" t="s">
        <v>188</v>
      </c>
      <c r="C77" s="10" t="s">
        <v>542</v>
      </c>
      <c r="D77" s="13" t="s">
        <v>201</v>
      </c>
      <c r="E77" s="10" t="s">
        <v>543</v>
      </c>
      <c r="F77" s="14" t="s">
        <v>544</v>
      </c>
      <c r="G77" s="10" t="s">
        <v>545</v>
      </c>
      <c r="H77" s="13" t="s">
        <v>57</v>
      </c>
      <c r="I77" s="10" t="s">
        <v>546</v>
      </c>
      <c r="J77" s="47" t="s">
        <v>547</v>
      </c>
    </row>
    <row r="78" spans="1:10" ht="16.5" hidden="1" customHeight="1" x14ac:dyDescent="0.3">
      <c r="A78" s="11" t="s">
        <v>516</v>
      </c>
      <c r="B78" s="9" t="s">
        <v>23</v>
      </c>
      <c r="C78" s="10" t="s">
        <v>548</v>
      </c>
      <c r="D78" s="13" t="s">
        <v>549</v>
      </c>
      <c r="E78" s="10" t="s">
        <v>550</v>
      </c>
      <c r="F78" s="14" t="s">
        <v>551</v>
      </c>
      <c r="G78" s="10" t="s">
        <v>552</v>
      </c>
      <c r="H78" s="13" t="s">
        <v>106</v>
      </c>
      <c r="I78" s="10" t="s">
        <v>553</v>
      </c>
      <c r="J78" s="47" t="s">
        <v>554</v>
      </c>
    </row>
    <row r="79" spans="1:10" ht="16.5" hidden="1" customHeight="1" x14ac:dyDescent="0.3">
      <c r="A79" s="11" t="s">
        <v>555</v>
      </c>
      <c r="B79" s="9" t="s">
        <v>33</v>
      </c>
      <c r="C79" s="10" t="s">
        <v>556</v>
      </c>
      <c r="D79" s="13" t="s">
        <v>557</v>
      </c>
      <c r="E79" s="10" t="s">
        <v>558</v>
      </c>
      <c r="F79" s="14" t="s">
        <v>559</v>
      </c>
      <c r="G79" s="10" t="s">
        <v>560</v>
      </c>
      <c r="H79" s="13" t="s">
        <v>84</v>
      </c>
      <c r="I79" s="10" t="s">
        <v>561</v>
      </c>
      <c r="J79" s="47" t="s">
        <v>562</v>
      </c>
    </row>
    <row r="80" spans="1:10" ht="16.5" hidden="1" customHeight="1" x14ac:dyDescent="0.3">
      <c r="A80" s="11" t="s">
        <v>555</v>
      </c>
      <c r="B80" s="9" t="s">
        <v>42</v>
      </c>
      <c r="C80" s="10" t="s">
        <v>563</v>
      </c>
      <c r="D80" s="13" t="s">
        <v>564</v>
      </c>
      <c r="E80" s="10" t="s">
        <v>565</v>
      </c>
      <c r="F80" s="14" t="s">
        <v>566</v>
      </c>
      <c r="G80" s="10" t="s">
        <v>567</v>
      </c>
      <c r="H80" s="13" t="s">
        <v>106</v>
      </c>
      <c r="I80" s="10" t="s">
        <v>568</v>
      </c>
      <c r="J80" s="47" t="s">
        <v>569</v>
      </c>
    </row>
    <row r="81" spans="1:10" ht="16.5" customHeight="1" x14ac:dyDescent="0.3">
      <c r="A81" s="11" t="s">
        <v>555</v>
      </c>
      <c r="B81" s="9" t="s">
        <v>60</v>
      </c>
      <c r="C81" s="10" t="s">
        <v>570</v>
      </c>
      <c r="D81" s="13" t="s">
        <v>571</v>
      </c>
      <c r="E81" s="10" t="s">
        <v>572</v>
      </c>
      <c r="F81" s="14" t="s">
        <v>573</v>
      </c>
      <c r="G81" s="10" t="s">
        <v>574</v>
      </c>
      <c r="H81" s="13" t="s">
        <v>145</v>
      </c>
      <c r="I81" s="10" t="s">
        <v>575</v>
      </c>
      <c r="J81" s="47" t="s">
        <v>576</v>
      </c>
    </row>
    <row r="82" spans="1:10" ht="16.5" hidden="1" customHeight="1" x14ac:dyDescent="0.3">
      <c r="A82" s="11" t="s">
        <v>555</v>
      </c>
      <c r="B82" s="9" t="s">
        <v>69</v>
      </c>
      <c r="C82" s="10" t="s">
        <v>577</v>
      </c>
      <c r="D82" s="13" t="s">
        <v>578</v>
      </c>
      <c r="E82" s="10" t="s">
        <v>579</v>
      </c>
      <c r="F82" s="14" t="s">
        <v>580</v>
      </c>
      <c r="G82" s="10" t="s">
        <v>581</v>
      </c>
      <c r="H82" s="13" t="s">
        <v>582</v>
      </c>
      <c r="I82" s="10" t="s">
        <v>583</v>
      </c>
      <c r="J82" s="47" t="s">
        <v>584</v>
      </c>
    </row>
    <row r="83" spans="1:10" ht="16.5" hidden="1" customHeight="1" x14ac:dyDescent="0.3">
      <c r="A83" s="11" t="s">
        <v>555</v>
      </c>
      <c r="B83" s="9" t="s">
        <v>78</v>
      </c>
      <c r="C83" s="10" t="s">
        <v>585</v>
      </c>
      <c r="D83" s="13" t="s">
        <v>586</v>
      </c>
      <c r="E83" s="10" t="s">
        <v>587</v>
      </c>
      <c r="F83" s="14" t="s">
        <v>588</v>
      </c>
      <c r="G83" s="10" t="s">
        <v>589</v>
      </c>
      <c r="H83" s="13" t="s">
        <v>185</v>
      </c>
      <c r="I83" s="10" t="s">
        <v>590</v>
      </c>
      <c r="J83" s="47" t="s">
        <v>591</v>
      </c>
    </row>
    <row r="84" spans="1:10" ht="16.5" hidden="1" customHeight="1" x14ac:dyDescent="0.3">
      <c r="A84" s="11" t="s">
        <v>555</v>
      </c>
      <c r="B84" s="9" t="s">
        <v>87</v>
      </c>
      <c r="C84" s="10" t="s">
        <v>592</v>
      </c>
      <c r="D84" s="13" t="s">
        <v>571</v>
      </c>
      <c r="E84" s="10" t="s">
        <v>593</v>
      </c>
      <c r="F84" s="14" t="s">
        <v>594</v>
      </c>
      <c r="G84" s="10" t="s">
        <v>595</v>
      </c>
      <c r="H84" s="13" t="s">
        <v>106</v>
      </c>
      <c r="I84" s="10" t="s">
        <v>596</v>
      </c>
      <c r="J84" s="47" t="s">
        <v>597</v>
      </c>
    </row>
    <row r="85" spans="1:10" ht="16.5" hidden="1" customHeight="1" x14ac:dyDescent="0.3">
      <c r="A85" s="11" t="s">
        <v>555</v>
      </c>
      <c r="B85" s="9" t="s">
        <v>23</v>
      </c>
      <c r="C85" s="10" t="s">
        <v>598</v>
      </c>
      <c r="D85" s="13" t="s">
        <v>599</v>
      </c>
      <c r="E85" s="10" t="s">
        <v>600</v>
      </c>
      <c r="F85" s="14" t="s">
        <v>601</v>
      </c>
      <c r="G85" s="10" t="s">
        <v>602</v>
      </c>
      <c r="H85" s="13" t="s">
        <v>190</v>
      </c>
      <c r="I85" s="10" t="s">
        <v>603</v>
      </c>
      <c r="J85" s="47" t="s">
        <v>604</v>
      </c>
    </row>
    <row r="86" spans="1:10" ht="16.5" hidden="1" customHeight="1" x14ac:dyDescent="0.3">
      <c r="A86" s="11" t="s">
        <v>605</v>
      </c>
      <c r="B86" s="9" t="s">
        <v>69</v>
      </c>
      <c r="C86" s="10" t="s">
        <v>606</v>
      </c>
      <c r="D86" s="13" t="s">
        <v>440</v>
      </c>
      <c r="E86" s="10" t="s">
        <v>607</v>
      </c>
      <c r="F86" s="14" t="s">
        <v>608</v>
      </c>
      <c r="G86" s="10" t="s">
        <v>609</v>
      </c>
      <c r="H86" s="13" t="s">
        <v>185</v>
      </c>
      <c r="I86" s="10" t="s">
        <v>610</v>
      </c>
      <c r="J86" s="47" t="s">
        <v>611</v>
      </c>
    </row>
    <row r="87" spans="1:10" ht="16.5" hidden="1" customHeight="1" x14ac:dyDescent="0.3">
      <c r="A87" s="11" t="s">
        <v>605</v>
      </c>
      <c r="B87" s="9" t="s">
        <v>612</v>
      </c>
      <c r="C87" s="10" t="s">
        <v>613</v>
      </c>
      <c r="D87" s="13" t="s">
        <v>57</v>
      </c>
      <c r="E87" s="10" t="s">
        <v>614</v>
      </c>
      <c r="F87" s="14" t="s">
        <v>615</v>
      </c>
      <c r="G87" s="10" t="s">
        <v>616</v>
      </c>
      <c r="H87" s="13" t="s">
        <v>57</v>
      </c>
      <c r="I87" s="10" t="s">
        <v>617</v>
      </c>
      <c r="J87" s="47" t="s">
        <v>93</v>
      </c>
    </row>
  </sheetData>
  <mergeCells count="6">
    <mergeCell ref="A1:J1"/>
    <mergeCell ref="C2:F2"/>
    <mergeCell ref="G2:J2"/>
    <mergeCell ref="C3:D3"/>
    <mergeCell ref="G3:H3"/>
    <mergeCell ref="I3:J3"/>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CC6C-142C-4C8E-939E-B782BBF017C6}">
  <dimension ref="B1:J11"/>
  <sheetViews>
    <sheetView zoomScale="80" zoomScaleNormal="80" workbookViewId="0">
      <selection activeCell="C10" sqref="C10"/>
    </sheetView>
  </sheetViews>
  <sheetFormatPr defaultRowHeight="14.4" x14ac:dyDescent="0.3"/>
  <cols>
    <col min="2" max="2" width="28.6640625" customWidth="1"/>
    <col min="3" max="10" width="20" customWidth="1"/>
  </cols>
  <sheetData>
    <row r="1" spans="2:10" ht="15" thickBot="1" x14ac:dyDescent="0.35">
      <c r="B1" t="s">
        <v>725</v>
      </c>
    </row>
    <row r="2" spans="2:10" ht="15.75" customHeight="1" thickBot="1" x14ac:dyDescent="0.35">
      <c r="C2" s="73" t="s">
        <v>14</v>
      </c>
      <c r="D2" s="74"/>
      <c r="E2" s="74"/>
      <c r="F2" s="75"/>
      <c r="G2" s="71" t="s">
        <v>15</v>
      </c>
      <c r="H2" s="72"/>
      <c r="I2" s="72"/>
      <c r="J2" s="72"/>
    </row>
    <row r="3" spans="2:10" ht="15" thickBot="1" x14ac:dyDescent="0.35">
      <c r="B3" s="21"/>
      <c r="C3" s="21" t="s">
        <v>18</v>
      </c>
      <c r="D3" s="21" t="s">
        <v>671</v>
      </c>
      <c r="E3" s="21" t="s">
        <v>19</v>
      </c>
      <c r="F3" s="21" t="s">
        <v>672</v>
      </c>
      <c r="G3" s="21" t="s">
        <v>18</v>
      </c>
      <c r="H3" s="21" t="s">
        <v>671</v>
      </c>
      <c r="I3" s="21" t="s">
        <v>19</v>
      </c>
      <c r="J3" s="21" t="s">
        <v>672</v>
      </c>
    </row>
    <row r="4" spans="2:10" ht="15.6" thickTop="1" thickBot="1" x14ac:dyDescent="0.35">
      <c r="B4" s="65" t="s">
        <v>673</v>
      </c>
      <c r="C4" s="66"/>
      <c r="D4" s="66"/>
      <c r="E4" s="66"/>
      <c r="F4" s="66"/>
      <c r="G4" s="66"/>
      <c r="H4" s="66"/>
      <c r="I4" s="66"/>
      <c r="J4" s="67"/>
    </row>
    <row r="5" spans="2:10" ht="28.2" thickBot="1" x14ac:dyDescent="0.35">
      <c r="B5" s="22" t="s">
        <v>674</v>
      </c>
      <c r="C5" s="22" t="s">
        <v>675</v>
      </c>
      <c r="D5" s="22" t="s">
        <v>676</v>
      </c>
      <c r="E5" s="22" t="s">
        <v>677</v>
      </c>
      <c r="F5" s="22" t="s">
        <v>678</v>
      </c>
      <c r="G5" s="22" t="s">
        <v>679</v>
      </c>
      <c r="H5" s="22" t="s">
        <v>680</v>
      </c>
      <c r="I5" s="22" t="s">
        <v>681</v>
      </c>
      <c r="J5" s="22" t="s">
        <v>682</v>
      </c>
    </row>
    <row r="6" spans="2:10" ht="53.25" customHeight="1" thickBot="1" x14ac:dyDescent="0.35">
      <c r="B6" s="22" t="s">
        <v>6</v>
      </c>
      <c r="C6" s="22" t="s">
        <v>683</v>
      </c>
      <c r="D6" s="22" t="s">
        <v>684</v>
      </c>
      <c r="E6" s="22" t="s">
        <v>685</v>
      </c>
      <c r="F6" s="22" t="s">
        <v>686</v>
      </c>
      <c r="G6" s="22" t="s">
        <v>687</v>
      </c>
      <c r="H6" s="22" t="s">
        <v>688</v>
      </c>
      <c r="I6" s="22" t="s">
        <v>689</v>
      </c>
      <c r="J6" s="22" t="s">
        <v>690</v>
      </c>
    </row>
    <row r="7" spans="2:10" ht="28.2" thickBot="1" x14ac:dyDescent="0.35">
      <c r="B7" s="22" t="s">
        <v>691</v>
      </c>
      <c r="C7" s="22" t="s">
        <v>692</v>
      </c>
      <c r="D7" s="22" t="s">
        <v>693</v>
      </c>
      <c r="E7" s="22" t="s">
        <v>694</v>
      </c>
      <c r="F7" s="22" t="s">
        <v>695</v>
      </c>
      <c r="G7" s="22" t="s">
        <v>696</v>
      </c>
      <c r="H7" s="22" t="s">
        <v>697</v>
      </c>
      <c r="I7" s="22" t="s">
        <v>698</v>
      </c>
      <c r="J7" s="22" t="s">
        <v>699</v>
      </c>
    </row>
    <row r="8" spans="2:10" ht="15" thickBot="1" x14ac:dyDescent="0.35">
      <c r="B8" s="68" t="s">
        <v>700</v>
      </c>
      <c r="C8" s="69"/>
      <c r="D8" s="69"/>
      <c r="E8" s="69"/>
      <c r="F8" s="69"/>
      <c r="G8" s="69"/>
      <c r="H8" s="69"/>
      <c r="I8" s="69"/>
      <c r="J8" s="70"/>
    </row>
    <row r="9" spans="2:10" ht="28.2" thickBot="1" x14ac:dyDescent="0.35">
      <c r="B9" s="22" t="s">
        <v>674</v>
      </c>
      <c r="C9" s="22" t="s">
        <v>701</v>
      </c>
      <c r="D9" s="22" t="s">
        <v>702</v>
      </c>
      <c r="E9" s="22" t="s">
        <v>703</v>
      </c>
      <c r="F9" s="22" t="s">
        <v>704</v>
      </c>
      <c r="G9" s="22" t="s">
        <v>705</v>
      </c>
      <c r="H9" s="22" t="s">
        <v>706</v>
      </c>
      <c r="I9" s="22" t="s">
        <v>707</v>
      </c>
      <c r="J9" s="22" t="s">
        <v>708</v>
      </c>
    </row>
    <row r="10" spans="2:10" ht="28.2" thickBot="1" x14ac:dyDescent="0.35">
      <c r="B10" s="22" t="s">
        <v>6</v>
      </c>
      <c r="C10" s="22" t="s">
        <v>709</v>
      </c>
      <c r="D10" s="22" t="s">
        <v>710</v>
      </c>
      <c r="E10" s="22" t="s">
        <v>711</v>
      </c>
      <c r="F10" s="22" t="s">
        <v>712</v>
      </c>
      <c r="G10" s="22" t="s">
        <v>713</v>
      </c>
      <c r="H10" s="22" t="s">
        <v>714</v>
      </c>
      <c r="I10" s="22" t="s">
        <v>715</v>
      </c>
      <c r="J10" s="22" t="s">
        <v>716</v>
      </c>
    </row>
    <row r="11" spans="2:10" ht="28.2" thickBot="1" x14ac:dyDescent="0.35">
      <c r="B11" s="22" t="s">
        <v>691</v>
      </c>
      <c r="C11" s="22" t="s">
        <v>717</v>
      </c>
      <c r="D11" s="22" t="s">
        <v>718</v>
      </c>
      <c r="E11" s="22" t="s">
        <v>719</v>
      </c>
      <c r="F11" s="22" t="s">
        <v>720</v>
      </c>
      <c r="G11" s="22" t="s">
        <v>721</v>
      </c>
      <c r="H11" s="22" t="s">
        <v>722</v>
      </c>
      <c r="I11" s="22" t="s">
        <v>723</v>
      </c>
      <c r="J11" s="22" t="s">
        <v>724</v>
      </c>
    </row>
  </sheetData>
  <mergeCells count="4">
    <mergeCell ref="B4:J4"/>
    <mergeCell ref="B8:J8"/>
    <mergeCell ref="G2:J2"/>
    <mergeCell ref="C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D3565-9870-4D1F-82AB-6997F3DA1170}">
  <dimension ref="B1:F7"/>
  <sheetViews>
    <sheetView workbookViewId="0">
      <selection activeCell="F2" sqref="F2"/>
    </sheetView>
  </sheetViews>
  <sheetFormatPr defaultRowHeight="14.4" x14ac:dyDescent="0.3"/>
  <cols>
    <col min="2" max="2" width="17.109375" customWidth="1"/>
    <col min="3" max="3" width="31.5546875" customWidth="1"/>
    <col min="4" max="7" width="18.33203125" customWidth="1"/>
  </cols>
  <sheetData>
    <row r="1" spans="2:6" x14ac:dyDescent="0.3">
      <c r="B1" t="s">
        <v>750</v>
      </c>
    </row>
    <row r="2" spans="2:6" x14ac:dyDescent="0.3">
      <c r="B2" s="76" t="s">
        <v>16</v>
      </c>
      <c r="C2" s="76" t="s">
        <v>17</v>
      </c>
      <c r="D2" s="76" t="s">
        <v>746</v>
      </c>
      <c r="E2" s="76"/>
      <c r="F2" t="s">
        <v>749</v>
      </c>
    </row>
    <row r="3" spans="2:6" x14ac:dyDescent="0.3">
      <c r="B3" s="76"/>
      <c r="C3" s="76"/>
      <c r="D3" s="76" t="s">
        <v>14</v>
      </c>
      <c r="E3" s="76"/>
      <c r="F3" t="s">
        <v>749</v>
      </c>
    </row>
    <row r="4" spans="2:6" x14ac:dyDescent="0.3">
      <c r="B4" s="76"/>
      <c r="C4" s="76"/>
      <c r="D4" t="s">
        <v>18</v>
      </c>
      <c r="E4" t="s">
        <v>19</v>
      </c>
      <c r="F4" t="s">
        <v>749</v>
      </c>
    </row>
    <row r="5" spans="2:6" x14ac:dyDescent="0.3">
      <c r="B5" s="76"/>
      <c r="C5" s="76"/>
      <c r="D5" t="s">
        <v>747</v>
      </c>
      <c r="E5" t="s">
        <v>748</v>
      </c>
      <c r="F5" t="s">
        <v>749</v>
      </c>
    </row>
    <row r="6" spans="2:6" ht="54.75" customHeight="1" x14ac:dyDescent="0.3">
      <c r="B6" t="s">
        <v>22</v>
      </c>
      <c r="C6" s="2" t="s">
        <v>23</v>
      </c>
      <c r="D6" s="2" t="s">
        <v>751</v>
      </c>
      <c r="E6" s="2" t="s">
        <v>752</v>
      </c>
      <c r="F6" s="2" t="s">
        <v>749</v>
      </c>
    </row>
    <row r="7" spans="2:6" x14ac:dyDescent="0.3">
      <c r="B7" t="s">
        <v>749</v>
      </c>
      <c r="C7" t="s">
        <v>749</v>
      </c>
    </row>
  </sheetData>
  <mergeCells count="4">
    <mergeCell ref="D2:E2"/>
    <mergeCell ref="D3:E3"/>
    <mergeCell ref="C2:C5"/>
    <mergeCell ref="B2:B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E3FA-9357-4AE2-A4CB-C33B5E0E69F2}">
  <dimension ref="B1:L3"/>
  <sheetViews>
    <sheetView workbookViewId="0">
      <selection activeCell="I2" sqref="I2"/>
    </sheetView>
  </sheetViews>
  <sheetFormatPr defaultRowHeight="14.4" x14ac:dyDescent="0.3"/>
  <cols>
    <col min="2" max="2" width="19.5546875" customWidth="1"/>
    <col min="3" max="12" width="16.44140625" customWidth="1"/>
  </cols>
  <sheetData>
    <row r="1" spans="2:12" ht="15" thickBot="1" x14ac:dyDescent="0.35">
      <c r="B1" t="s">
        <v>743</v>
      </c>
    </row>
    <row r="2" spans="2:12" ht="66.599999999999994" thickBot="1" x14ac:dyDescent="0.35">
      <c r="B2" s="17"/>
      <c r="C2" s="23" t="s">
        <v>726</v>
      </c>
      <c r="D2" s="23" t="s">
        <v>727</v>
      </c>
      <c r="E2" s="23" t="s">
        <v>728</v>
      </c>
      <c r="F2" s="23" t="s">
        <v>729</v>
      </c>
      <c r="G2" s="23" t="s">
        <v>730</v>
      </c>
      <c r="H2" s="23" t="s">
        <v>731</v>
      </c>
      <c r="I2" s="23" t="s">
        <v>745</v>
      </c>
      <c r="J2" s="23" t="s">
        <v>732</v>
      </c>
      <c r="K2" s="23" t="s">
        <v>733</v>
      </c>
      <c r="L2" s="23" t="s">
        <v>734</v>
      </c>
    </row>
    <row r="3" spans="2:12" ht="15.6" thickTop="1" thickBot="1" x14ac:dyDescent="0.35">
      <c r="B3" s="24" t="s">
        <v>735</v>
      </c>
      <c r="C3" s="25" t="s">
        <v>736</v>
      </c>
      <c r="D3" s="25" t="s">
        <v>744</v>
      </c>
      <c r="E3" s="25" t="s">
        <v>737</v>
      </c>
      <c r="F3" s="25" t="s">
        <v>738</v>
      </c>
      <c r="G3" s="25" t="s">
        <v>739</v>
      </c>
      <c r="H3" s="25" t="s">
        <v>740</v>
      </c>
      <c r="I3" s="25" t="s">
        <v>741</v>
      </c>
      <c r="J3" s="25" t="s">
        <v>740</v>
      </c>
      <c r="K3" s="25" t="s">
        <v>742</v>
      </c>
      <c r="L3" s="25" t="s">
        <v>740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9415B-EE03-425F-A9F2-907863776086}">
  <dimension ref="A1:R36"/>
  <sheetViews>
    <sheetView workbookViewId="0">
      <selection activeCell="B4" sqref="B4"/>
    </sheetView>
  </sheetViews>
  <sheetFormatPr defaultRowHeight="14.4" x14ac:dyDescent="0.3"/>
  <cols>
    <col min="2" max="2" width="20.33203125" bestFit="1" customWidth="1"/>
    <col min="10" max="18" width="12.5546875" customWidth="1"/>
  </cols>
  <sheetData>
    <row r="1" spans="1:18" x14ac:dyDescent="0.3">
      <c r="A1" s="1" t="s">
        <v>619</v>
      </c>
    </row>
    <row r="2" spans="1:18" ht="125.25" customHeight="1" x14ac:dyDescent="0.3">
      <c r="A2" s="1"/>
      <c r="B2" s="77" t="s">
        <v>654</v>
      </c>
      <c r="C2" s="77"/>
      <c r="D2" s="77"/>
      <c r="E2" s="77"/>
      <c r="F2" s="77"/>
      <c r="G2" s="77"/>
      <c r="H2" s="77"/>
      <c r="I2" s="77"/>
      <c r="J2" s="77"/>
      <c r="K2" s="77"/>
      <c r="L2" s="77"/>
      <c r="M2" s="77"/>
      <c r="N2" s="77"/>
      <c r="O2" s="77"/>
      <c r="P2" s="77"/>
      <c r="Q2" s="77"/>
      <c r="R2" s="77"/>
    </row>
    <row r="3" spans="1:18" x14ac:dyDescent="0.3">
      <c r="B3" t="s">
        <v>653</v>
      </c>
      <c r="C3" s="16"/>
    </row>
    <row r="4" spans="1:18" x14ac:dyDescent="0.3">
      <c r="B4" s="15" t="s">
        <v>622</v>
      </c>
      <c r="C4" s="15">
        <v>86</v>
      </c>
      <c r="I4" s="18"/>
      <c r="J4" s="78" t="s">
        <v>655</v>
      </c>
      <c r="K4" s="78"/>
      <c r="L4" s="78"/>
      <c r="M4" s="78" t="s">
        <v>656</v>
      </c>
      <c r="N4" s="78"/>
      <c r="O4" s="78"/>
      <c r="P4" s="78" t="s">
        <v>657</v>
      </c>
      <c r="Q4" s="78"/>
      <c r="R4" s="78"/>
    </row>
    <row r="5" spans="1:18" x14ac:dyDescent="0.3">
      <c r="B5" s="15" t="s">
        <v>623</v>
      </c>
      <c r="C5" s="15">
        <v>83</v>
      </c>
      <c r="I5" s="18"/>
      <c r="J5" s="19" t="s">
        <v>670</v>
      </c>
      <c r="K5" s="19" t="s">
        <v>669</v>
      </c>
      <c r="L5" s="19" t="s">
        <v>668</v>
      </c>
      <c r="M5" s="19" t="s">
        <v>670</v>
      </c>
      <c r="N5" s="19" t="s">
        <v>669</v>
      </c>
      <c r="O5" s="19" t="s">
        <v>668</v>
      </c>
      <c r="P5" s="19" t="s">
        <v>670</v>
      </c>
      <c r="Q5" s="19" t="s">
        <v>669</v>
      </c>
      <c r="R5" s="19" t="s">
        <v>668</v>
      </c>
    </row>
    <row r="6" spans="1:18" ht="24.6" x14ac:dyDescent="0.3">
      <c r="B6" s="15" t="s">
        <v>624</v>
      </c>
      <c r="C6" s="15">
        <v>91</v>
      </c>
      <c r="I6" s="19" t="s">
        <v>658</v>
      </c>
      <c r="J6" s="20" t="s">
        <v>659</v>
      </c>
      <c r="K6" s="20" t="s">
        <v>660</v>
      </c>
      <c r="L6" s="20" t="s">
        <v>661</v>
      </c>
      <c r="M6" s="20" t="s">
        <v>662</v>
      </c>
      <c r="N6" s="20" t="s">
        <v>663</v>
      </c>
      <c r="O6" s="20" t="s">
        <v>664</v>
      </c>
      <c r="P6" s="20" t="s">
        <v>665</v>
      </c>
      <c r="Q6" s="20" t="s">
        <v>666</v>
      </c>
      <c r="R6" s="20" t="s">
        <v>667</v>
      </c>
    </row>
    <row r="7" spans="1:18" x14ac:dyDescent="0.3">
      <c r="B7" s="15" t="s">
        <v>625</v>
      </c>
      <c r="C7" s="15">
        <v>71</v>
      </c>
    </row>
    <row r="8" spans="1:18" x14ac:dyDescent="0.3">
      <c r="B8" s="15" t="s">
        <v>620</v>
      </c>
      <c r="C8" s="15">
        <v>100</v>
      </c>
    </row>
    <row r="9" spans="1:18" x14ac:dyDescent="0.3">
      <c r="B9" s="15" t="s">
        <v>626</v>
      </c>
      <c r="C9" s="15">
        <v>100</v>
      </c>
    </row>
    <row r="10" spans="1:18" x14ac:dyDescent="0.3">
      <c r="B10" s="15" t="s">
        <v>627</v>
      </c>
      <c r="C10" s="15">
        <v>100</v>
      </c>
    </row>
    <row r="11" spans="1:18" x14ac:dyDescent="0.3">
      <c r="B11" s="15" t="s">
        <v>628</v>
      </c>
      <c r="C11" s="15">
        <v>100</v>
      </c>
    </row>
    <row r="12" spans="1:18" x14ac:dyDescent="0.3">
      <c r="B12" s="15" t="s">
        <v>621</v>
      </c>
      <c r="C12" s="15">
        <v>100</v>
      </c>
    </row>
    <row r="13" spans="1:18" x14ac:dyDescent="0.3">
      <c r="B13" s="15" t="s">
        <v>629</v>
      </c>
      <c r="C13" s="15">
        <v>100</v>
      </c>
    </row>
    <row r="14" spans="1:18" x14ac:dyDescent="0.3">
      <c r="B14" s="15" t="s">
        <v>630</v>
      </c>
      <c r="C14" s="15">
        <v>92</v>
      </c>
    </row>
    <row r="15" spans="1:18" x14ac:dyDescent="0.3">
      <c r="B15" s="15" t="s">
        <v>631</v>
      </c>
      <c r="C15" s="15">
        <v>54</v>
      </c>
    </row>
    <row r="16" spans="1:18" x14ac:dyDescent="0.3">
      <c r="B16" s="15" t="s">
        <v>632</v>
      </c>
      <c r="C16" s="15">
        <v>80</v>
      </c>
    </row>
    <row r="17" spans="2:3" x14ac:dyDescent="0.3">
      <c r="B17" s="15" t="s">
        <v>633</v>
      </c>
      <c r="C17" s="15">
        <v>66</v>
      </c>
    </row>
    <row r="18" spans="2:3" x14ac:dyDescent="0.3">
      <c r="B18" s="15" t="s">
        <v>634</v>
      </c>
      <c r="C18" s="15">
        <v>79</v>
      </c>
    </row>
    <row r="19" spans="2:3" x14ac:dyDescent="0.3">
      <c r="B19" s="15" t="s">
        <v>645</v>
      </c>
      <c r="C19" s="15">
        <v>76</v>
      </c>
    </row>
    <row r="20" spans="2:3" x14ac:dyDescent="0.3">
      <c r="B20" s="15" t="s">
        <v>646</v>
      </c>
      <c r="C20" s="15">
        <v>72</v>
      </c>
    </row>
    <row r="21" spans="2:3" x14ac:dyDescent="0.3">
      <c r="B21" s="15" t="s">
        <v>650</v>
      </c>
      <c r="C21" s="15">
        <v>63</v>
      </c>
    </row>
    <row r="22" spans="2:3" x14ac:dyDescent="0.3">
      <c r="B22" s="15" t="s">
        <v>652</v>
      </c>
      <c r="C22" s="15">
        <v>34</v>
      </c>
    </row>
    <row r="23" spans="2:3" x14ac:dyDescent="0.3">
      <c r="B23" s="15" t="s">
        <v>647</v>
      </c>
      <c r="C23" s="15">
        <v>87</v>
      </c>
    </row>
    <row r="24" spans="2:3" x14ac:dyDescent="0.3">
      <c r="B24" s="15" t="s">
        <v>648</v>
      </c>
      <c r="C24" s="15">
        <v>100</v>
      </c>
    </row>
    <row r="25" spans="2:3" x14ac:dyDescent="0.3">
      <c r="B25" s="15" t="s">
        <v>649</v>
      </c>
      <c r="C25" s="15">
        <v>74</v>
      </c>
    </row>
    <row r="26" spans="2:3" x14ac:dyDescent="0.3">
      <c r="B26" s="15" t="s">
        <v>640</v>
      </c>
      <c r="C26" s="15">
        <v>92</v>
      </c>
    </row>
    <row r="27" spans="2:3" x14ac:dyDescent="0.3">
      <c r="B27" s="15" t="s">
        <v>641</v>
      </c>
      <c r="C27" s="15">
        <v>98</v>
      </c>
    </row>
    <row r="28" spans="2:3" x14ac:dyDescent="0.3">
      <c r="B28" s="15" t="s">
        <v>642</v>
      </c>
      <c r="C28" s="15">
        <v>95</v>
      </c>
    </row>
    <row r="29" spans="2:3" x14ac:dyDescent="0.3">
      <c r="B29" s="15" t="s">
        <v>643</v>
      </c>
      <c r="C29" s="15">
        <v>100</v>
      </c>
    </row>
    <row r="30" spans="2:3" x14ac:dyDescent="0.3">
      <c r="B30" s="15" t="s">
        <v>644</v>
      </c>
      <c r="C30" s="15">
        <v>96</v>
      </c>
    </row>
    <row r="31" spans="2:3" x14ac:dyDescent="0.3">
      <c r="B31" s="15" t="s">
        <v>638</v>
      </c>
      <c r="C31" s="15">
        <v>82</v>
      </c>
    </row>
    <row r="32" spans="2:3" x14ac:dyDescent="0.3">
      <c r="B32" s="15" t="s">
        <v>639</v>
      </c>
      <c r="C32" s="15">
        <v>94</v>
      </c>
    </row>
    <row r="33" spans="2:3" x14ac:dyDescent="0.3">
      <c r="B33" s="15" t="s">
        <v>637</v>
      </c>
      <c r="C33" s="15">
        <v>91</v>
      </c>
    </row>
    <row r="34" spans="2:3" x14ac:dyDescent="0.3">
      <c r="B34" s="15" t="s">
        <v>636</v>
      </c>
      <c r="C34" s="15">
        <v>76</v>
      </c>
    </row>
    <row r="35" spans="2:3" x14ac:dyDescent="0.3">
      <c r="B35" s="15" t="s">
        <v>635</v>
      </c>
      <c r="C35" s="15">
        <v>88</v>
      </c>
    </row>
    <row r="36" spans="2:3" x14ac:dyDescent="0.3">
      <c r="B36" s="15" t="s">
        <v>651</v>
      </c>
      <c r="C36" s="15">
        <v>75</v>
      </c>
    </row>
  </sheetData>
  <mergeCells count="4">
    <mergeCell ref="B2:R2"/>
    <mergeCell ref="P4:R4"/>
    <mergeCell ref="M4:O4"/>
    <mergeCell ref="J4:L4"/>
  </mergeCells>
  <hyperlinks>
    <hyperlink ref="A1" r:id="rId1" xr:uid="{DEDCC0F7-EDBD-4C46-B48F-B18D50F6643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N H Z v V F d d m 4 O i A A A A 9 g A A A B I A H A B D b 2 5 m a W c v U G F j a 2 F n Z S 5 4 b W w g o h g A K K A U A A A A A A A A A A A A A A A A A A A A A A A A A A A A h Y 8 x D o I w G I W v Q r r T l r o Y 8 l M G V 0 l I N M a 1 K R U a o S W 0 W O 7 m 4 J G 8 g h h F 3 R z f 9 7 7 h v f v 1 B v n U t d F F D U 5 b k 6 E E U x Q p I 2 2 l T Z 2 h 0 Z / i N c o 5 l E K e R a 2 i W T Y u n V y V o c b 7 P i U k h I D D C t u h J o z S h B y L 7 U 4 2 q h P o I + v / c q y N 8 8 J I h T g c X m M 4 w w l l m N F 5 E 5 A F Q q H N V 2 B z 9 2 x / I G z G 1 o + D 4 r 2 P y z 2 Q J Q J 5 f + A P U E s D B B Q A A g A I A D R 2 b 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d m 9 U K I p H u A 4 A A A A R A A A A E w A c A E Z v c m 1 1 b G F z L 1 N l Y 3 R p b 2 4 x L m 0 g o h g A K K A U A A A A A A A A A A A A A A A A A A A A A A A A A A A A K 0 5 N L s n M z 1 M I h t C G 1 g B Q S w E C L Q A U A A I A C A A 0 d m 9 U V 1 2 b g 6 I A A A D 2 A A A A E g A A A A A A A A A A A A A A A A A A A A A A Q 2 9 u Z m l n L 1 B h Y 2 t h Z 2 U u e G 1 s U E s B A i 0 A F A A C A A g A N H Z v V A / K 6 a u k A A A A 6 Q A A A B M A A A A A A A A A A A A A A A A A 7 g A A A F t D b 2 5 0 Z W 5 0 X 1 R 5 c G V z X S 5 4 b W x Q S w E C L Q A U A A I A C A A 0 d m 9 U 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K z a U Z U p 0 2 M m 1 c H M o D r X A A A A A A C A A A A A A A Q Z g A A A A E A A C A A A A B w k D 9 d X G d r 3 i U G f i W P d y N y 8 W v 3 z p O o t G 7 a X g O L d j A M 2 Q A A A A A O g A A A A A I A A C A A A A D d J C Y d T U o h C i W h k a x h 3 F x 3 V D o Z O c U P R l P v G C L l S T t N M F A A A A C F x w K 4 / S M t 2 J J + 1 e o W 5 W I b o x 9 c B C 8 k D c r k L m u Y Z R t N S Y n t O n l S h f f T k P G y G 5 s v y g J M h g v 0 h d I 6 v t 3 0 X a 8 F Z K r C 0 W 2 g J / Y D i 8 B d D u h J j M i M Y 0 A A A A D L z P h N r j J G Y Q q o B a 6 t S L e m B A S G Q k B E / A j o l d 4 q l 6 o H d 3 k h u O i D U U m i H I D 1 i 3 1 C 4 c f d P C T V W V z B L Y e V e H g W E k V c < / D a t a M a s h u p > 
</file>

<file path=customXml/itemProps1.xml><?xml version="1.0" encoding="utf-8"?>
<ds:datastoreItem xmlns:ds="http://schemas.openxmlformats.org/officeDocument/2006/customXml" ds:itemID="{FDBDFFDA-F078-4986-8623-2F177AC3A2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11</vt:i4>
      </vt:variant>
    </vt:vector>
  </HeadingPairs>
  <TitlesOfParts>
    <vt:vector size="11" baseType="lpstr">
      <vt:lpstr>Análise</vt:lpstr>
      <vt:lpstr>Fonte Consumos</vt:lpstr>
      <vt:lpstr>Resistencias vs Consumos</vt:lpstr>
      <vt:lpstr>Costs</vt:lpstr>
      <vt:lpstr>Deaths and Dalys by PAT&amp;AB</vt:lpstr>
      <vt:lpstr>Deaths and DALYs by REG</vt:lpstr>
      <vt:lpstr>Deaths and DALYs by Age&amp;Reg</vt:lpstr>
      <vt:lpstr>Model components</vt:lpstr>
      <vt:lpstr>HAQ Index</vt:lpstr>
      <vt:lpstr>Sheet3</vt:lpstr>
      <vt:lpstr>Sheet1</vt:lpstr>
    </vt:vector>
  </TitlesOfParts>
  <Company>Fundacao Calouste Gulbenkian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Macedo</dc:creator>
  <cp:lastModifiedBy>Bruno Macedo</cp:lastModifiedBy>
  <dcterms:created xsi:type="dcterms:W3CDTF">2022-03-14T14:22:56Z</dcterms:created>
  <dcterms:modified xsi:type="dcterms:W3CDTF">2022-03-25T18:44:25Z</dcterms:modified>
</cp:coreProperties>
</file>