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opena\OneDrive\Documentos\Q7\CPD\"/>
    </mc:Choice>
  </mc:AlternateContent>
  <xr:revisionPtr revIDLastSave="0" documentId="8_{0337D786-A79A-413D-9A16-505A9C156F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B3" i="6"/>
  <c r="B5" i="6"/>
  <c r="H20" i="6" s="1"/>
  <c r="B11" i="6"/>
  <c r="B10" i="6"/>
  <c r="B7" i="6"/>
  <c r="M21" i="6"/>
  <c r="M22" i="6"/>
  <c r="B4" i="6"/>
  <c r="F20" i="6" s="1"/>
  <c r="M24" i="6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5" i="2"/>
  <c r="K22" i="2"/>
  <c r="E12" i="1"/>
  <c r="E6" i="1"/>
  <c r="E4" i="1"/>
  <c r="G20" i="6" l="1"/>
  <c r="I20" i="6" s="1"/>
  <c r="L21" i="6" s="1"/>
  <c r="F22" i="6"/>
  <c r="G22" i="6" s="1"/>
  <c r="K12" i="2"/>
  <c r="F21" i="6"/>
  <c r="G21" i="6" s="1"/>
  <c r="K19" i="2"/>
  <c r="F23" i="6"/>
  <c r="G23" i="6" s="1"/>
  <c r="K20" i="2"/>
  <c r="K14" i="2"/>
  <c r="N38" i="4"/>
  <c r="F4" i="6"/>
  <c r="F5" i="6" s="1"/>
  <c r="F6" i="6" s="1"/>
  <c r="F7" i="6" s="1"/>
  <c r="F12" i="6"/>
  <c r="F13" i="6" s="1"/>
  <c r="F14" i="6" s="1"/>
  <c r="F15" i="6" s="1"/>
  <c r="F16" i="6" s="1"/>
  <c r="F8" i="6"/>
  <c r="K18" i="2"/>
  <c r="H21" i="6"/>
  <c r="H22" i="6"/>
  <c r="H23" i="6"/>
  <c r="F25" i="6"/>
  <c r="G25" i="6" s="1"/>
  <c r="K8" i="2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C10" i="3"/>
  <c r="C4" i="3"/>
  <c r="E10" i="3"/>
  <c r="E6" i="3"/>
  <c r="C7" i="3"/>
  <c r="C9" i="3"/>
  <c r="C8" i="3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K10" i="2"/>
  <c r="O38" i="4"/>
  <c r="M17" i="2"/>
  <c r="F7" i="7"/>
  <c r="G2" i="7"/>
  <c r="G7" i="7" s="1"/>
  <c r="E25" i="6"/>
  <c r="C11" i="3"/>
  <c r="J21" i="2"/>
  <c r="J17" i="2"/>
  <c r="I22" i="6" l="1"/>
  <c r="L23" i="6" s="1"/>
  <c r="M23" i="6" s="1"/>
  <c r="I21" i="6"/>
  <c r="L22" i="6" s="1"/>
  <c r="H8" i="3"/>
  <c r="H14" i="3"/>
  <c r="H6" i="3"/>
  <c r="I23" i="6"/>
  <c r="L24" i="6" s="1"/>
  <c r="I12" i="3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H25" i="6"/>
  <c r="I25" i="6" s="1"/>
  <c r="L25" i="6" s="1"/>
  <c r="M25" i="6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M27" i="6" l="1"/>
  <c r="E8" i="1" s="1"/>
  <c r="F8" i="1" s="1"/>
  <c r="I27" i="6"/>
  <c r="L29" i="6" s="1"/>
  <c r="M29" i="6" s="1"/>
  <c r="E14" i="1" s="1"/>
  <c r="B4" i="5"/>
  <c r="B3" i="5" s="1"/>
  <c r="H4" i="3"/>
  <c r="I4" i="3"/>
  <c r="H5" i="3"/>
  <c r="I5" i="3"/>
  <c r="I17" i="3" l="1"/>
  <c r="B19" i="3" s="1"/>
  <c r="B10" i="4" s="1"/>
  <c r="B31" i="4" s="1"/>
  <c r="G4" i="5"/>
  <c r="G26" i="5"/>
  <c r="G27" i="5" s="1"/>
  <c r="G16" i="5"/>
  <c r="G10" i="5"/>
  <c r="H17" i="3"/>
  <c r="B18" i="3" s="1"/>
  <c r="E13" i="1" s="1"/>
  <c r="E21" i="1" s="1"/>
  <c r="B19" i="4" l="1"/>
  <c r="C19" i="4" s="1"/>
  <c r="B21" i="4"/>
  <c r="C21" i="4" s="1"/>
  <c r="B38" i="4"/>
  <c r="C38" i="4" s="1"/>
  <c r="B34" i="4"/>
  <c r="C34" i="4" s="1"/>
  <c r="B30" i="4"/>
  <c r="C30" i="4" s="1"/>
  <c r="B35" i="4"/>
  <c r="C35" i="4" s="1"/>
  <c r="B20" i="4"/>
  <c r="E20" i="4" s="1"/>
  <c r="F20" i="4" s="1"/>
  <c r="B24" i="4"/>
  <c r="C24" i="4" s="1"/>
  <c r="B22" i="4"/>
  <c r="C22" i="4" s="1"/>
  <c r="B18" i="4"/>
  <c r="C18" i="4" s="1"/>
  <c r="D18" i="4" s="1"/>
  <c r="B23" i="4"/>
  <c r="E23" i="4" s="1"/>
  <c r="F23" i="4" s="1"/>
  <c r="B28" i="4"/>
  <c r="C28" i="4" s="1"/>
  <c r="B25" i="4"/>
  <c r="E25" i="4" s="1"/>
  <c r="F25" i="4" s="1"/>
  <c r="B36" i="4"/>
  <c r="C36" i="4" s="1"/>
  <c r="B32" i="4"/>
  <c r="C32" i="4" s="1"/>
  <c r="B27" i="4"/>
  <c r="C27" i="4" s="1"/>
  <c r="B29" i="4"/>
  <c r="E29" i="4" s="1"/>
  <c r="F29" i="4" s="1"/>
  <c r="B26" i="4"/>
  <c r="E26" i="4" s="1"/>
  <c r="F26" i="4" s="1"/>
  <c r="B37" i="4"/>
  <c r="E37" i="4" s="1"/>
  <c r="F37" i="4" s="1"/>
  <c r="B33" i="4"/>
  <c r="C33" i="4" s="1"/>
  <c r="G17" i="5"/>
  <c r="G19" i="5"/>
  <c r="G5" i="5"/>
  <c r="G6" i="5"/>
  <c r="C31" i="4"/>
  <c r="E31" i="4"/>
  <c r="F31" i="4" s="1"/>
  <c r="E38" i="4" l="1"/>
  <c r="F38" i="4" s="1"/>
  <c r="E21" i="4"/>
  <c r="F21" i="4" s="1"/>
  <c r="E19" i="4"/>
  <c r="F19" i="4" s="1"/>
  <c r="C20" i="4"/>
  <c r="C25" i="4"/>
  <c r="E34" i="4"/>
  <c r="F34" i="4" s="1"/>
  <c r="E36" i="4"/>
  <c r="F36" i="4" s="1"/>
  <c r="E35" i="4"/>
  <c r="F35" i="4" s="1"/>
  <c r="E30" i="4"/>
  <c r="F30" i="4" s="1"/>
  <c r="C29" i="4"/>
  <c r="E18" i="4"/>
  <c r="F18" i="4" s="1"/>
  <c r="C23" i="4"/>
  <c r="E22" i="4"/>
  <c r="F22" i="4" s="1"/>
  <c r="C37" i="4"/>
  <c r="C26" i="4"/>
  <c r="E32" i="4"/>
  <c r="F32" i="4" s="1"/>
  <c r="E24" i="4"/>
  <c r="F24" i="4" s="1"/>
  <c r="E33" i="4"/>
  <c r="F33" i="4" s="1"/>
  <c r="E27" i="4"/>
  <c r="F27" i="4" s="1"/>
  <c r="E28" i="4"/>
  <c r="F28" i="4" s="1"/>
  <c r="G38" i="4" l="1"/>
  <c r="G25" i="4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<sst xmlns="http://schemas.openxmlformats.org/spreadsheetml/2006/main" count="332" uniqueCount="243">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</sst>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14745.017486731393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2032.8742</c:v>
                </c:pt>
                <c:pt idx="1">
                  <c:v>2134.51791</c:v>
                </c:pt>
                <c:pt idx="2">
                  <c:v>2236.1616200000003</c:v>
                </c:pt>
                <c:pt idx="3">
                  <c:v>2337.8053299999997</c:v>
                </c:pt>
                <c:pt idx="4">
                  <c:v>2439.44904</c:v>
                </c:pt>
                <c:pt idx="5">
                  <c:v>2541.0927499999998</c:v>
                </c:pt>
                <c:pt idx="6">
                  <c:v>2642.7364600000001</c:v>
                </c:pt>
                <c:pt idx="7">
                  <c:v>2744.3801700000004</c:v>
                </c:pt>
                <c:pt idx="8">
                  <c:v>2846.0238799999997</c:v>
                </c:pt>
                <c:pt idx="9">
                  <c:v>2947.66759</c:v>
                </c:pt>
                <c:pt idx="10">
                  <c:v>3049.3112999999998</c:v>
                </c:pt>
                <c:pt idx="11">
                  <c:v>3150.9550100000001</c:v>
                </c:pt>
                <c:pt idx="12">
                  <c:v>3252.59872</c:v>
                </c:pt>
                <c:pt idx="13">
                  <c:v>3354.2424299999998</c:v>
                </c:pt>
                <c:pt idx="14">
                  <c:v>3455.8861400000001</c:v>
                </c:pt>
                <c:pt idx="15">
                  <c:v>3557.5298499999999</c:v>
                </c:pt>
                <c:pt idx="16">
                  <c:v>3659.1735600000002</c:v>
                </c:pt>
                <c:pt idx="17">
                  <c:v>3760.81727</c:v>
                </c:pt>
                <c:pt idx="18">
                  <c:v>3862.4609799999998</c:v>
                </c:pt>
                <c:pt idx="19">
                  <c:v>3964.1046899999997</c:v>
                </c:pt>
                <c:pt idx="20">
                  <c:v>4065.7483999999999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351116.25102620077</c:v>
                </c:pt>
                <c:pt idx="1">
                  <c:v>368672.06357751082</c:v>
                </c:pt>
                <c:pt idx="2">
                  <c:v>386227.87612882094</c:v>
                </c:pt>
                <c:pt idx="3">
                  <c:v>403783.68868013087</c:v>
                </c:pt>
                <c:pt idx="4">
                  <c:v>421339.50123144093</c:v>
                </c:pt>
                <c:pt idx="5">
                  <c:v>438895.31378275092</c:v>
                </c:pt>
                <c:pt idx="6">
                  <c:v>456451.12633406103</c:v>
                </c:pt>
                <c:pt idx="7">
                  <c:v>474006.93888537114</c:v>
                </c:pt>
                <c:pt idx="8">
                  <c:v>491562.75143668108</c:v>
                </c:pt>
                <c:pt idx="9">
                  <c:v>509118.56398799113</c:v>
                </c:pt>
                <c:pt idx="10">
                  <c:v>526674.37653930113</c:v>
                </c:pt>
                <c:pt idx="11">
                  <c:v>544230.1890906113</c:v>
                </c:pt>
                <c:pt idx="12">
                  <c:v>561786.00164192123</c:v>
                </c:pt>
                <c:pt idx="13">
                  <c:v>579341.81419323129</c:v>
                </c:pt>
                <c:pt idx="14">
                  <c:v>596897.62674454134</c:v>
                </c:pt>
                <c:pt idx="15">
                  <c:v>614453.43929585139</c:v>
                </c:pt>
                <c:pt idx="16">
                  <c:v>632009.25184716145</c:v>
                </c:pt>
                <c:pt idx="17">
                  <c:v>649565.0643984715</c:v>
                </c:pt>
                <c:pt idx="18">
                  <c:v>667120.87694978144</c:v>
                </c:pt>
                <c:pt idx="19">
                  <c:v>684676.68950109149</c:v>
                </c:pt>
                <c:pt idx="20">
                  <c:v>702232.50205240154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2276.8191040000002</c:v>
                </c:pt>
                <c:pt idx="1">
                  <c:v>2390.6600592000004</c:v>
                </c:pt>
                <c:pt idx="2">
                  <c:v>2504.5010144000007</c:v>
                </c:pt>
                <c:pt idx="3">
                  <c:v>2618.3419696000001</c:v>
                </c:pt>
                <c:pt idx="4">
                  <c:v>2732.1829248000004</c:v>
                </c:pt>
                <c:pt idx="5">
                  <c:v>2846.0238800000002</c:v>
                </c:pt>
                <c:pt idx="6">
                  <c:v>2959.8648352000005</c:v>
                </c:pt>
                <c:pt idx="7">
                  <c:v>3073.7057904000008</c:v>
                </c:pt>
                <c:pt idx="8">
                  <c:v>3187.5467456000001</c:v>
                </c:pt>
                <c:pt idx="9">
                  <c:v>3301.3877008000004</c:v>
                </c:pt>
                <c:pt idx="10">
                  <c:v>3415.2286560000002</c:v>
                </c:pt>
                <c:pt idx="11">
                  <c:v>3529.0696112000005</c:v>
                </c:pt>
                <c:pt idx="12">
                  <c:v>3642.9105664000003</c:v>
                </c:pt>
                <c:pt idx="13">
                  <c:v>3756.7515216000002</c:v>
                </c:pt>
                <c:pt idx="14">
                  <c:v>3870.5924768000004</c:v>
                </c:pt>
                <c:pt idx="15">
                  <c:v>3984.4334320000003</c:v>
                </c:pt>
                <c:pt idx="16">
                  <c:v>4098.274387200001</c:v>
                </c:pt>
                <c:pt idx="17">
                  <c:v>4212.1153424000004</c:v>
                </c:pt>
                <c:pt idx="18">
                  <c:v>4325.9562976000007</c:v>
                </c:pt>
                <c:pt idx="19">
                  <c:v>4439.7972528</c:v>
                </c:pt>
                <c:pt idx="20">
                  <c:v>4553.6382080000003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365861.26851293218</c:v>
                </c:pt>
                <c:pt idx="1">
                  <c:v>370393.40898910136</c:v>
                </c:pt>
                <c:pt idx="2">
                  <c:v>388031.19036953483</c:v>
                </c:pt>
                <c:pt idx="3">
                  <c:v>405668.97174996813</c:v>
                </c:pt>
                <c:pt idx="4">
                  <c:v>423306.75313040154</c:v>
                </c:pt>
                <c:pt idx="5">
                  <c:v>440944.5345108349</c:v>
                </c:pt>
                <c:pt idx="6">
                  <c:v>458582.31589126837</c:v>
                </c:pt>
                <c:pt idx="7">
                  <c:v>476220.09727170184</c:v>
                </c:pt>
                <c:pt idx="8">
                  <c:v>493857.87865213514</c:v>
                </c:pt>
                <c:pt idx="9">
                  <c:v>511495.66003256856</c:v>
                </c:pt>
                <c:pt idx="10">
                  <c:v>529133.44141300197</c:v>
                </c:pt>
                <c:pt idx="11">
                  <c:v>546771.22279343545</c:v>
                </c:pt>
                <c:pt idx="12">
                  <c:v>564409.0041738688</c:v>
                </c:pt>
                <c:pt idx="13">
                  <c:v>582046.78555430216</c:v>
                </c:pt>
                <c:pt idx="14">
                  <c:v>599684.56693473563</c:v>
                </c:pt>
                <c:pt idx="15">
                  <c:v>617322.34831516899</c:v>
                </c:pt>
                <c:pt idx="16">
                  <c:v>634960.12969560246</c:v>
                </c:pt>
                <c:pt idx="17">
                  <c:v>652597.91107603582</c:v>
                </c:pt>
                <c:pt idx="18">
                  <c:v>670235.69245646917</c:v>
                </c:pt>
                <c:pt idx="19">
                  <c:v>687873.47383690253</c:v>
                </c:pt>
                <c:pt idx="20">
                  <c:v>705511.25521733589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topLeftCell="A40" workbookViewId="0">
      <selection activeCell="B48" sqref="B48"/>
    </sheetView>
  </sheetViews>
  <sheetFormatPr defaultColWidth="16.296875" defaultRowHeight="18" customHeight="1"/>
  <cols>
    <col min="1" max="1" width="51.796875" style="1" customWidth="1"/>
    <col min="2" max="2" width="21" style="1" customWidth="1"/>
    <col min="3" max="3" width="4.69921875" style="1" customWidth="1"/>
    <col min="4" max="4" width="41.19921875" style="1" customWidth="1"/>
    <col min="5" max="5" width="20.796875" style="1" customWidth="1"/>
    <col min="6" max="9" width="16.296875" style="1" customWidth="1"/>
    <col min="10" max="256" width="16.296875" customWidth="1"/>
  </cols>
  <sheetData>
    <row r="1" spans="1:9" ht="23.7" customHeight="1">
      <c r="A1" s="2"/>
      <c r="B1" s="2"/>
      <c r="C1" s="3"/>
      <c r="D1" s="2"/>
      <c r="E1" s="4"/>
      <c r="F1" s="4"/>
      <c r="G1" s="3"/>
      <c r="H1" s="3"/>
      <c r="I1" s="3"/>
    </row>
    <row r="2" spans="1:9" ht="34.950000000000003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5.05" customHeight="1">
      <c r="A3" s="10" t="s">
        <v>4</v>
      </c>
      <c r="B3" s="11">
        <v>972</v>
      </c>
      <c r="C3" s="12"/>
      <c r="D3" s="13" t="s">
        <v>5</v>
      </c>
      <c r="E3" s="14">
        <f>Electricitat!F18</f>
        <v>365861.26851293218</v>
      </c>
      <c r="F3" s="14">
        <f>E3*5</f>
        <v>1829306.3425646608</v>
      </c>
      <c r="G3" s="9"/>
      <c r="H3" s="3"/>
      <c r="I3" s="3"/>
    </row>
    <row r="4" spans="1:9" ht="25.0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1979.8</v>
      </c>
      <c r="C5" s="12"/>
      <c r="D5" s="8" t="s">
        <v>9</v>
      </c>
      <c r="E5" s="14">
        <f>IF(B20=1,Infraestructura!J4,IF(B20=2,Infraestructura!J5,IF(B20=3,Infraestructura!J6,"error")))</f>
        <v>474879.19027693977</v>
      </c>
      <c r="F5" s="18">
        <f>E5*5</f>
        <v>2374395.951384699</v>
      </c>
      <c r="G5" s="9"/>
      <c r="H5" s="3"/>
      <c r="I5" s="3"/>
    </row>
    <row r="6" spans="1:9" ht="25.05" customHeight="1">
      <c r="A6" s="10" t="s">
        <v>10</v>
      </c>
      <c r="B6" s="19">
        <v>0.12</v>
      </c>
      <c r="C6" s="12"/>
      <c r="D6" s="8" t="s">
        <v>11</v>
      </c>
      <c r="E6" s="20" t="str">
        <f>IF(B16=1,"Microworks Azure M-A",IF(B16=2,"MonsoonS3 MS3",IF(B16=3,"Take the tapes and run","error")))</f>
        <v>Take the tapes and run</v>
      </c>
      <c r="F6" s="21"/>
      <c r="G6" s="22"/>
      <c r="H6" s="3"/>
      <c r="I6" s="3"/>
    </row>
    <row r="7" spans="1:9" ht="25.05" customHeight="1">
      <c r="A7" s="10" t="s">
        <v>12</v>
      </c>
      <c r="B7" s="23">
        <v>470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5.05" customHeight="1">
      <c r="A8" s="10" t="s">
        <v>14</v>
      </c>
      <c r="B8" s="25">
        <v>25000000</v>
      </c>
      <c r="C8" s="12"/>
      <c r="D8" s="8" t="s">
        <v>15</v>
      </c>
      <c r="E8" s="14">
        <f>Backup!M27</f>
        <v>312600</v>
      </c>
      <c r="F8" s="14">
        <f>E8*5</f>
        <v>1563000</v>
      </c>
      <c r="G8" s="9"/>
      <c r="H8" s="3"/>
      <c r="I8" s="3"/>
    </row>
    <row r="9" spans="1:9" ht="25.05" customHeight="1">
      <c r="A9" s="10" t="s">
        <v>16</v>
      </c>
      <c r="B9" s="25">
        <v>15500000</v>
      </c>
      <c r="C9" s="12"/>
      <c r="D9" s="8" t="s">
        <v>17</v>
      </c>
      <c r="E9" s="14">
        <f>'Bandwidth provider'!F9</f>
        <v>10584</v>
      </c>
      <c r="F9" s="14">
        <f>E9*5</f>
        <v>52920</v>
      </c>
      <c r="G9" s="9"/>
      <c r="H9" s="3"/>
      <c r="I9" s="3"/>
    </row>
    <row r="10" spans="1:9" ht="25.0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5.0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5.05" customHeight="1">
      <c r="A12" s="221" t="s">
        <v>242</v>
      </c>
      <c r="B12" s="222"/>
      <c r="C12" s="12"/>
      <c r="D12" s="8" t="s">
        <v>21</v>
      </c>
      <c r="E12" s="14">
        <f>B9</f>
        <v>15500000</v>
      </c>
      <c r="F12" s="9"/>
      <c r="G12" s="3"/>
      <c r="H12" s="3"/>
      <c r="I12" s="3"/>
    </row>
    <row r="13" spans="1:9" ht="25.05" customHeight="1">
      <c r="A13" s="10" t="s">
        <v>241</v>
      </c>
      <c r="B13" s="23">
        <v>3600000</v>
      </c>
      <c r="C13" s="12"/>
      <c r="D13" s="8" t="s">
        <v>23</v>
      </c>
      <c r="E13" s="14">
        <f>SAN!B18</f>
        <v>2868792</v>
      </c>
      <c r="F13" s="9"/>
      <c r="G13" s="3"/>
      <c r="H13" s="3"/>
      <c r="I13" s="3"/>
    </row>
    <row r="14" spans="1:9" ht="25.05" customHeight="1">
      <c r="A14" s="10" t="s">
        <v>24</v>
      </c>
      <c r="B14" s="23">
        <v>1</v>
      </c>
      <c r="C14" s="12"/>
      <c r="D14" s="8" t="s">
        <v>25</v>
      </c>
      <c r="E14" s="14">
        <f>'Cabina de discos'!K24+Backup!M29</f>
        <v>996300</v>
      </c>
      <c r="F14" s="9"/>
      <c r="G14" s="3"/>
      <c r="H14" s="3"/>
      <c r="I14" s="3"/>
    </row>
    <row r="15" spans="1:9" ht="25.05" customHeight="1">
      <c r="A15" s="10" t="s">
        <v>26</v>
      </c>
      <c r="B15" s="23">
        <v>5</v>
      </c>
      <c r="C15" s="31"/>
      <c r="D15" s="29"/>
      <c r="E15" s="29"/>
      <c r="F15" s="3"/>
      <c r="G15" s="3"/>
      <c r="H15" s="3"/>
      <c r="I15" s="3"/>
    </row>
    <row r="16" spans="1:9" ht="25.05" customHeight="1">
      <c r="A16" s="10" t="s">
        <v>27</v>
      </c>
      <c r="B16" s="23">
        <v>3</v>
      </c>
      <c r="C16" s="31"/>
      <c r="D16" s="3"/>
      <c r="E16" s="3"/>
      <c r="F16" s="3"/>
      <c r="G16" s="3"/>
      <c r="H16" s="3"/>
      <c r="I16" s="3"/>
    </row>
    <row r="17" spans="1:9" ht="25.05" customHeight="1" thickTop="1" thickBot="1">
      <c r="A17" s="10" t="s">
        <v>28</v>
      </c>
      <c r="B17" s="23">
        <v>0</v>
      </c>
      <c r="C17" s="31"/>
      <c r="D17" s="3"/>
      <c r="E17" s="3"/>
      <c r="F17" s="3"/>
      <c r="G17" s="3"/>
      <c r="H17" s="3"/>
      <c r="I17" s="3"/>
    </row>
    <row r="18" spans="1:9" ht="25.05" customHeight="1" thickTop="1" thickBo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5.05" customHeight="1" thickTop="1" thickBo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3</v>
      </c>
      <c r="C20" s="12"/>
      <c r="D20" s="8" t="s">
        <v>33</v>
      </c>
      <c r="E20" s="14">
        <f>SUM(F3:F9)</f>
        <v>5819622.29394936</v>
      </c>
      <c r="F20" s="9"/>
      <c r="G20" s="3"/>
      <c r="H20" s="3"/>
      <c r="I20" s="3"/>
    </row>
    <row r="21" spans="1:9" ht="25.0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19365092</v>
      </c>
      <c r="F21" s="9"/>
      <c r="G21" s="3"/>
      <c r="H21" s="3"/>
      <c r="I21" s="3"/>
    </row>
    <row r="22" spans="1:9" ht="25.05" customHeight="1">
      <c r="A22" s="10" t="s">
        <v>36</v>
      </c>
      <c r="B22" s="23">
        <v>1</v>
      </c>
      <c r="C22" s="12"/>
      <c r="D22" s="8" t="s">
        <v>37</v>
      </c>
      <c r="E22" s="14">
        <f>E20+E21</f>
        <v>25184714.293949358</v>
      </c>
      <c r="F22" s="9"/>
      <c r="G22" s="3"/>
      <c r="H22" s="3"/>
      <c r="I22" s="3"/>
    </row>
    <row r="23" spans="1:9" ht="25.05" customHeight="1">
      <c r="A23" s="221" t="s">
        <v>38</v>
      </c>
      <c r="B23" s="222"/>
      <c r="C23" s="12"/>
      <c r="D23" s="33" t="s">
        <v>39</v>
      </c>
      <c r="E23" s="34">
        <f>B8-E22</f>
        <v>-184714.29394935817</v>
      </c>
      <c r="F23" s="9"/>
      <c r="G23" s="3"/>
      <c r="H23" s="3"/>
      <c r="I23" s="3"/>
    </row>
    <row r="24" spans="1:9" ht="39" customHeight="1">
      <c r="A24" s="10" t="s">
        <v>40</v>
      </c>
      <c r="B24" s="23">
        <v>4</v>
      </c>
      <c r="C24" s="31"/>
      <c r="D24" s="29"/>
      <c r="E24" s="29"/>
      <c r="F24" s="3"/>
      <c r="G24" s="3"/>
      <c r="H24" s="3"/>
      <c r="I24" s="3"/>
    </row>
    <row r="25" spans="1:9" ht="25.05" customHeight="1">
      <c r="A25" s="10" t="s">
        <v>41</v>
      </c>
      <c r="B25" s="23">
        <v>1</v>
      </c>
      <c r="C25" s="31"/>
      <c r="D25" s="3"/>
      <c r="E25" s="3"/>
      <c r="F25" s="3"/>
      <c r="G25" s="3"/>
      <c r="H25" s="3"/>
      <c r="I25" s="3"/>
    </row>
    <row r="26" spans="1:9" ht="25.05" customHeight="1">
      <c r="A26" s="10" t="s">
        <v>42</v>
      </c>
      <c r="B26" s="23">
        <v>1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2</v>
      </c>
      <c r="C27" s="31"/>
      <c r="D27" s="3"/>
      <c r="E27" s="3"/>
      <c r="F27" s="3"/>
      <c r="G27" s="3"/>
      <c r="H27" s="3"/>
      <c r="I27" s="3"/>
    </row>
    <row r="28" spans="1:9" ht="25.0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5.05" customHeight="1">
      <c r="A29" s="10" t="s">
        <v>44</v>
      </c>
      <c r="B29" s="23">
        <v>9</v>
      </c>
      <c r="C29" s="31"/>
      <c r="D29" s="3"/>
      <c r="E29" s="3"/>
      <c r="F29" s="3"/>
      <c r="G29" s="3"/>
      <c r="H29" s="3"/>
      <c r="I29" s="3"/>
    </row>
    <row r="30" spans="1:9" ht="25.05" customHeight="1">
      <c r="A30" s="10" t="s">
        <v>45</v>
      </c>
      <c r="B30" s="23">
        <v>540</v>
      </c>
      <c r="C30" s="31"/>
      <c r="D30" s="3"/>
      <c r="E30" s="3"/>
      <c r="F30" s="3"/>
      <c r="G30" s="3"/>
      <c r="H30" s="3"/>
      <c r="I30" s="3"/>
    </row>
    <row r="31" spans="1:9" ht="25.05" customHeight="1" thickTop="1" thickBot="1">
      <c r="A31" s="10" t="s">
        <v>46</v>
      </c>
      <c r="B31" s="23">
        <v>4</v>
      </c>
      <c r="C31" s="31"/>
      <c r="D31" s="3"/>
      <c r="E31" s="3"/>
      <c r="F31" s="3"/>
      <c r="G31" s="3"/>
      <c r="H31" s="3"/>
      <c r="I31" s="3"/>
    </row>
    <row r="32" spans="1:9" ht="25.05" customHeight="1" thickTop="1" thickBot="1">
      <c r="A32" s="10" t="s">
        <v>47</v>
      </c>
      <c r="B32" s="23">
        <v>15</v>
      </c>
      <c r="C32" s="31"/>
      <c r="D32" s="3"/>
      <c r="E32" s="3"/>
      <c r="F32" s="3"/>
      <c r="G32" s="3"/>
      <c r="H32" s="3"/>
      <c r="I32" s="3"/>
    </row>
    <row r="33" spans="1:9" ht="25.05" customHeight="1" thickTop="1" thickBo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5.05" customHeight="1">
      <c r="A34" s="10" t="s">
        <v>49</v>
      </c>
      <c r="B34" s="23">
        <v>3</v>
      </c>
      <c r="C34" s="31"/>
      <c r="D34" s="3"/>
      <c r="E34" s="3"/>
      <c r="F34" s="3"/>
      <c r="G34" s="3"/>
      <c r="H34" s="3"/>
      <c r="I34" s="3"/>
    </row>
    <row r="35" spans="1:9" ht="25.05" customHeight="1">
      <c r="A35" s="10" t="s">
        <v>45</v>
      </c>
      <c r="B35" s="23">
        <v>170</v>
      </c>
      <c r="C35" s="31"/>
      <c r="D35" s="3"/>
      <c r="E35" s="3"/>
      <c r="F35" s="3"/>
      <c r="G35" s="3"/>
      <c r="H35" s="3"/>
      <c r="I35" s="3"/>
    </row>
    <row r="36" spans="1:9" ht="25.05" customHeight="1">
      <c r="A36" s="10" t="s">
        <v>46</v>
      </c>
      <c r="B36" s="23">
        <v>5</v>
      </c>
      <c r="C36" s="31"/>
      <c r="D36" s="3"/>
      <c r="E36" s="3"/>
      <c r="F36" s="3"/>
      <c r="G36" s="3"/>
      <c r="H36" s="3"/>
      <c r="I36" s="3"/>
    </row>
    <row r="37" spans="1:9" ht="25.05" customHeight="1">
      <c r="A37" s="10" t="s">
        <v>47</v>
      </c>
      <c r="B37" s="23">
        <v>5</v>
      </c>
      <c r="C37" s="31"/>
      <c r="D37" s="3"/>
      <c r="E37" s="3"/>
      <c r="F37" s="3"/>
      <c r="G37" s="3"/>
      <c r="H37" s="3"/>
      <c r="I37" s="3"/>
    </row>
    <row r="38" spans="1:9" ht="25.05" customHeight="1" thickTop="1" thickBo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5.05" customHeight="1" thickTop="1" thickBot="1">
      <c r="A39" s="10" t="s">
        <v>49</v>
      </c>
      <c r="B39" s="23">
        <v>8</v>
      </c>
      <c r="C39" s="31"/>
      <c r="E39" s="3"/>
      <c r="F39" s="3"/>
      <c r="G39" s="3"/>
      <c r="H39" s="3"/>
      <c r="I39" s="3"/>
    </row>
    <row r="40" spans="1:9" ht="25.05" customHeight="1" thickTop="1" thickBot="1">
      <c r="A40" s="10" t="s">
        <v>45</v>
      </c>
      <c r="B40" s="23">
        <v>0</v>
      </c>
      <c r="C40" s="31"/>
      <c r="D40" s="3"/>
      <c r="E40" s="3"/>
      <c r="F40" s="3"/>
      <c r="G40" s="3"/>
      <c r="H40" s="3"/>
      <c r="I40" s="3"/>
    </row>
    <row r="41" spans="1:9" ht="25.05" customHeight="1" thickTop="1" thickBot="1">
      <c r="A41" s="10" t="s">
        <v>46</v>
      </c>
      <c r="B41" s="23">
        <v>5</v>
      </c>
      <c r="C41" s="31"/>
      <c r="D41" s="3"/>
      <c r="E41" s="3"/>
      <c r="F41" s="3"/>
      <c r="G41" s="3"/>
      <c r="H41" s="3"/>
      <c r="I41" s="3"/>
    </row>
    <row r="42" spans="1:9" ht="25.05" customHeight="1" thickTop="1" thickBot="1">
      <c r="A42" s="10" t="s">
        <v>47</v>
      </c>
      <c r="B42" s="23">
        <v>0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topLeftCell="A10" workbookViewId="0">
      <selection activeCell="A19" sqref="A19"/>
    </sheetView>
  </sheetViews>
  <sheetFormatPr defaultColWidth="12.796875" defaultRowHeight="15.75" customHeight="1"/>
  <cols>
    <col min="1" max="1" width="14.796875" style="35" customWidth="1"/>
    <col min="2" max="2" width="14.5" style="35" customWidth="1"/>
    <col min="3" max="3" width="14.796875" style="35" customWidth="1"/>
    <col min="4" max="4" width="12" style="35" customWidth="1"/>
    <col min="5" max="5" width="6.296875" style="35" customWidth="1"/>
    <col min="6" max="6" width="6.69921875" style="35" customWidth="1"/>
    <col min="7" max="7" width="6" style="35" customWidth="1"/>
    <col min="8" max="8" width="8.19921875" style="35" customWidth="1"/>
    <col min="9" max="9" width="9.69921875" style="35" customWidth="1"/>
    <col min="10" max="10" width="13.296875" style="35" customWidth="1"/>
    <col min="11" max="11" width="13" style="35" customWidth="1"/>
    <col min="12" max="12" width="13.796875" style="35" customWidth="1"/>
    <col min="13" max="15" width="12.796875" style="35" customWidth="1"/>
    <col min="16" max="256" width="12.796875" customWidth="1"/>
  </cols>
  <sheetData>
    <row r="1" spans="1:15" ht="19.0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9.0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9.05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9.05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9.05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540</v>
      </c>
      <c r="F5" s="41">
        <f>Resum!$B$35</f>
        <v>170</v>
      </c>
      <c r="G5" s="41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9.05" customHeight="1">
      <c r="A6" s="40" t="s">
        <v>62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540</v>
      </c>
      <c r="F6" s="41">
        <f>Resum!$B$35</f>
        <v>170</v>
      </c>
      <c r="G6" s="41">
        <f>Resum!$B$40</f>
        <v>0</v>
      </c>
      <c r="H6" s="42">
        <v>7.8</v>
      </c>
      <c r="I6" s="43">
        <v>520</v>
      </c>
      <c r="J6" s="42">
        <f t="shared" si="0"/>
        <v>0</v>
      </c>
      <c r="K6" s="43">
        <f t="shared" si="1"/>
        <v>0</v>
      </c>
      <c r="L6" s="36"/>
      <c r="M6" s="36"/>
      <c r="N6" s="41"/>
      <c r="O6" s="36"/>
    </row>
    <row r="7" spans="1:15" ht="19.05" customHeight="1">
      <c r="A7" s="40" t="s">
        <v>63</v>
      </c>
      <c r="B7" s="41">
        <f>IF(Resum!$B$29=3,1,0)</f>
        <v>0</v>
      </c>
      <c r="C7" s="41">
        <f>IF(Resum!$B$34=3,1,0)</f>
        <v>1</v>
      </c>
      <c r="D7" s="41">
        <f>IF(Resum!B39=3,1,0)</f>
        <v>0</v>
      </c>
      <c r="E7" s="41">
        <f>Resum!$B$30</f>
        <v>540</v>
      </c>
      <c r="F7" s="41">
        <f>Resum!$B$35</f>
        <v>170</v>
      </c>
      <c r="G7" s="41">
        <f>Resum!$B$40</f>
        <v>0</v>
      </c>
      <c r="H7" s="42">
        <v>9.5</v>
      </c>
      <c r="I7" s="43">
        <v>350</v>
      </c>
      <c r="J7" s="42">
        <f t="shared" si="0"/>
        <v>1615</v>
      </c>
      <c r="K7" s="43">
        <f t="shared" si="1"/>
        <v>59500</v>
      </c>
      <c r="L7" s="36"/>
      <c r="M7" s="36"/>
      <c r="N7" s="41"/>
      <c r="O7" s="36"/>
    </row>
    <row r="8" spans="1:15" ht="19.05" customHeight="1">
      <c r="A8" s="40" t="s">
        <v>64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540</v>
      </c>
      <c r="F8" s="41">
        <f>Resum!$B$35</f>
        <v>170</v>
      </c>
      <c r="G8" s="41">
        <f>Resum!$B$40</f>
        <v>0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9.05" customHeight="1">
      <c r="A9" s="40" t="s">
        <v>65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540</v>
      </c>
      <c r="F9" s="41">
        <f>Resum!$B$35</f>
        <v>170</v>
      </c>
      <c r="G9" s="41">
        <f>Resum!$B$40</f>
        <v>0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9.05" customHeight="1">
      <c r="A10" s="40" t="s">
        <v>66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540</v>
      </c>
      <c r="F10" s="41">
        <f>Resum!$B$35</f>
        <v>170</v>
      </c>
      <c r="G10" s="41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6"/>
      <c r="M10" s="36"/>
      <c r="N10" s="36"/>
      <c r="O10" s="36"/>
    </row>
    <row r="11" spans="1:15" ht="19.05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540</v>
      </c>
      <c r="F11" s="41">
        <f>Resum!$B$35</f>
        <v>170</v>
      </c>
      <c r="G11" s="41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9.05" customHeight="1">
      <c r="A12" s="40" t="s">
        <v>68</v>
      </c>
      <c r="B12" s="41">
        <f>IF(Resum!$B$29=8,1,0)</f>
        <v>0</v>
      </c>
      <c r="C12" s="41">
        <f>IF(Resum!$B$34=8,1,0)</f>
        <v>0</v>
      </c>
      <c r="D12" s="41">
        <f>IF(Resum!B39=8,1,0)</f>
        <v>1</v>
      </c>
      <c r="E12" s="41">
        <f>Resum!$B$30</f>
        <v>540</v>
      </c>
      <c r="F12" s="41">
        <f>Resum!$B$35</f>
        <v>170</v>
      </c>
      <c r="G12" s="41">
        <f>Resum!$B$40</f>
        <v>0</v>
      </c>
      <c r="H12" s="42">
        <v>9</v>
      </c>
      <c r="I12" s="43">
        <v>372</v>
      </c>
      <c r="J12" s="42">
        <f t="shared" si="0"/>
        <v>0</v>
      </c>
      <c r="K12" s="43">
        <f t="shared" si="1"/>
        <v>0</v>
      </c>
      <c r="L12" s="36"/>
      <c r="M12" s="36"/>
      <c r="N12" s="36"/>
      <c r="O12" s="36"/>
    </row>
    <row r="13" spans="1:15" ht="19.05" customHeight="1">
      <c r="A13" s="40" t="s">
        <v>69</v>
      </c>
      <c r="B13" s="41">
        <f>IF(Resum!$B$29=9,1,0)</f>
        <v>1</v>
      </c>
      <c r="C13" s="41">
        <f>IF(Resum!$B$34=9,1,0)</f>
        <v>0</v>
      </c>
      <c r="D13" s="41">
        <f>IF(Resum!B39=9,1,0)</f>
        <v>0</v>
      </c>
      <c r="E13" s="41">
        <f>Resum!$B$30</f>
        <v>540</v>
      </c>
      <c r="F13" s="41">
        <f>Resum!$B$35</f>
        <v>170</v>
      </c>
      <c r="G13" s="41">
        <f>Resum!$B$40</f>
        <v>0</v>
      </c>
      <c r="H13" s="42">
        <v>12</v>
      </c>
      <c r="I13" s="43">
        <v>1545</v>
      </c>
      <c r="J13" s="42">
        <f t="shared" si="0"/>
        <v>6480</v>
      </c>
      <c r="K13" s="43">
        <f t="shared" si="1"/>
        <v>834300</v>
      </c>
      <c r="L13" s="36"/>
      <c r="M13" s="36"/>
      <c r="N13" s="36"/>
      <c r="O13" s="36"/>
    </row>
    <row r="14" spans="1:15" ht="19.05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540</v>
      </c>
      <c r="F14" s="41">
        <f>Resum!$B$35</f>
        <v>170</v>
      </c>
      <c r="G14" s="41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9.05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9.05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15</v>
      </c>
      <c r="F16" s="41">
        <f>Resum!$B$37</f>
        <v>5</v>
      </c>
      <c r="G16" s="41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9.05" customHeight="1">
      <c r="A17" s="40" t="s">
        <v>62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15</v>
      </c>
      <c r="F17" s="41">
        <f>Resum!$B$37</f>
        <v>5</v>
      </c>
      <c r="G17" s="41">
        <f>Resum!$B$42</f>
        <v>0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41">
        <v>4</v>
      </c>
      <c r="M17" s="41">
        <f t="shared" si="4"/>
        <v>0</v>
      </c>
      <c r="N17" s="36"/>
      <c r="O17" s="36"/>
    </row>
    <row r="18" spans="1:15" ht="19.05" customHeight="1">
      <c r="A18" s="40" t="s">
        <v>63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15</v>
      </c>
      <c r="F18" s="41">
        <f>Resum!$B$37</f>
        <v>5</v>
      </c>
      <c r="G18" s="41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9.05" customHeight="1">
      <c r="A19" s="40" t="s">
        <v>64</v>
      </c>
      <c r="B19" s="41">
        <f>IF(Resum!$B$31=4,1,0)</f>
        <v>1</v>
      </c>
      <c r="C19" s="41">
        <f>IF(Resum!$B$36=4,1,0)</f>
        <v>0</v>
      </c>
      <c r="D19" s="41">
        <f>IF(Resum!B41=4,1,0)</f>
        <v>0</v>
      </c>
      <c r="E19" s="41">
        <f>Resum!$B$32</f>
        <v>15</v>
      </c>
      <c r="F19" s="41">
        <f>Resum!$B$37</f>
        <v>5</v>
      </c>
      <c r="G19" s="41">
        <f>Resum!$B$42</f>
        <v>0</v>
      </c>
      <c r="H19" s="42">
        <v>1300</v>
      </c>
      <c r="I19" s="43">
        <v>5000</v>
      </c>
      <c r="J19" s="42">
        <f t="shared" si="2"/>
        <v>19500</v>
      </c>
      <c r="K19" s="43">
        <f t="shared" si="3"/>
        <v>75000</v>
      </c>
      <c r="L19" s="41">
        <v>4</v>
      </c>
      <c r="M19" s="41">
        <f t="shared" si="4"/>
        <v>60</v>
      </c>
      <c r="N19" s="36"/>
      <c r="O19" s="36"/>
    </row>
    <row r="20" spans="1:15" ht="19.05" customHeight="1">
      <c r="A20" s="40" t="s">
        <v>65</v>
      </c>
      <c r="B20" s="41">
        <f>IF(Resum!$B$31=5,1,0)</f>
        <v>0</v>
      </c>
      <c r="C20" s="41">
        <f>IF(Resum!$B$36=5,1,0)</f>
        <v>1</v>
      </c>
      <c r="D20" s="41">
        <f>IF(Resum!B41=5,1,0)</f>
        <v>1</v>
      </c>
      <c r="E20" s="41">
        <f>Resum!$B$32</f>
        <v>15</v>
      </c>
      <c r="F20" s="41">
        <f>Resum!$B$37</f>
        <v>5</v>
      </c>
      <c r="G20" s="41">
        <f>Resum!$B$42</f>
        <v>0</v>
      </c>
      <c r="H20" s="42">
        <v>1316</v>
      </c>
      <c r="I20" s="43">
        <v>5500</v>
      </c>
      <c r="J20" s="42">
        <f t="shared" si="2"/>
        <v>6580</v>
      </c>
      <c r="K20" s="43">
        <f t="shared" si="3"/>
        <v>27500</v>
      </c>
      <c r="L20" s="41">
        <v>4</v>
      </c>
      <c r="M20" s="41">
        <f t="shared" si="4"/>
        <v>20</v>
      </c>
      <c r="N20" s="36"/>
      <c r="O20" s="36"/>
    </row>
    <row r="21" spans="1:15" ht="19.05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15</v>
      </c>
      <c r="F21" s="41">
        <f>Resum!$B$37</f>
        <v>5</v>
      </c>
      <c r="G21" s="41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9.05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9.05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9.05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34.174999999999997</v>
      </c>
      <c r="K24" s="47">
        <f>SUM(K5:K22)</f>
        <v>996300</v>
      </c>
      <c r="L24" s="44" t="s">
        <v>75</v>
      </c>
      <c r="M24" s="48">
        <f>SUM(M16:M21)</f>
        <v>80</v>
      </c>
      <c r="N24" s="36"/>
      <c r="O24" s="36"/>
    </row>
    <row r="25" spans="1:15" ht="19.05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20</v>
      </c>
      <c r="N25" s="36"/>
      <c r="O25" s="36"/>
    </row>
    <row r="26" spans="1:15" ht="19.05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9.05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9.05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9.05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topLeftCell="A3" workbookViewId="0">
      <selection activeCell="D4" sqref="D4"/>
    </sheetView>
  </sheetViews>
  <sheetFormatPr defaultColWidth="16.296875" defaultRowHeight="19.95" customHeight="1"/>
  <cols>
    <col min="1" max="1" width="19.796875" style="1" customWidth="1"/>
    <col min="2" max="3" width="16.296875" style="1" customWidth="1"/>
    <col min="4" max="4" width="22.5" style="1" customWidth="1"/>
    <col min="5" max="5" width="12.5" style="1" customWidth="1"/>
    <col min="6" max="6" width="11.796875" style="1" customWidth="1"/>
    <col min="7" max="7" width="9" style="1" customWidth="1"/>
    <col min="8" max="8" width="14.69921875" style="1" customWidth="1"/>
    <col min="9" max="9" width="10.296875" style="1" customWidth="1"/>
    <col min="10" max="256" width="16.296875" customWidth="1"/>
  </cols>
  <sheetData>
    <row r="1" spans="1:9" ht="22.2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2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2" customHeight="1">
      <c r="A3" s="51" t="s">
        <v>82</v>
      </c>
      <c r="B3" s="53">
        <f>Resum!B7</f>
        <v>470</v>
      </c>
      <c r="C3" s="54">
        <f t="shared" ref="C3:C5" si="0">IF($B$6&lt;&gt;0,1,0)</f>
        <v>1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2" customHeight="1">
      <c r="A4" s="51" t="s">
        <v>84</v>
      </c>
      <c r="B4" s="57">
        <f>Resum!B4</f>
        <v>42</v>
      </c>
      <c r="C4" s="54">
        <f t="shared" si="0"/>
        <v>1</v>
      </c>
      <c r="D4" s="52" t="s">
        <v>85</v>
      </c>
      <c r="E4" s="54">
        <f>2*E19+B5*2</f>
        <v>28</v>
      </c>
      <c r="F4" s="55">
        <v>6000</v>
      </c>
      <c r="G4" s="56">
        <v>150</v>
      </c>
      <c r="H4" s="55">
        <f>E4*F4*C4</f>
        <v>168000</v>
      </c>
      <c r="I4" s="56">
        <f t="shared" si="1"/>
        <v>4200</v>
      </c>
    </row>
    <row r="5" spans="1:9" ht="36.299999999999997" customHeight="1">
      <c r="A5" s="51" t="s">
        <v>86</v>
      </c>
      <c r="B5" s="53">
        <f>ROUNDUP('Cabina de discos'!M24/B4,0)</f>
        <v>2</v>
      </c>
      <c r="C5" s="54">
        <f t="shared" si="0"/>
        <v>1</v>
      </c>
      <c r="D5" s="52" t="s">
        <v>87</v>
      </c>
      <c r="E5" s="54">
        <f>(B4-4)*2+E19+2+2</f>
        <v>92</v>
      </c>
      <c r="F5" s="55">
        <v>26</v>
      </c>
      <c r="G5" s="56">
        <v>0</v>
      </c>
      <c r="H5" s="55">
        <f>E5*F5*C5</f>
        <v>2392</v>
      </c>
      <c r="I5" s="56">
        <f t="shared" si="1"/>
        <v>0</v>
      </c>
    </row>
    <row r="6" spans="1:9" ht="22.2" customHeight="1">
      <c r="A6" s="51" t="s">
        <v>88</v>
      </c>
      <c r="B6" s="53">
        <f>Resum!B27</f>
        <v>2</v>
      </c>
      <c r="C6" s="54">
        <f t="shared" ref="C6:C7" si="2">IF($B$6=1,1,0)</f>
        <v>0</v>
      </c>
      <c r="D6" s="52" t="s">
        <v>89</v>
      </c>
      <c r="E6" s="54">
        <f t="shared" ref="E6:E14" si="3">$B$3*2</f>
        <v>940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2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2" customHeight="1">
      <c r="A8" s="3"/>
      <c r="B8" s="3"/>
      <c r="C8" s="54">
        <f t="shared" ref="C8:C9" si="5">IF($B$6=2,1,0)</f>
        <v>1</v>
      </c>
      <c r="D8" s="52" t="s">
        <v>91</v>
      </c>
      <c r="E8" s="54">
        <f t="shared" si="3"/>
        <v>940</v>
      </c>
      <c r="F8" s="55">
        <v>2800</v>
      </c>
      <c r="G8" s="56">
        <v>10.199999999999999</v>
      </c>
      <c r="H8" s="55">
        <f t="shared" si="4"/>
        <v>2632000</v>
      </c>
      <c r="I8" s="56">
        <f t="shared" si="1"/>
        <v>9588</v>
      </c>
    </row>
    <row r="9" spans="1:9" ht="22.2" customHeight="1">
      <c r="A9" s="3"/>
      <c r="B9" s="3"/>
      <c r="C9" s="54">
        <f t="shared" si="5"/>
        <v>1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60000</v>
      </c>
      <c r="I9" s="56">
        <f t="shared" si="1"/>
        <v>3600</v>
      </c>
    </row>
    <row r="10" spans="1:9" ht="22.2" customHeight="1">
      <c r="A10" s="3"/>
      <c r="B10" s="3"/>
      <c r="C10" s="54">
        <f t="shared" ref="C10:C11" si="6">IF($B$6=3,1,0)</f>
        <v>0</v>
      </c>
      <c r="D10" s="52" t="s">
        <v>93</v>
      </c>
      <c r="E10" s="54">
        <f t="shared" si="3"/>
        <v>940</v>
      </c>
      <c r="F10" s="55">
        <v>4200</v>
      </c>
      <c r="G10" s="56">
        <v>18.5</v>
      </c>
      <c r="H10" s="55">
        <f t="shared" si="4"/>
        <v>0</v>
      </c>
      <c r="I10" s="56">
        <f t="shared" si="1"/>
        <v>0</v>
      </c>
    </row>
    <row r="11" spans="1:9" ht="22.2" customHeight="1">
      <c r="A11" s="3"/>
      <c r="B11" s="3"/>
      <c r="C11" s="54">
        <f t="shared" si="6"/>
        <v>0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0</v>
      </c>
      <c r="I11" s="56">
        <f t="shared" si="1"/>
        <v>0</v>
      </c>
    </row>
    <row r="12" spans="1:9" ht="22.2" customHeight="1">
      <c r="A12" s="3"/>
      <c r="B12" s="3"/>
      <c r="C12" s="54">
        <f>IF($B$6=4,1,0)</f>
        <v>0</v>
      </c>
      <c r="D12" s="215" t="s">
        <v>236</v>
      </c>
      <c r="E12" s="54">
        <f t="shared" si="3"/>
        <v>940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2" customHeight="1">
      <c r="A13" s="3"/>
      <c r="B13" s="3"/>
      <c r="C13" s="54">
        <f>IF($B$6=4,1,0)</f>
        <v>0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2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940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2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2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2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2868792</v>
      </c>
      <c r="I17" s="56">
        <f>SUM(I3:I16)</f>
        <v>17399.2</v>
      </c>
    </row>
    <row r="18" spans="1:9" ht="22.2" customHeight="1">
      <c r="A18" s="51" t="s">
        <v>97</v>
      </c>
      <c r="B18" s="58">
        <f>H17</f>
        <v>2868792</v>
      </c>
      <c r="C18" s="3"/>
      <c r="D18" s="3"/>
      <c r="E18" s="3"/>
      <c r="F18" s="59"/>
      <c r="G18" s="56"/>
      <c r="H18" s="54"/>
      <c r="I18" s="56"/>
    </row>
    <row r="19" spans="1:9" ht="22.2" customHeight="1">
      <c r="A19" s="51" t="s">
        <v>8</v>
      </c>
      <c r="B19" s="60">
        <f>I17/1000</f>
        <v>17.3992</v>
      </c>
      <c r="C19" s="3"/>
      <c r="D19" s="52" t="s">
        <v>98</v>
      </c>
      <c r="E19" s="54">
        <f>MROUND(B3/(B4-4),1)</f>
        <v>12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workbookViewId="0">
      <selection activeCell="B10" sqref="B10"/>
    </sheetView>
  </sheetViews>
  <sheetFormatPr defaultColWidth="12.796875" defaultRowHeight="15.75" customHeight="1"/>
  <cols>
    <col min="1" max="1" width="44.296875" style="35" customWidth="1"/>
    <col min="2" max="2" width="16.296875" style="35" customWidth="1"/>
    <col min="3" max="3" width="12.796875" style="35" customWidth="1"/>
    <col min="4" max="4" width="14" style="35" customWidth="1"/>
    <col min="5" max="5" width="16.796875" style="35" customWidth="1"/>
    <col min="6" max="6" width="15.796875" style="35" customWidth="1"/>
    <col min="7" max="8" width="12.796875" style="35" customWidth="1"/>
    <col min="9" max="9" width="36.296875" style="35" customWidth="1"/>
    <col min="10" max="15" width="12.796875" style="35" customWidth="1"/>
    <col min="16" max="16" width="14.69921875" style="35" customWidth="1"/>
    <col min="17" max="17" width="17" style="35" customWidth="1"/>
    <col min="18" max="18" width="7" style="35" customWidth="1"/>
    <col min="19" max="20" width="12.796875" style="35" customWidth="1"/>
    <col min="21" max="256" width="12.79687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45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9.05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9.05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9.05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9.05" customHeight="1">
      <c r="A9" s="80" t="s">
        <v>117</v>
      </c>
      <c r="B9" s="81">
        <f>Resum!B6</f>
        <v>0.12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9.05" customHeight="1">
      <c r="A10" s="72" t="s">
        <v>120</v>
      </c>
      <c r="B10" s="84">
        <f>Resum!B5+'Cabina de discos'!J24+SAN!B19+Backup!H29</f>
        <v>2032.8742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9.05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9.05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9.05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9.05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9.05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9.05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9.05" customHeight="1">
      <c r="A18" s="97">
        <v>1</v>
      </c>
      <c r="B18" s="98">
        <f t="shared" ref="B18:B38" si="2">$B$10*A18</f>
        <v>2032.8742</v>
      </c>
      <c r="C18" s="99">
        <f t="shared" ref="C18:C38" si="3">B18*(1+$B$9)</f>
        <v>2276.8191040000002</v>
      </c>
      <c r="D18" s="100">
        <f>SUM(B6:G6*C18)</f>
        <v>14745.017486731393</v>
      </c>
      <c r="E18" s="100">
        <f t="shared" ref="E18:E38" si="4">($J$38*$B$7+$K$38*$C$7+$L$38*$D$7+$M$38*$E$7+$N$38*$F$7+$O$38*$G$7+$P$38*$G$7)*B18</f>
        <v>351116.25102620077</v>
      </c>
      <c r="F18" s="101">
        <f t="shared" ref="F18:F38" si="5">D18+E18</f>
        <v>365861.26851293218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9.05" customHeight="1">
      <c r="A19" s="103">
        <v>1.05</v>
      </c>
      <c r="B19" s="104">
        <f t="shared" si="2"/>
        <v>2134.51791</v>
      </c>
      <c r="C19" s="105">
        <f t="shared" si="3"/>
        <v>2390.6600592000004</v>
      </c>
      <c r="D19" s="106">
        <v>1721.3454115905599</v>
      </c>
      <c r="E19" s="106">
        <f t="shared" si="4"/>
        <v>368672.06357751082</v>
      </c>
      <c r="F19" s="107">
        <f t="shared" si="5"/>
        <v>370393.40898910136</v>
      </c>
      <c r="G19" s="108">
        <f t="shared" si="6"/>
        <v>1.2236018153072847E-2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9.05" customHeight="1">
      <c r="A20" s="103">
        <v>1.1000000000000001</v>
      </c>
      <c r="B20" s="104">
        <f t="shared" si="2"/>
        <v>2236.1616200000003</v>
      </c>
      <c r="C20" s="105">
        <f t="shared" si="3"/>
        <v>2504.5010144000007</v>
      </c>
      <c r="D20" s="106">
        <v>1803.314240713921</v>
      </c>
      <c r="E20" s="106">
        <f t="shared" si="4"/>
        <v>386227.87612882094</v>
      </c>
      <c r="F20" s="107">
        <f t="shared" si="5"/>
        <v>388031.19036953483</v>
      </c>
      <c r="G20" s="108">
        <f t="shared" si="6"/>
        <v>5.7134380964297016E-2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9.05" customHeight="1">
      <c r="A21" s="103">
        <v>1.1499999999999999</v>
      </c>
      <c r="B21" s="104">
        <f t="shared" si="2"/>
        <v>2337.8053299999997</v>
      </c>
      <c r="C21" s="105">
        <f t="shared" si="3"/>
        <v>2618.3419696000001</v>
      </c>
      <c r="D21" s="106">
        <v>1885.28306983728</v>
      </c>
      <c r="E21" s="106">
        <f t="shared" si="4"/>
        <v>403783.68868013087</v>
      </c>
      <c r="F21" s="107">
        <f t="shared" si="5"/>
        <v>405668.97174996813</v>
      </c>
      <c r="G21" s="108">
        <f t="shared" si="6"/>
        <v>9.8128538313675184E-2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9.05" customHeight="1">
      <c r="A22" s="103">
        <v>1.2</v>
      </c>
      <c r="B22" s="104">
        <f t="shared" si="2"/>
        <v>2439.44904</v>
      </c>
      <c r="C22" s="105">
        <f t="shared" si="3"/>
        <v>2732.1829248000004</v>
      </c>
      <c r="D22" s="106">
        <v>1967.2518989606399</v>
      </c>
      <c r="E22" s="106">
        <f t="shared" si="4"/>
        <v>421339.50123144093</v>
      </c>
      <c r="F22" s="107">
        <f t="shared" si="5"/>
        <v>423306.75313040154</v>
      </c>
      <c r="G22" s="108">
        <f t="shared" si="6"/>
        <v>0.13570651588393867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9.05" customHeight="1">
      <c r="A23" s="103">
        <v>1.25</v>
      </c>
      <c r="B23" s="104">
        <f t="shared" si="2"/>
        <v>2541.0927499999998</v>
      </c>
      <c r="C23" s="105">
        <f t="shared" si="3"/>
        <v>2846.0238800000002</v>
      </c>
      <c r="D23" s="106">
        <v>2049.2207280839998</v>
      </c>
      <c r="E23" s="106">
        <f t="shared" si="4"/>
        <v>438895.31378275092</v>
      </c>
      <c r="F23" s="107">
        <f t="shared" si="5"/>
        <v>440944.5345108349</v>
      </c>
      <c r="G23" s="108">
        <f t="shared" si="6"/>
        <v>0.17027825524858109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2642.7364600000001</v>
      </c>
      <c r="C24" s="105">
        <f t="shared" si="3"/>
        <v>2959.8648352000005</v>
      </c>
      <c r="D24" s="106">
        <v>2131.1895572073599</v>
      </c>
      <c r="E24" s="106">
        <f t="shared" si="4"/>
        <v>456451.12633406103</v>
      </c>
      <c r="F24" s="107">
        <f t="shared" si="5"/>
        <v>458582.31589126837</v>
      </c>
      <c r="G24" s="108">
        <f t="shared" si="6"/>
        <v>0.20219063004671278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2744.3801700000004</v>
      </c>
      <c r="C25" s="105">
        <f t="shared" si="3"/>
        <v>3073.7057904000008</v>
      </c>
      <c r="D25" s="106">
        <v>2213.158386330721</v>
      </c>
      <c r="E25" s="106">
        <f t="shared" si="4"/>
        <v>474006.93888537114</v>
      </c>
      <c r="F25" s="107">
        <f t="shared" si="5"/>
        <v>476220.09727170184</v>
      </c>
      <c r="G25" s="108">
        <f t="shared" si="6"/>
        <v>0.23173912523016793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2846.0238799999997</v>
      </c>
      <c r="C26" s="105">
        <f t="shared" si="3"/>
        <v>3187.5467456000001</v>
      </c>
      <c r="D26" s="106">
        <v>2295.1272154540811</v>
      </c>
      <c r="E26" s="106">
        <f t="shared" si="4"/>
        <v>491562.75143668108</v>
      </c>
      <c r="F26" s="107">
        <f t="shared" si="5"/>
        <v>493857.87865213514</v>
      </c>
      <c r="G26" s="108">
        <f t="shared" si="6"/>
        <v>0.25917701361480461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2947.66759</v>
      </c>
      <c r="C27" s="105">
        <f t="shared" si="3"/>
        <v>3301.3877008000004</v>
      </c>
      <c r="D27" s="106">
        <v>2377.0960445774399</v>
      </c>
      <c r="E27" s="106">
        <f t="shared" si="4"/>
        <v>509118.56398799113</v>
      </c>
      <c r="F27" s="107">
        <f t="shared" si="5"/>
        <v>511495.66003256856</v>
      </c>
      <c r="G27" s="108">
        <f t="shared" si="6"/>
        <v>0.28472263383498386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3049.3112999999998</v>
      </c>
      <c r="C28" s="105">
        <f t="shared" si="3"/>
        <v>3415.2286560000002</v>
      </c>
      <c r="D28" s="106">
        <v>2459.0648737008</v>
      </c>
      <c r="E28" s="106">
        <f t="shared" si="4"/>
        <v>526674.37653930113</v>
      </c>
      <c r="F28" s="107">
        <f t="shared" si="5"/>
        <v>529133.44141300197</v>
      </c>
      <c r="G28" s="108">
        <f t="shared" si="6"/>
        <v>0.30856521270715109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3150.9550100000001</v>
      </c>
      <c r="C29" s="105">
        <f t="shared" si="3"/>
        <v>3529.0696112000005</v>
      </c>
      <c r="D29" s="106">
        <v>2541.0337028241611</v>
      </c>
      <c r="E29" s="106">
        <f t="shared" si="4"/>
        <v>544230.1890906113</v>
      </c>
      <c r="F29" s="107">
        <f t="shared" si="5"/>
        <v>546771.22279343545</v>
      </c>
      <c r="G29" s="108">
        <f t="shared" si="6"/>
        <v>0.33086956068433981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3252.59872</v>
      </c>
      <c r="C30" s="105">
        <f t="shared" si="3"/>
        <v>3642.9105664000003</v>
      </c>
      <c r="D30" s="106">
        <v>2623.0025319475199</v>
      </c>
      <c r="E30" s="106">
        <f t="shared" si="4"/>
        <v>561786.00164192123</v>
      </c>
      <c r="F30" s="107">
        <f t="shared" si="5"/>
        <v>564409.0041738688</v>
      </c>
      <c r="G30" s="108">
        <f t="shared" si="6"/>
        <v>0.35177988691295414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3354.2424299999998</v>
      </c>
      <c r="C31" s="105">
        <f t="shared" si="3"/>
        <v>3756.7515216000002</v>
      </c>
      <c r="D31" s="106">
        <v>2704.97136107088</v>
      </c>
      <c r="E31" s="106">
        <f t="shared" si="4"/>
        <v>579341.81419323129</v>
      </c>
      <c r="F31" s="107">
        <f t="shared" si="5"/>
        <v>582046.78555430216</v>
      </c>
      <c r="G31" s="108">
        <f t="shared" si="6"/>
        <v>0.37142292064286453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3455.8861400000001</v>
      </c>
      <c r="C32" s="105">
        <f t="shared" si="3"/>
        <v>3870.5924768000004</v>
      </c>
      <c r="D32" s="106">
        <v>2786.940190194241</v>
      </c>
      <c r="E32" s="106">
        <f t="shared" si="4"/>
        <v>596897.62674454134</v>
      </c>
      <c r="F32" s="107">
        <f t="shared" si="5"/>
        <v>599684.56693473563</v>
      </c>
      <c r="G32" s="108">
        <f t="shared" si="6"/>
        <v>0.38991048180042742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3557.5298499999999</v>
      </c>
      <c r="C33" s="105">
        <f t="shared" si="3"/>
        <v>3984.4334320000003</v>
      </c>
      <c r="D33" s="106">
        <v>2868.9090193176012</v>
      </c>
      <c r="E33" s="106">
        <f t="shared" si="4"/>
        <v>614453.43929585139</v>
      </c>
      <c r="F33" s="107">
        <f t="shared" si="5"/>
        <v>617322.34831516899</v>
      </c>
      <c r="G33" s="108">
        <f t="shared" si="6"/>
        <v>0.40734161089184373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3659.1735600000002</v>
      </c>
      <c r="C34" s="105">
        <f t="shared" si="3"/>
        <v>4098.274387200001</v>
      </c>
      <c r="D34" s="106">
        <v>2950.87784844096</v>
      </c>
      <c r="E34" s="106">
        <f t="shared" si="4"/>
        <v>632009.25184716145</v>
      </c>
      <c r="F34" s="107">
        <f t="shared" si="5"/>
        <v>634960.12969560246</v>
      </c>
      <c r="G34" s="108">
        <f t="shared" si="6"/>
        <v>0.423804343922626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3760.81727</v>
      </c>
      <c r="C35" s="105">
        <f t="shared" si="3"/>
        <v>4212.1153424000004</v>
      </c>
      <c r="D35" s="106">
        <v>3032.846677564321</v>
      </c>
      <c r="E35" s="106">
        <f t="shared" si="4"/>
        <v>649565.0643984715</v>
      </c>
      <c r="F35" s="107">
        <f t="shared" si="5"/>
        <v>652597.91107603582</v>
      </c>
      <c r="G35" s="108">
        <f t="shared" si="6"/>
        <v>0.43937719949228471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3862.4609799999998</v>
      </c>
      <c r="C36" s="105">
        <f t="shared" si="3"/>
        <v>4325.9562976000007</v>
      </c>
      <c r="D36" s="106">
        <v>3114.8155066876802</v>
      </c>
      <c r="E36" s="106">
        <f t="shared" si="4"/>
        <v>667120.87694978144</v>
      </c>
      <c r="F36" s="107">
        <f t="shared" si="5"/>
        <v>670235.69245646917</v>
      </c>
      <c r="G36" s="108">
        <f t="shared" si="6"/>
        <v>0.45413043108459294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9.05" customHeight="1">
      <c r="A37" s="103">
        <v>1.95</v>
      </c>
      <c r="B37" s="104">
        <f t="shared" si="2"/>
        <v>3964.1046899999997</v>
      </c>
      <c r="C37" s="105">
        <f t="shared" si="3"/>
        <v>4439.7972528</v>
      </c>
      <c r="D37" s="106">
        <v>3196.7843358110408</v>
      </c>
      <c r="E37" s="106">
        <f t="shared" si="4"/>
        <v>684676.68950109149</v>
      </c>
      <c r="F37" s="107">
        <f t="shared" si="5"/>
        <v>687873.47383690253</v>
      </c>
      <c r="G37" s="108">
        <f t="shared" si="6"/>
        <v>0.46812708669780845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9.05" customHeight="1">
      <c r="A38" s="103">
        <v>2</v>
      </c>
      <c r="B38" s="104">
        <f t="shared" si="2"/>
        <v>4065.7483999999999</v>
      </c>
      <c r="C38" s="105">
        <f t="shared" si="3"/>
        <v>4553.6382080000003</v>
      </c>
      <c r="D38" s="106">
        <v>3278.753164934401</v>
      </c>
      <c r="E38" s="106">
        <f t="shared" si="4"/>
        <v>702232.50205240154</v>
      </c>
      <c r="F38" s="107">
        <f t="shared" si="5"/>
        <v>705511.25521733589</v>
      </c>
      <c r="G38" s="108">
        <f t="shared" si="6"/>
        <v>0.48142390953036318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45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>
      <selection activeCell="G29" sqref="G29"/>
    </sheetView>
  </sheetViews>
  <sheetFormatPr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796875" style="35" customWidth="1"/>
    <col min="6" max="6" width="28.19921875" style="35" customWidth="1"/>
    <col min="7" max="7" width="13.5" style="35" customWidth="1"/>
    <col min="8" max="8" width="4.796875" style="35" customWidth="1"/>
    <col min="9" max="9" width="6.5" style="35" customWidth="1"/>
    <col min="10" max="10" width="12.296875" style="35" customWidth="1"/>
    <col min="11" max="11" width="15.796875" style="35" customWidth="1"/>
    <col min="12" max="256" width="13.5" customWidth="1"/>
  </cols>
  <sheetData>
    <row r="1" spans="1:11" ht="19.05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9.05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9.05" customHeight="1">
      <c r="A3" s="123" t="s">
        <v>147</v>
      </c>
      <c r="B3" s="124">
        <f>B4+B5+B6</f>
        <v>1092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9.05" customHeight="1">
      <c r="A4" s="126" t="s">
        <v>153</v>
      </c>
      <c r="B4" s="127">
        <f>'Cabina de discos'!M24</f>
        <v>80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2</v>
      </c>
      <c r="H4" s="122"/>
      <c r="I4" s="131">
        <v>1</v>
      </c>
      <c r="J4" s="132">
        <f>G9</f>
        <v>361758.38055387966</v>
      </c>
      <c r="K4" s="132">
        <f>J4*5</f>
        <v>1808791.9027693984</v>
      </c>
    </row>
    <row r="5" spans="1:11" ht="19.05" customHeight="1">
      <c r="A5" s="123" t="s">
        <v>156</v>
      </c>
      <c r="B5" s="127">
        <f>Resum!B3</f>
        <v>972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230000</v>
      </c>
      <c r="H5" s="122"/>
      <c r="I5" s="131">
        <v>2</v>
      </c>
      <c r="J5" s="132">
        <f>G21</f>
        <v>437671.5074051728</v>
      </c>
      <c r="K5" s="132">
        <f>J5*5</f>
        <v>2188357.5370258642</v>
      </c>
    </row>
    <row r="6" spans="1:11" ht="19.05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4000</v>
      </c>
      <c r="H6" s="122"/>
      <c r="I6" s="131">
        <v>3</v>
      </c>
      <c r="J6" s="132">
        <f>G30</f>
        <v>474879.19027693977</v>
      </c>
      <c r="K6" s="132">
        <f>J6*5</f>
        <v>2374395.951384699</v>
      </c>
    </row>
    <row r="7" spans="1:11" ht="19.05" customHeight="1">
      <c r="A7" s="135" t="s">
        <v>162</v>
      </c>
      <c r="B7" s="137">
        <f>Electricitat!F18</f>
        <v>365861.26851293218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549999999999997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109758.38055387967</v>
      </c>
      <c r="H8" s="138"/>
      <c r="I8" s="36"/>
      <c r="J8" s="36"/>
      <c r="K8" s="36"/>
    </row>
    <row r="9" spans="1:11" ht="19.05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361758.38055387966</v>
      </c>
      <c r="H9" s="138"/>
      <c r="I9" s="36"/>
      <c r="J9" s="36"/>
      <c r="K9" s="36"/>
    </row>
    <row r="10" spans="1:11" ht="19.05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27</v>
      </c>
      <c r="H10" s="138"/>
      <c r="I10" s="36"/>
      <c r="J10" s="36"/>
      <c r="K10" s="36"/>
    </row>
    <row r="11" spans="1:11" ht="19.05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9.05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9.05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9.05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9.05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9.05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27</v>
      </c>
      <c r="H16" s="138"/>
      <c r="I16" s="36"/>
      <c r="J16" s="36"/>
      <c r="K16" s="36"/>
    </row>
    <row r="17" spans="1:11" ht="19.05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243000</v>
      </c>
      <c r="H17" s="138"/>
      <c r="I17" s="36"/>
      <c r="J17" s="36"/>
      <c r="K17" s="36"/>
    </row>
    <row r="18" spans="1:11" ht="19.05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146344.50740517283</v>
      </c>
      <c r="H18" s="138"/>
      <c r="I18" s="36"/>
      <c r="J18" s="36"/>
      <c r="K18" s="36"/>
    </row>
    <row r="19" spans="1:11" ht="19.05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24300</v>
      </c>
      <c r="H19" s="138"/>
      <c r="I19" s="36"/>
      <c r="J19" s="36"/>
      <c r="K19" s="36"/>
    </row>
    <row r="20" spans="1:11" ht="19.05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9.05" customHeight="1">
      <c r="A21" s="36"/>
      <c r="B21" s="36"/>
      <c r="C21" s="36"/>
      <c r="D21" s="150"/>
      <c r="E21" s="151"/>
      <c r="F21" s="128" t="s">
        <v>167</v>
      </c>
      <c r="G21" s="134">
        <f>SUM(G16:G20)</f>
        <v>437671.5074051728</v>
      </c>
      <c r="H21" s="138"/>
      <c r="I21" s="36"/>
      <c r="J21" s="36"/>
      <c r="K21" s="36"/>
    </row>
    <row r="22" spans="1:11" ht="19.05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9.05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9.05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9.05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9.05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27</v>
      </c>
      <c r="H26" s="138"/>
      <c r="I26" s="36"/>
      <c r="J26" s="36"/>
      <c r="K26" s="36"/>
    </row>
    <row r="27" spans="1:11" ht="19.05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378000</v>
      </c>
      <c r="H27" s="138"/>
      <c r="I27" s="36"/>
      <c r="J27" s="36"/>
      <c r="K27" s="36"/>
    </row>
    <row r="28" spans="1:11" ht="19.05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54879.190276939793</v>
      </c>
      <c r="H28" s="138"/>
      <c r="I28" s="36"/>
      <c r="J28" s="36"/>
      <c r="K28" s="36"/>
    </row>
    <row r="29" spans="1:11" ht="19.05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9.05" customHeight="1">
      <c r="A30" s="36"/>
      <c r="B30" s="36"/>
      <c r="C30" s="36"/>
      <c r="D30" s="153"/>
      <c r="E30" s="151"/>
      <c r="F30" s="128" t="s">
        <v>167</v>
      </c>
      <c r="G30" s="134">
        <f>SUM(G27:G29)</f>
        <v>474879.19027693977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topLeftCell="B9" workbookViewId="0">
      <selection activeCell="K17" sqref="K17"/>
    </sheetView>
  </sheetViews>
  <sheetFormatPr defaultColWidth="12.69921875" defaultRowHeight="14.25" customHeight="1"/>
  <cols>
    <col min="1" max="1" width="35.69921875" style="35" customWidth="1"/>
    <col min="2" max="2" width="12.296875" style="35" customWidth="1"/>
    <col min="3" max="3" width="4.296875" style="35" customWidth="1"/>
    <col min="4" max="4" width="25.796875" style="35" customWidth="1"/>
    <col min="5" max="5" width="8.796875" style="35" customWidth="1"/>
    <col min="6" max="6" width="22.796875" style="35" customWidth="1"/>
    <col min="7" max="7" width="35" style="35" customWidth="1"/>
    <col min="8" max="8" width="15.69921875" style="35" customWidth="1"/>
    <col min="9" max="9" width="12.296875" style="35" customWidth="1"/>
    <col min="10" max="10" width="5.296875" style="35" customWidth="1"/>
    <col min="11" max="11" width="14.296875" style="35" customWidth="1"/>
    <col min="12" max="12" width="12.5" style="35" customWidth="1"/>
    <col min="13" max="13" width="20.5" style="35" customWidth="1"/>
    <col min="14" max="256" width="12.69921875" customWidth="1"/>
  </cols>
  <sheetData>
    <row r="1" spans="1:13" ht="19.05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9.05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3600000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9.05" customHeight="1">
      <c r="A4" s="160" t="s">
        <v>24</v>
      </c>
      <c r="B4" s="161">
        <f>Resum!B14</f>
        <v>1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203515</v>
      </c>
      <c r="I4" s="155"/>
      <c r="J4" s="239" t="s">
        <v>182</v>
      </c>
      <c r="K4" s="243"/>
      <c r="L4" s="243"/>
      <c r="M4" s="156"/>
    </row>
    <row r="5" spans="1:13" ht="19.05" customHeight="1">
      <c r="A5" s="157" t="s">
        <v>26</v>
      </c>
      <c r="B5" s="161">
        <f>Resum!B15</f>
        <v>5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9.05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450000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2442180</v>
      </c>
      <c r="M6" s="156"/>
    </row>
    <row r="7" spans="1:13" ht="19.05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3100000</v>
      </c>
      <c r="G7" s="169"/>
      <c r="H7" s="170"/>
      <c r="I7" s="171" t="str">
        <f>IF(Resum!B16=2,"X","")</f>
        <v/>
      </c>
      <c r="J7" s="172">
        <v>2</v>
      </c>
      <c r="K7" s="173" t="s">
        <v>189</v>
      </c>
      <c r="L7" s="174">
        <f>H12*12</f>
        <v>2843004</v>
      </c>
      <c r="M7" s="156"/>
    </row>
    <row r="8" spans="1:13" ht="19.05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>X</v>
      </c>
      <c r="J8" s="172">
        <v>3</v>
      </c>
      <c r="K8" s="173" t="s">
        <v>192</v>
      </c>
      <c r="L8" s="172">
        <v>0</v>
      </c>
      <c r="M8" s="156"/>
    </row>
    <row r="9" spans="1:13" ht="19.05" customHeight="1">
      <c r="A9" s="248" t="str">
        <f>IF(Resum!B16=1,"Microworks Azure M-A",IF(Resum!B16=2,"MonsoonS3 MS3",IF(Resum!B16=3,"Take the tapes and run","error")))</f>
        <v>Take the tapes and run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9.05" customHeight="1">
      <c r="A10" s="176" t="s">
        <v>193</v>
      </c>
      <c r="B10" s="182">
        <f>Resum!B17</f>
        <v>0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9.05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9.05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236917</v>
      </c>
      <c r="I12" s="156"/>
      <c r="J12" s="36"/>
      <c r="K12" s="36"/>
      <c r="L12" s="36"/>
      <c r="M12" s="36"/>
    </row>
    <row r="13" spans="1:13" ht="19.05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9.05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450000</v>
      </c>
      <c r="G14" s="169"/>
      <c r="H14" s="170"/>
      <c r="I14" s="36"/>
      <c r="J14" s="36"/>
      <c r="K14" s="36"/>
      <c r="L14" s="36"/>
      <c r="M14" s="36"/>
    </row>
    <row r="15" spans="1:13" ht="19.05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3100000</v>
      </c>
      <c r="G15" s="169"/>
      <c r="H15" s="170"/>
      <c r="I15" s="36"/>
      <c r="J15" s="36"/>
      <c r="K15" s="36"/>
      <c r="L15" s="36"/>
      <c r="M15" s="36"/>
    </row>
    <row r="16" spans="1:13" ht="19.05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9.05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9.05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9.05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9.05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365</v>
      </c>
      <c r="G20" s="164">
        <f>$B$3*E20*F20</f>
        <v>14454000</v>
      </c>
      <c r="H20" s="164">
        <f t="shared" ref="H20:H21" si="1">100*$B$5*12</f>
        <v>6000</v>
      </c>
      <c r="I20" s="164">
        <f>H20+G20</f>
        <v>14460000</v>
      </c>
      <c r="J20" s="155"/>
      <c r="K20" s="186" t="s">
        <v>150</v>
      </c>
      <c r="L20" s="168" t="s">
        <v>151</v>
      </c>
      <c r="M20" s="187" t="s">
        <v>203</v>
      </c>
    </row>
    <row r="21" spans="1:13" ht="19.05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365</v>
      </c>
      <c r="G21" s="164">
        <f>$B$3*E21*F21</f>
        <v>26280000</v>
      </c>
      <c r="H21" s="164">
        <f t="shared" si="1"/>
        <v>6000</v>
      </c>
      <c r="I21" s="164">
        <f>H21+G21</f>
        <v>26286000</v>
      </c>
      <c r="J21" s="155"/>
      <c r="K21" s="173" t="s">
        <v>205</v>
      </c>
      <c r="L21" s="174">
        <f>I20</f>
        <v>14460000</v>
      </c>
      <c r="M21" s="188">
        <f>IF(AND(Resum!B16=1,Resum!B17=1),L21,0)</f>
        <v>0</v>
      </c>
    </row>
    <row r="22" spans="1:13" ht="19.05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365</v>
      </c>
      <c r="G22" s="164">
        <f>$B$3*E22*F22</f>
        <v>11825999.999999998</v>
      </c>
      <c r="H22" s="164">
        <f t="shared" ref="H22:H23" si="2">90*$B$5*12</f>
        <v>5400</v>
      </c>
      <c r="I22" s="164">
        <f>H22+G22</f>
        <v>11831399.999999998</v>
      </c>
      <c r="J22" s="155"/>
      <c r="K22" s="173" t="s">
        <v>207</v>
      </c>
      <c r="L22" s="174">
        <f>I21</f>
        <v>26286000</v>
      </c>
      <c r="M22" s="188">
        <f>IF(AND(Resum!B16=1,Resum!B17=0),L22,0)</f>
        <v>0</v>
      </c>
    </row>
    <row r="23" spans="1:13" ht="19.05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365</v>
      </c>
      <c r="G23" s="164">
        <f>$B$3*E23*F23</f>
        <v>24966000</v>
      </c>
      <c r="H23" s="164">
        <f t="shared" si="2"/>
        <v>5400</v>
      </c>
      <c r="I23" s="164">
        <f>H23+G23</f>
        <v>24971400</v>
      </c>
      <c r="J23" s="155"/>
      <c r="K23" s="173" t="s">
        <v>209</v>
      </c>
      <c r="L23" s="174">
        <f>I22</f>
        <v>11831399.999999998</v>
      </c>
      <c r="M23" s="189">
        <f>IF(AND(Resum!B16=2,Resum!B17=1),L23,0)</f>
        <v>0</v>
      </c>
    </row>
    <row r="24" spans="1:13" ht="19.05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24971400</v>
      </c>
      <c r="M24" s="188">
        <f>IF(AND(Resum!B16=2,Resum!B17=0),L24,0)</f>
        <v>0</v>
      </c>
    </row>
    <row r="25" spans="1:13" ht="19.05" customHeight="1">
      <c r="A25" s="36"/>
      <c r="B25" s="36"/>
      <c r="C25" s="167"/>
      <c r="D25" s="162" t="s">
        <v>215</v>
      </c>
      <c r="E25" s="164">
        <f>ROUNDUP($B$3/$B$6,0)</f>
        <v>9000</v>
      </c>
      <c r="F25" s="164">
        <f t="shared" si="0"/>
        <v>365</v>
      </c>
      <c r="G25" s="164">
        <f>120*F25*2</f>
        <v>87600</v>
      </c>
      <c r="H25" s="164">
        <f>ROUNDUP(E25*$B$5/20,0)*100</f>
        <v>225000</v>
      </c>
      <c r="I25" s="164">
        <f>G25+H25</f>
        <v>312600</v>
      </c>
      <c r="J25" s="155"/>
      <c r="K25" s="173" t="s">
        <v>216</v>
      </c>
      <c r="L25" s="174">
        <f>I25</f>
        <v>312600</v>
      </c>
      <c r="M25" s="188">
        <f>IF(Resum!B16=3,L25,0)</f>
        <v>312600</v>
      </c>
    </row>
    <row r="26" spans="1:13" ht="19.05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9.05" customHeight="1">
      <c r="A27" s="36"/>
      <c r="B27" s="36"/>
      <c r="C27" s="36"/>
      <c r="D27" s="195"/>
      <c r="E27" s="196">
        <f>E25*B5</f>
        <v>45000</v>
      </c>
      <c r="F27" s="196">
        <f>IF($E$25&lt;24,2500,IF($E$25&lt;48,3800,IF($E$25&lt;96,12000,70000)))</f>
        <v>70000</v>
      </c>
      <c r="G27" s="196">
        <f>E27*100</f>
        <v>4500000</v>
      </c>
      <c r="H27" s="195"/>
      <c r="I27" s="196">
        <f>(F27+G27)*B11</f>
        <v>4570000</v>
      </c>
      <c r="J27" s="36"/>
      <c r="K27" s="36"/>
      <c r="L27" s="36"/>
      <c r="M27" s="43">
        <f>SUM(M21:M26)</f>
        <v>312600</v>
      </c>
    </row>
    <row r="28" spans="1:13" ht="19.05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9.05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4570000</v>
      </c>
      <c r="M29" s="43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21" sqref="E21"/>
    </sheetView>
  </sheetViews>
  <sheetFormatPr defaultColWidth="12.796875" defaultRowHeight="15.75" customHeight="1"/>
  <cols>
    <col min="1" max="1" width="14.5" style="35" customWidth="1"/>
    <col min="2" max="2" width="14.69921875" style="35" customWidth="1"/>
    <col min="3" max="3" width="13.5" style="35" customWidth="1"/>
    <col min="4" max="4" width="16.19921875" style="35" customWidth="1"/>
    <col min="5" max="5" width="18.296875" style="35" customWidth="1"/>
    <col min="6" max="6" width="13.296875" style="35" customWidth="1"/>
    <col min="7" max="7" width="15.19921875" style="35" customWidth="1"/>
    <col min="8" max="8" width="12.796875" style="35" customWidth="1"/>
    <col min="9" max="9" width="5.296875" style="35" customWidth="1"/>
    <col min="10" max="10" width="9.5" style="35" customWidth="1"/>
    <col min="11" max="11" width="12.296875" style="35" customWidth="1"/>
    <col min="12" max="256" width="12.796875" customWidth="1"/>
  </cols>
  <sheetData>
    <row r="1" spans="1:11" ht="19.05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0</v>
      </c>
      <c r="F4" s="210">
        <f>D4*E4*12</f>
        <v>0</v>
      </c>
      <c r="G4" s="210">
        <f>F4*0.4</f>
        <v>0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1</v>
      </c>
      <c r="F5" s="210">
        <f>D5*E5*12</f>
        <v>7560</v>
      </c>
      <c r="G5" s="210">
        <f>F5*0.4</f>
        <v>3024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6.95" customHeight="1">
      <c r="A7" s="212"/>
      <c r="B7" s="166"/>
      <c r="C7" s="166"/>
      <c r="D7" s="166"/>
      <c r="E7" s="213" t="s">
        <v>96</v>
      </c>
      <c r="F7" s="214">
        <f>SUM(F2:F6)</f>
        <v>7560</v>
      </c>
      <c r="G7" s="214">
        <f>IF(Resum!B20=3,SUM(G2:G6),0)</f>
        <v>3024</v>
      </c>
      <c r="H7" s="170"/>
      <c r="I7" s="170"/>
      <c r="J7" s="170"/>
      <c r="K7" s="170"/>
    </row>
    <row r="8" spans="1:11" ht="16.95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6.95" customHeight="1">
      <c r="A9" s="170"/>
      <c r="B9" s="170"/>
      <c r="C9" s="170"/>
      <c r="D9" s="170"/>
      <c r="E9" s="170"/>
      <c r="F9" s="214">
        <f>IF(Resum!B26=0,F7,F7+G7)</f>
        <v>10584</v>
      </c>
      <c r="G9" s="170"/>
      <c r="H9" s="170"/>
      <c r="I9" s="170"/>
      <c r="J9" s="170"/>
      <c r="K9" s="170"/>
    </row>
    <row r="10" spans="1:11" ht="19.05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9.0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9.0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9.0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Peña Peregrina</cp:lastModifiedBy>
  <dcterms:created xsi:type="dcterms:W3CDTF">2021-02-18T22:25:20Z</dcterms:created>
  <dcterms:modified xsi:type="dcterms:W3CDTF">2023-10-13T19:06:14Z</dcterms:modified>
</cp:coreProperties>
</file>