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sum" sheetId="1" state="visible" r:id="rId1"/>
    <sheet name="Cabina de discos" sheetId="2" state="visible" r:id="rId2"/>
    <sheet name="SAN" sheetId="3" state="visible" r:id="rId3"/>
    <sheet name="Electricitat" sheetId="4" state="visible" r:id="rId4"/>
    <sheet name="Infraestructura" sheetId="5" state="visible" r:id="rId5"/>
    <sheet name="Backup" sheetId="6" state="visible" r:id="rId6"/>
    <sheet name="Bandwidth provider" sheetId="7" state="visible" r:id="rId7"/>
  </sheets>
  <calcPr/>
</workbook>
</file>

<file path=xl/sharedStrings.xml><?xml version="1.0" encoding="utf-8"?>
<sst xmlns="http://schemas.openxmlformats.org/spreadsheetml/2006/main" count="243" uniqueCount="243">
  <si>
    <t xml:space="preserve">TAULA 1: ESCENARI ORIGINAL: EXTRET DE L’ENUNCIAT. OMPLIU EL QUE HI HA EN GRIS.</t>
  </si>
  <si>
    <t xml:space="preserve">TAULA 3: OPEX</t>
  </si>
  <si>
    <t>anual</t>
  </si>
  <si>
    <t xml:space="preserve">cinc anys</t>
  </si>
  <si>
    <t xml:space="preserve">Nombre de Us</t>
  </si>
  <si>
    <t xml:space="preserve">Consum energètic (hardware només)</t>
  </si>
  <si>
    <t xml:space="preserve">Alçada Rack (en Us)</t>
  </si>
  <si>
    <t xml:space="preserve">Empresa de Housing escollida</t>
  </si>
  <si>
    <t>Consum</t>
  </si>
  <si>
    <t xml:space="preserve">Cost Housing (inclou electricitat addicional)</t>
  </si>
  <si>
    <t xml:space="preserve">Sobreprovisionament d’electricitat</t>
  </si>
  <si>
    <t xml:space="preserve">Off-site: empresa escollida</t>
  </si>
  <si>
    <t xml:space="preserve">Nombre de servidors</t>
  </si>
  <si>
    <t xml:space="preserve">Cost mirror</t>
  </si>
  <si>
    <t xml:space="preserve">Diners Totals</t>
  </si>
  <si>
    <t xml:space="preserve">Cost backup</t>
  </si>
  <si>
    <t xml:space="preserve">Diners gastats</t>
  </si>
  <si>
    <t xml:space="preserve">Cost Bandwidth provider</t>
  </si>
  <si>
    <r>
      <rPr>
        <b/>
        <sz val="10"/>
        <rFont val="Helvetica"/>
      </rPr>
      <t xml:space="preserve">taula 2: Elements que escolliu </t>
    </r>
    <r>
      <rPr>
        <b/>
        <sz val="12"/>
        <rFont val="Helvetica"/>
      </rPr>
      <t>vosaltres</t>
    </r>
  </si>
  <si>
    <t xml:space="preserve">TAULA 4: CAPEX</t>
  </si>
  <si>
    <t>Cost</t>
  </si>
  <si>
    <t xml:space="preserve">Elements de mirror i backup</t>
  </si>
  <si>
    <t xml:space="preserve">Diners gastats en servers, xarxa, etc</t>
  </si>
  <si>
    <t xml:space="preserve">GB a emmagatzemar al backup</t>
  </si>
  <si>
    <t>SAN</t>
  </si>
  <si>
    <t xml:space="preserve">Dies entre 2 backups</t>
  </si>
  <si>
    <t xml:space="preserve">Sistema emmagatzematge</t>
  </si>
  <si>
    <t xml:space="preserve">Còpies senceres a mantenir</t>
  </si>
  <si>
    <t xml:space="preserve">Opció Backup (1=M-A; 2=MS3; 3=Cintes)</t>
  </si>
  <si>
    <t xml:space="preserve">Opció Mirror (0=NO; 1=SI)</t>
  </si>
  <si>
    <t xml:space="preserve">Sistema de backup on-site? (0=N=; 1=SI)</t>
  </si>
  <si>
    <t xml:space="preserve">Elements de housing</t>
  </si>
  <si>
    <t xml:space="preserve">TAULA 5: AJUST AL PRESSUPOST</t>
  </si>
  <si>
    <t xml:space="preserve">Opció escollida (1:MOCOSA, 2: CPDs Céspedes, 3: Mordor)</t>
  </si>
  <si>
    <t xml:space="preserve">Opex a 5 anys, total</t>
  </si>
  <si>
    <r>
      <rPr>
        <sz val="12"/>
        <rFont val="Calibri"/>
      </rPr>
      <t xml:space="preserve">Gestió local de </t>
    </r>
    <r>
      <rPr>
        <i/>
        <sz val="12"/>
        <rFont val="Calibri"/>
      </rPr>
      <t>backup</t>
    </r>
    <r>
      <rPr>
        <sz val="12"/>
        <rFont val="Calibri"/>
      </rPr>
      <t xml:space="preserve">? (0=No, 1=Si)</t>
    </r>
  </si>
  <si>
    <t xml:space="preserve">Capex a 5 anys, total</t>
  </si>
  <si>
    <t xml:space="preserve">Monitorització? (0=NO; 1=SI)</t>
  </si>
  <si>
    <t xml:space="preserve">Despeses totals a 5 anys</t>
  </si>
  <si>
    <t xml:space="preserve">Bandwidth provider</t>
  </si>
  <si>
    <t xml:space="preserve">Diferència respecte al pressupost</t>
  </si>
  <si>
    <t xml:space="preserve">Tipus de línia (1:10Mbps; 2:100Mbps; 3:1Gbps; 4:10Gbps; 5:100Gbps)</t>
  </si>
  <si>
    <t xml:space="preserve">Número de línies agregades</t>
  </si>
  <si>
    <t xml:space="preserve">Segon proveïdor? (0=NO, 1=SI)</t>
  </si>
  <si>
    <t xml:space="preserve">SAN? (0=no, 1=8Gbps, 2=16Gbps, 3=32Gbps, 4=64Gbps, 5=128Gbps)</t>
  </si>
  <si>
    <t xml:space="preserve">Cabina de discos</t>
  </si>
  <si>
    <t xml:space="preserve">Opció Disc principal (Entre 1 i 10)</t>
  </si>
  <si>
    <t xml:space="preserve">Nombre de discos a comprar</t>
  </si>
  <si>
    <t xml:space="preserve">Opció cabina de discos (Entre 1 i 6)</t>
  </si>
  <si>
    <t xml:space="preserve">Nombre de Cabines</t>
  </si>
  <si>
    <t xml:space="preserve">Cabina de discos 2 (cas de fer servir dos tipus)</t>
  </si>
  <si>
    <t xml:space="preserve">Opció Disc (Entre 1 i 10)</t>
  </si>
  <si>
    <t xml:space="preserve">Cabina de discos 3 (cas de fer servir tres tipus)</t>
  </si>
  <si>
    <t>Discos</t>
  </si>
  <si>
    <t xml:space="preserve">És principal?</t>
  </si>
  <si>
    <t xml:space="preserve">Cabina 2?</t>
  </si>
  <si>
    <t xml:space="preserve">Cabina 3?</t>
  </si>
  <si>
    <t xml:space="preserve"># pral</t>
  </si>
  <si>
    <t>#2</t>
  </si>
  <si>
    <t>#3</t>
  </si>
  <si>
    <t>Preu</t>
  </si>
  <si>
    <t xml:space="preserve">Consum Total</t>
  </si>
  <si>
    <t xml:space="preserve">Preu Total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</si>
  <si>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</si>
  <si>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</si>
  <si>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</si>
  <si>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</si>
  <si>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</si>
  <si>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</si>
  <si>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Model 7</t>
  </si>
  <si>
    <t xml:space="preserve">Model 8</t>
  </si>
  <si>
    <t xml:space="preserve">Model 9</t>
  </si>
  <si>
    <t xml:space="preserve">Model 10</t>
  </si>
  <si>
    <t>Cabines</t>
  </si>
  <si>
    <t xml:space="preserve">#U per cabina</t>
  </si>
  <si>
    <t xml:space="preserve">#U Total</t>
  </si>
  <si>
    <t>TOTAL</t>
  </si>
  <si>
    <t>U’s</t>
  </si>
  <si>
    <t>Individual</t>
  </si>
  <si>
    <t>Total</t>
  </si>
  <si>
    <t xml:space="preserve">INFORMACIÓ A INTRODUIR</t>
  </si>
  <si>
    <t>ACTIU?</t>
  </si>
  <si>
    <t xml:space="preserve">Pels càlculs</t>
  </si>
  <si>
    <t>Quantitat</t>
  </si>
  <si>
    <t xml:space="preserve">Número de servers</t>
  </si>
  <si>
    <t>SPF</t>
  </si>
  <si>
    <t xml:space="preserve">Us per rack</t>
  </si>
  <si>
    <t xml:space="preserve">Switch rack</t>
  </si>
  <si>
    <t xml:space="preserve">Número de racks d’emmagatzematge</t>
  </si>
  <si>
    <t>Cablejat</t>
  </si>
  <si>
    <t xml:space="preserve">OPCIÓ ESCOLLIDA</t>
  </si>
  <si>
    <t xml:space="preserve">HBA 8Gbps</t>
  </si>
  <si>
    <t xml:space="preserve">Switch core 8GBPS</t>
  </si>
  <si>
    <t xml:space="preserve">HBA 16Gbps</t>
  </si>
  <si>
    <t xml:space="preserve">Switch core 16GBPS</t>
  </si>
  <si>
    <t xml:space="preserve">HBA 32Gbps</t>
  </si>
  <si>
    <t xml:space="preserve">Switch core 32GBPS</t>
  </si>
  <si>
    <t xml:space="preserve">HBA 64Gbps</t>
  </si>
  <si>
    <t xml:space="preserve">Switch core 64GBPS</t>
  </si>
  <si>
    <t xml:space="preserve">HBA 128Gbps</t>
  </si>
  <si>
    <t xml:space="preserve">Switch core 128GBPS</t>
  </si>
  <si>
    <t>RESULTATS</t>
  </si>
  <si>
    <t>Total=</t>
  </si>
  <si>
    <t xml:space="preserve">Cost económic</t>
  </si>
  <si>
    <t>Racks=</t>
  </si>
  <si>
    <t xml:space="preserve">DADES DE CONSUM DELS EQUIPS DE COMPUTACIÓ I COMUNICACIÓ</t>
  </si>
  <si>
    <t xml:space="preserve">Càlcul aproximat de factura, per una línia d'alta tensió (20kV) en mode tarifari 6.1A</t>
  </si>
  <si>
    <t>Períodes</t>
  </si>
  <si>
    <t>P1</t>
  </si>
  <si>
    <t>P2</t>
  </si>
  <si>
    <t>P3</t>
  </si>
  <si>
    <t>P4</t>
  </si>
  <si>
    <t>P5</t>
  </si>
  <si>
    <t>P6</t>
  </si>
  <si>
    <t xml:space="preserve">Month / Hours in period per day</t>
  </si>
  <si>
    <t xml:space="preserve">Cost €/kW contractat i any</t>
  </si>
  <si>
    <t xml:space="preserve">Week Days</t>
  </si>
  <si>
    <t xml:space="preserve">Weekend Days</t>
  </si>
  <si>
    <t>Days</t>
  </si>
  <si>
    <t xml:space="preserve">Total Hours</t>
  </si>
  <si>
    <t xml:space="preserve">Cost €/kWh consumit</t>
  </si>
  <si>
    <t>January</t>
  </si>
  <si>
    <t>february</t>
  </si>
  <si>
    <t xml:space="preserve">Sobreprovisionament de potència</t>
  </si>
  <si>
    <t xml:space="preserve">  -&gt; Contracto potència per sobre del màxim consum esperat per seguretat</t>
  </si>
  <si>
    <t>March</t>
  </si>
  <si>
    <t xml:space="preserve">kW consumits per computació i comunicació</t>
  </si>
  <si>
    <t xml:space="preserve">  -&gt; Potència màxima que espero consumir basat en HW</t>
  </si>
  <si>
    <t>April</t>
  </si>
  <si>
    <t>May</t>
  </si>
  <si>
    <t xml:space="preserve">Tarifas vigentes de electricidad a partir del 1 de enero de 2013, publicadas en el BOE de 27 de diciembre de 2012. </t>
  </si>
  <si>
    <t xml:space="preserve">June H1</t>
  </si>
  <si>
    <t xml:space="preserve">June H2</t>
  </si>
  <si>
    <t xml:space="preserve">Caselles que es modifiquen</t>
  </si>
  <si>
    <t>July</t>
  </si>
  <si>
    <t>August</t>
  </si>
  <si>
    <t>September</t>
  </si>
  <si>
    <t>PUE</t>
  </si>
  <si>
    <t xml:space="preserve">Consum Elèctric Total               (kW)</t>
  </si>
  <si>
    <t xml:space="preserve">kW contractats necessaris</t>
  </si>
  <si>
    <t xml:space="preserve">Cost "Término Potencia"</t>
  </si>
  <si>
    <t xml:space="preserve">Cost "Término Energía"</t>
  </si>
  <si>
    <t xml:space="preserve">Cost Total Energia Anual</t>
  </si>
  <si>
    <t>Sobrecost</t>
  </si>
  <si>
    <t>October</t>
  </si>
  <si>
    <t>November</t>
  </si>
  <si>
    <t>December</t>
  </si>
  <si>
    <t xml:space="preserve">Month / Hours in period per month</t>
  </si>
  <si>
    <t xml:space="preserve">Weekend (P6)</t>
  </si>
  <si>
    <t>Yearly</t>
  </si>
  <si>
    <t xml:space="preserve">INFORMACIÓ PROVINENT D’ALTRES FULLS</t>
  </si>
  <si>
    <t xml:space="preserve">Opció 1: containers (Modular Containers S.A.)</t>
  </si>
  <si>
    <t>Finals</t>
  </si>
  <si>
    <t xml:space="preserve">Nombre de Us Total</t>
  </si>
  <si>
    <t>Especificacions</t>
  </si>
  <si>
    <t>Resultats</t>
  </si>
  <si>
    <t>Opció</t>
  </si>
  <si>
    <t xml:space="preserve">Cost anual</t>
  </si>
  <si>
    <t xml:space="preserve">Cost cinc anys</t>
  </si>
  <si>
    <t xml:space="preserve">- sistema emmagatzematge</t>
  </si>
  <si>
    <t xml:space="preserve">Racks / container </t>
  </si>
  <si>
    <t xml:space="preserve">Nombre de containers</t>
  </si>
  <si>
    <t xml:space="preserve">- només màquines</t>
  </si>
  <si>
    <t xml:space="preserve">Us / Rack</t>
  </si>
  <si>
    <t xml:space="preserve">Lloguer containers (e/any)</t>
  </si>
  <si>
    <t xml:space="preserve">- backup propi</t>
  </si>
  <si>
    <t xml:space="preserve">Lloguer d'un container (e/any)</t>
  </si>
  <si>
    <t>Monitorització</t>
  </si>
  <si>
    <t xml:space="preserve">Cost energia (euros/any)</t>
  </si>
  <si>
    <t xml:space="preserve">Preu Monitorització (e/container)</t>
  </si>
  <si>
    <t xml:space="preserve">Gestió local backup</t>
  </si>
  <si>
    <t xml:space="preserve">Monitorització? (0=no; 1=si)</t>
  </si>
  <si>
    <r>
      <rPr>
        <sz val="12"/>
        <rFont val="Calibri"/>
      </rPr>
      <t xml:space="preserve">Electricitat addicional</t>
    </r>
    <r>
      <rPr>
        <sz val="12"/>
        <rFont val="Calibri"/>
      </rPr>
      <t xml:space="preserve">
</t>
    </r>
    <r>
      <rPr>
        <sz val="12"/>
        <rFont val="Calibri"/>
      </rPr>
      <t>(30%)</t>
    </r>
  </si>
  <si>
    <t xml:space="preserve">Total any</t>
  </si>
  <si>
    <t xml:space="preserve">Informació addicional</t>
  </si>
  <si>
    <t xml:space="preserve">Nombre de racks</t>
  </si>
  <si>
    <t xml:space="preserve">Opció 2: Colocation tier 2 (CPDs Céspedes S.L.)</t>
  </si>
  <si>
    <t xml:space="preserve">Preu (euros/rack)</t>
  </si>
  <si>
    <t xml:space="preserve">Lloguer espai (e/any)</t>
  </si>
  <si>
    <t xml:space="preserve">Monitorització (e/rack)</t>
  </si>
  <si>
    <t xml:space="preserve">Electricitat addicional (40%)</t>
  </si>
  <si>
    <t xml:space="preserve">Opció 3: Colocation tier 3 (Mordor)</t>
  </si>
  <si>
    <t xml:space="preserve">Electricitat addicional (15%)</t>
  </si>
  <si>
    <t xml:space="preserve">Informació provinent d’altres fulls</t>
  </si>
  <si>
    <t xml:space="preserve">Mirroring opció 1: Microworks Apure</t>
  </si>
  <si>
    <t xml:space="preserve">GB a emmagatzemar</t>
  </si>
  <si>
    <t xml:space="preserve">GB a aquest preu</t>
  </si>
  <si>
    <t xml:space="preserve">Preu 1TB (euros per GB i mes)</t>
  </si>
  <si>
    <t xml:space="preserve">Preu (e/mes)</t>
  </si>
  <si>
    <t xml:space="preserve">OPCIÓ MIRRORING</t>
  </si>
  <si>
    <t xml:space="preserve">Preu 1-50 TB</t>
  </si>
  <si>
    <t>Codi</t>
  </si>
  <si>
    <t xml:space="preserve">Mida cintes (GB comprimit)</t>
  </si>
  <si>
    <t xml:space="preserve">Preu 51-500 TB</t>
  </si>
  <si>
    <t>M-A</t>
  </si>
  <si>
    <t xml:space="preserve">Preu 501-5000 TB</t>
  </si>
  <si>
    <t xml:space="preserve">M S3</t>
  </si>
  <si>
    <t xml:space="preserve">Empresa escollida</t>
  </si>
  <si>
    <t xml:space="preserve">Preu &gt;5000 TB TB</t>
  </si>
  <si>
    <t>Sense</t>
  </si>
  <si>
    <t xml:space="preserve">Amb mirror? (0=no; 1 =si)</t>
  </si>
  <si>
    <t xml:space="preserve">Mirroring opció 2: Monsoon S3</t>
  </si>
  <si>
    <t xml:space="preserve">Backup on-site? (0=no; 1 =si)</t>
  </si>
  <si>
    <t>Backup</t>
  </si>
  <si>
    <t>e/GB</t>
  </si>
  <si>
    <t xml:space="preserve">mitja backups any</t>
  </si>
  <si>
    <t xml:space="preserve">Cost anual fer backups (e/any)</t>
  </si>
  <si>
    <t xml:space="preserve">Còpies (e/any)</t>
  </si>
  <si>
    <t xml:space="preserve">OPCIÓ BACKUP</t>
  </si>
  <si>
    <t xml:space="preserve">Microworks Apure amb mirror</t>
  </si>
  <si>
    <t xml:space="preserve">Auxiliar per càlculs</t>
  </si>
  <si>
    <t xml:space="preserve">Microworks Apure sense mirror</t>
  </si>
  <si>
    <t xml:space="preserve">M-A amb</t>
  </si>
  <si>
    <t xml:space="preserve">Monsoon S3 amb mirror</t>
  </si>
  <si>
    <t xml:space="preserve">M-A sense</t>
  </si>
  <si>
    <t xml:space="preserve">Monsoon S3 sense mirror</t>
  </si>
  <si>
    <t xml:space="preserve">M S3 amb</t>
  </si>
  <si>
    <t xml:space="preserve">N. cintes</t>
  </si>
  <si>
    <t xml:space="preserve">Numero transports any</t>
  </si>
  <si>
    <t xml:space="preserve">Cost / transport (viatge+personal)</t>
  </si>
  <si>
    <t xml:space="preserve">cost mant. copies</t>
  </si>
  <si>
    <t xml:space="preserve">M S3 sense</t>
  </si>
  <si>
    <t xml:space="preserve">Take the tapes and run</t>
  </si>
  <si>
    <t>TTTAR</t>
  </si>
  <si>
    <t xml:space="preserve">Robot de cintes</t>
  </si>
  <si>
    <t xml:space="preserve">N. Cintes</t>
  </si>
  <si>
    <t xml:space="preserve">Cost robot</t>
  </si>
  <si>
    <t xml:space="preserve">cost cintes</t>
  </si>
  <si>
    <t xml:space="preserve">Consum robot</t>
  </si>
  <si>
    <t xml:space="preserve">U’s Robot</t>
  </si>
  <si>
    <t xml:space="preserve">U’s total</t>
  </si>
  <si>
    <t xml:space="preserve">Consum total</t>
  </si>
  <si>
    <t xml:space="preserve">Backup on-site</t>
  </si>
  <si>
    <t>OPCIÓ</t>
  </si>
  <si>
    <t>BW</t>
  </si>
  <si>
    <t>CONNECTOR</t>
  </si>
  <si>
    <t xml:space="preserve">PREU MENSUAL</t>
  </si>
  <si>
    <t xml:space="preserve">Linies contractades</t>
  </si>
  <si>
    <t xml:space="preserve">PREU ANUAL</t>
  </si>
  <si>
    <t xml:space="preserve">Línia addicional</t>
  </si>
  <si>
    <t xml:space="preserve">1GbE RJ45</t>
  </si>
  <si>
    <t>SFP-10G-SR</t>
  </si>
  <si>
    <t>CFP-100G-SR10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</si>
</sst>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9">
    <numFmt numFmtId="160" formatCode="0&quot;U&quot;"/>
    <numFmt numFmtId="161" formatCode="&quot;€&quot;#,##0.00"/>
    <numFmt numFmtId="162" formatCode="#.##&quot;kW&quot;"/>
    <numFmt numFmtId="163" formatCode="0.##&quot;W&quot;"/>
    <numFmt numFmtId="164" formatCode="[$€-2]\ 0.00"/>
    <numFmt numFmtId="165" formatCode="&quot;€&quot;#,##0.000000"/>
    <numFmt numFmtId="166" formatCode="0&quot;kW&quot;"/>
    <numFmt numFmtId="167" formatCode="#,##0.00&quot; €&quot;"/>
    <numFmt numFmtId="168" formatCode="0&quot;Mbps&quot;"/>
  </numFmts>
  <fonts count="18">
    <font>
      <sz val="12.000000"/>
      <color theme="1"/>
      <name val="Calibri"/>
    </font>
    <font>
      <b/>
      <sz val="10.000000"/>
      <name val="Calibri"/>
    </font>
    <font>
      <b/>
      <sz val="10.000000"/>
      <name val="Helvetica"/>
    </font>
    <font>
      <sz val="11.000000"/>
      <name val="Calibri"/>
    </font>
    <font>
      <b/>
      <sz val="12.000000"/>
      <name val="Calibri"/>
    </font>
    <font>
      <i/>
      <sz val="12.000000"/>
      <color rgb="FF595959"/>
      <name val="Calibri"/>
    </font>
    <font>
      <sz val="12.000000"/>
      <color rgb="FF707070"/>
      <name val="Calibri"/>
    </font>
    <font>
      <b/>
      <sz val="12.000000"/>
      <color rgb="FF903C39"/>
      <name val="Calibri"/>
    </font>
    <font>
      <sz val="12.000000"/>
      <color rgb="FFA5A5A5"/>
      <name val="Calibri"/>
    </font>
    <font>
      <b/>
      <sz val="12.000000"/>
      <color rgb="FF7F7F7F"/>
      <name val="Calibri"/>
    </font>
    <font>
      <b/>
      <sz val="12.000000"/>
      <color rgb="FFD8D8D8"/>
      <name val="Calibri"/>
    </font>
    <font>
      <b/>
      <sz val="12.000000"/>
      <color rgb="FFC0504D"/>
      <name val="Calibri"/>
    </font>
    <font>
      <sz val="12.000000"/>
      <color rgb="FF7F7F7F"/>
      <name val="Calibri"/>
    </font>
    <font>
      <b/>
      <sz val="12.000000"/>
      <color indexed="2"/>
      <name val="Calibri"/>
    </font>
    <font>
      <sz val="12.000000"/>
      <color rgb="FFD8D8D8"/>
      <name val="Calibri"/>
    </font>
    <font>
      <sz val="11.000000"/>
      <name val="Liberation Sans"/>
    </font>
    <font>
      <sz val="12.000000"/>
      <name val="Liberation Sans"/>
    </font>
    <font>
      <sz val="12.000000"/>
      <name val="Cambria"/>
    </font>
  </fonts>
  <fills count="24">
    <fill>
      <patternFill patternType="none"/>
    </fill>
    <fill>
      <patternFill patternType="gray125"/>
    </fill>
    <fill>
      <patternFill patternType="solid">
        <fgColor rgb="FFFF2C21"/>
        <bgColor rgb="FFFF2C21"/>
      </patternFill>
    </fill>
    <fill>
      <patternFill patternType="solid">
        <fgColor rgb="FF9CE159"/>
        <bgColor rgb="FF9CE159"/>
      </patternFill>
    </fill>
    <fill>
      <patternFill patternType="solid">
        <fgColor rgb="FFBFBFBF"/>
        <bgColor rgb="FFBFBFBF"/>
      </patternFill>
    </fill>
    <fill>
      <patternFill patternType="solid">
        <fgColor rgb="FF63B2DE"/>
        <bgColor rgb="FF63B2DE"/>
      </patternFill>
    </fill>
    <fill>
      <patternFill patternType="solid">
        <fgColor rgb="FFF1D030"/>
        <bgColor rgb="FFF1D030"/>
      </patternFill>
    </fill>
    <fill>
      <patternFill patternType="solid">
        <fgColor rgb="FFFFE061"/>
        <bgColor rgb="FFFFE061"/>
      </patternFill>
    </fill>
    <fill>
      <patternFill patternType="solid">
        <fgColor rgb="FFD8D8D8"/>
        <bgColor rgb="FFD8D8D8"/>
      </patternFill>
    </fill>
    <fill>
      <patternFill patternType="solid">
        <fgColor rgb="FFB2B1A8"/>
        <bgColor rgb="FFB2B1A8"/>
      </patternFill>
    </fill>
    <fill>
      <patternFill patternType="solid">
        <fgColor indexed="2"/>
        <bgColor indexed="2"/>
      </patternFill>
    </fill>
    <fill>
      <patternFill patternType="solid">
        <fgColor indexed="30"/>
        <bgColor indexed="30"/>
      </patternFill>
    </fill>
    <fill>
      <patternFill patternType="solid">
        <fgColor indexed="57"/>
        <bgColor indexed="57"/>
      </patternFill>
    </fill>
    <fill>
      <patternFill patternType="solid">
        <fgColor rgb="FF7F7F7F"/>
        <bgColor rgb="FF7F7F7F"/>
      </patternFill>
    </fill>
    <fill>
      <patternFill patternType="solid">
        <fgColor indexed="40"/>
        <bgColor indexed="40"/>
      </patternFill>
    </fill>
    <fill>
      <patternFill patternType="solid">
        <fgColor indexed="49"/>
        <bgColor indexed="49"/>
      </patternFill>
    </fill>
    <fill>
      <patternFill patternType="solid">
        <fgColor indexed="3"/>
        <bgColor indexed="3"/>
      </patternFill>
    </fill>
    <fill>
      <patternFill patternType="solid">
        <fgColor indexed="65"/>
        <bgColor indexed="65"/>
      </patternFill>
    </fill>
    <fill>
      <patternFill patternType="solid">
        <fgColor rgb="FF0099FF"/>
        <bgColor rgb="FF0099FF"/>
      </patternFill>
    </fill>
    <fill>
      <patternFill patternType="solid">
        <fgColor rgb="FF00DCFF"/>
        <bgColor rgb="FF00DCFF"/>
      </patternFill>
    </fill>
    <fill>
      <patternFill patternType="solid">
        <fgColor rgb="FF00CCCC"/>
        <bgColor rgb="FF00CCCC"/>
      </patternFill>
    </fill>
    <fill>
      <patternFill patternType="solid">
        <fgColor rgb="FF33CC66"/>
        <bgColor rgb="FF33CC66"/>
      </patternFill>
    </fill>
    <fill>
      <patternFill patternType="solid">
        <fgColor rgb="FF3DEB3D"/>
        <bgColor rgb="FF3DEB3D"/>
      </patternFill>
    </fill>
    <fill>
      <patternFill patternType="solid">
        <fgColor rgb="FF357CA2"/>
        <bgColor rgb="FF357CA2"/>
      </patternFill>
    </fill>
  </fills>
  <borders count="63">
    <border>
      <left style="none"/>
      <right style="none"/>
      <top style="none"/>
      <bottom style="none"/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auto="1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515151"/>
      </bottom>
      <diagonal style="none"/>
    </border>
    <border>
      <left style="thick">
        <color auto="1"/>
      </left>
      <right style="thin">
        <color rgb="FFA5A5A5"/>
      </right>
      <top style="thick">
        <color auto="1"/>
      </top>
      <bottom style="thick">
        <color auto="1"/>
      </bottom>
      <diagonal style="none"/>
    </border>
    <border>
      <left style="thin">
        <color rgb="FFA5A5A5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thick">
        <color auto="1"/>
      </right>
      <top style="thin">
        <color rgb="FFA5A5A5"/>
      </top>
      <bottom style="thin">
        <color rgb="FFA5A5A5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thick">
        <color rgb="FF515151"/>
      </right>
      <top style="thick">
        <color rgb="FF515151"/>
      </top>
      <bottom style="thick">
        <color rgb="FF515151"/>
      </bottom>
      <diagonal style="none"/>
    </border>
    <border>
      <left style="thick">
        <color rgb="FF515151"/>
      </left>
      <right style="thick">
        <color rgb="FF515151"/>
      </right>
      <top style="thick">
        <color rgb="FF515151"/>
      </top>
      <bottom style="thick">
        <color rgb="FF515151"/>
      </bottom>
      <diagonal style="none"/>
    </border>
    <border>
      <left style="thick">
        <color rgb="FF515151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ck">
        <color auto="1"/>
      </left>
      <right style="thick">
        <color rgb="FF515151"/>
      </right>
      <top style="thin">
        <color rgb="FFA5A5A5"/>
      </top>
      <bottom style="thin">
        <color rgb="FFA5A5A5"/>
      </bottom>
      <diagonal style="none"/>
    </border>
    <border>
      <left style="thick">
        <color rgb="FF515151"/>
      </left>
      <right style="thick">
        <color rgb="FF515151"/>
      </right>
      <top style="thick">
        <color auto="1"/>
      </top>
      <bottom style="thick">
        <color rgb="FF515151"/>
      </bottom>
      <diagonal style="none"/>
    </border>
    <border>
      <left style="thick">
        <color rgb="FF515151"/>
      </left>
      <right style="thin">
        <color rgb="FFA5A5A5"/>
      </right>
      <top style="thick">
        <color rgb="FF515151"/>
      </top>
      <bottom style="thick">
        <color rgb="FF515151"/>
      </bottom>
      <diagonal style="none"/>
    </border>
    <border>
      <left style="thick">
        <color rgb="FF515151"/>
      </left>
      <right style="thick">
        <color rgb="FF515151"/>
      </right>
      <top style="thick">
        <color rgb="FF515151"/>
      </top>
      <bottom style="thin">
        <color auto="1"/>
      </bottom>
      <diagonal style="none"/>
    </border>
    <border>
      <left style="thick">
        <color rgb="FF51515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ck">
        <color rgb="FF515151"/>
      </left>
      <right style="thick">
        <color rgb="FF515151"/>
      </right>
      <top style="thin">
        <color auto="1"/>
      </top>
      <bottom style="thick">
        <color rgb="FF515151"/>
      </bottom>
      <diagonal style="none"/>
    </border>
    <border>
      <left style="thin">
        <color rgb="FFA5A5A5"/>
      </left>
      <right style="thin">
        <color rgb="FFA5A5A5"/>
      </right>
      <top style="thick">
        <color auto="1"/>
      </top>
      <bottom style="thick">
        <color auto="1"/>
      </bottom>
      <diagonal style="none"/>
    </border>
    <border>
      <left style="thin">
        <color rgb="FFA5A5A5"/>
      </left>
      <right style="thin">
        <color rgb="FFA5A5A5"/>
      </right>
      <top style="thick">
        <color rgb="FF515151"/>
      </top>
      <bottom style="thick">
        <color auto="1"/>
      </bottom>
      <diagonal style="none"/>
    </border>
    <border>
      <left style="thin">
        <color rgb="FFA5A5A5"/>
      </left>
      <right style="thin">
        <color rgb="FFA5A5A5"/>
      </right>
      <top style="thick">
        <color rgb="FF515151"/>
      </top>
      <bottom style="thick">
        <color rgb="FF515151"/>
      </bottom>
      <diagonal style="none"/>
    </border>
    <border>
      <left style="thin">
        <color rgb="FFA5A5A5"/>
      </left>
      <right style="thin">
        <color rgb="FFA5A5A5"/>
      </right>
      <top style="thick">
        <color rgb="FF515151"/>
      </top>
      <bottom style="thin">
        <color rgb="FFA5A5A5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rgb="FF515151"/>
      </bottom>
      <diagonal style="none"/>
    </border>
    <border>
      <left style="thick">
        <color auto="1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ck">
        <color auto="1"/>
      </left>
      <right style="thin">
        <color rgb="FFA5A5A5"/>
      </right>
      <top style="thin">
        <color rgb="FFA5A5A5"/>
      </top>
      <bottom style="thick">
        <color rgb="FF515151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none"/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none"/>
      <bottom style="thin">
        <color auto="1"/>
      </bottom>
      <diagonal style="none"/>
    </border>
    <border>
      <left style="thin">
        <color rgb="FFAAAAAA"/>
      </left>
      <right style="none"/>
      <top style="none"/>
      <bottom style="thin">
        <color auto="1"/>
      </bottom>
      <diagonal style="none"/>
    </border>
    <border>
      <left style="thin">
        <color rgb="FFAAAAAA"/>
      </left>
      <right style="thin">
        <color auto="1"/>
      </right>
      <top style="thin">
        <color rgb="FFAAAAAA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rgb="FFAAAAAA"/>
      </left>
      <right style="thin">
        <color rgb="FFAAAAAA"/>
      </right>
      <top style="thin">
        <color auto="1"/>
      </top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thin">
        <color auto="1"/>
      </top>
      <bottom style="thin">
        <color auto="1"/>
      </bottom>
      <diagonal style="none"/>
    </border>
    <border>
      <left style="thin">
        <color rgb="FFAAAAAA"/>
      </left>
      <right style="none"/>
      <top style="thin">
        <color auto="1"/>
      </top>
      <bottom style="thin">
        <color rgb="FFAAAAAA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AAAAAA"/>
      </left>
      <right style="none"/>
      <top style="thin">
        <color rgb="FFAAAAAA"/>
      </top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none"/>
      <diagonal style="none"/>
    </border>
    <border>
      <left style="thin">
        <color rgb="FFAAAAAA"/>
      </left>
      <right style="none"/>
      <top style="thin">
        <color rgb="FFAAAAAA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hair">
        <color auto="1"/>
      </bottom>
      <diagonal style="none"/>
    </border>
    <border>
      <left style="thin">
        <color rgb="FFAAAAAA"/>
      </left>
      <right style="hair">
        <color auto="1"/>
      </right>
      <top style="thin">
        <color rgb="FFAAAAAA"/>
      </top>
      <bottom style="thin">
        <color rgb="FFAAAAAA"/>
      </bottom>
      <diagonal style="none"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thin">
        <color rgb="FFAAAAAA"/>
      </top>
      <bottom style="thin">
        <color rgb="FFAAAAAA"/>
      </bottom>
      <diagonal style="none"/>
    </border>
    <border>
      <left style="thin">
        <color rgb="FFAAAAAA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hair">
        <color auto="1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hair">
        <color auto="1"/>
      </top>
      <bottom style="thin">
        <color rgb="FFAAAAAA"/>
      </bottom>
      <diagonal style="none"/>
    </border>
    <border>
      <left style="thin">
        <color rgb="FFAAAAAA"/>
      </left>
      <right style="hair">
        <color auto="1"/>
      </right>
      <top style="hair">
        <color auto="1"/>
      </top>
      <bottom style="thin">
        <color rgb="FFAAAAAA"/>
      </bottom>
      <diagonal style="none"/>
    </border>
    <border>
      <left style="thin">
        <color rgb="FFAAAAAA"/>
      </left>
      <right style="thin">
        <color rgb="FFAAAAAA"/>
      </right>
      <top style="hair">
        <color auto="1"/>
      </top>
      <bottom style="hair">
        <color auto="1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AAAAAA"/>
      </top>
      <bottom style="thin">
        <color rgb="FFAAAAAA"/>
      </bottom>
      <diagonal style="none"/>
    </border>
    <border>
      <left style="thin">
        <color auto="1"/>
      </left>
      <right style="thin">
        <color rgb="FFAAAAAA"/>
      </right>
      <top style="thin">
        <color auto="1"/>
      </top>
      <bottom style="thin">
        <color rgb="FFAAAAAA"/>
      </bottom>
      <diagonal style="none"/>
    </border>
    <border>
      <left style="thin">
        <color rgb="FFAAAAAA"/>
      </left>
      <right style="thin">
        <color auto="1"/>
      </right>
      <top style="thin">
        <color rgb="FFAAAAAA"/>
      </top>
      <bottom style="thin">
        <color rgb="FFAAAAAA"/>
      </bottom>
      <diagonal style="none"/>
    </border>
    <border>
      <left style="thin">
        <color auto="1"/>
      </left>
      <right style="thin">
        <color rgb="FFAAAAAA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rgb="FFAAAAAA"/>
      </right>
      <top style="thin">
        <color rgb="FFAAAAAA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rgb="FFAAAAAA"/>
      </top>
      <bottom style="thin">
        <color rgb="FFAAAAAA"/>
      </bottom>
      <diagonal style="none"/>
    </border>
  </borders>
  <cellStyleXfs count="1">
    <xf fontId="0" fillId="0" borderId="0" numFmtId="0" applyNumberFormat="0" applyFont="1" applyFill="0" applyBorder="0" applyProtection="0">
      <alignment vertical="top" wrapText="1"/>
    </xf>
  </cellStyleXfs>
  <cellXfs count="236">
    <xf fontId="0" fillId="0" borderId="0" numFmtId="0" xfId="0" applyAlignment="1">
      <alignment vertical="top" wrapText="1"/>
    </xf>
    <xf fontId="0" fillId="0" borderId="0" numFmtId="0" xfId="0" applyAlignment="1">
      <alignment vertical="top"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1" fillId="2" borderId="4" numFmtId="49" xfId="0" applyNumberFormat="1" applyFont="1" applyFill="1" applyBorder="1" applyAlignment="1">
      <alignment horizontal="left" vertical="top" wrapText="1"/>
    </xf>
    <xf fontId="1" fillId="0" borderId="5" numFmtId="0" xfId="0" applyFont="1" applyBorder="1" applyAlignment="1">
      <alignment horizontal="left" vertical="top" wrapText="1"/>
    </xf>
    <xf fontId="0" fillId="0" borderId="6" numFmtId="0" xfId="0" applyBorder="1" applyAlignment="1">
      <alignment vertical="top" wrapText="1"/>
    </xf>
    <xf fontId="2" fillId="2" borderId="7" numFmtId="49" xfId="0" applyNumberFormat="1" applyFont="1" applyFill="1" applyBorder="1" applyAlignment="1">
      <alignment horizontal="left" vertical="top" wrapText="1"/>
    </xf>
    <xf fontId="0" fillId="3" borderId="8" numFmtId="49" xfId="0" applyNumberFormat="1" applyFill="1" applyBorder="1" applyAlignment="1">
      <alignment vertical="top" wrapText="1"/>
    </xf>
    <xf fontId="0" fillId="3" borderId="9" numFmtId="49" xfId="0" applyNumberFormat="1" applyFill="1" applyBorder="1" applyAlignment="1">
      <alignment vertical="top" wrapText="1"/>
    </xf>
    <xf fontId="0" fillId="0" borderId="10" numFmtId="0" xfId="0" applyBorder="1" applyAlignment="1">
      <alignment vertical="top" wrapText="1"/>
    </xf>
    <xf fontId="0" fillId="3" borderId="7" numFmtId="49" xfId="0" applyNumberFormat="1" applyFill="1" applyBorder="1" applyAlignment="1">
      <alignment vertical="top" wrapText="1"/>
    </xf>
    <xf fontId="0" fillId="4" borderId="7" numFmtId="160" xfId="0" applyNumberFormat="1" applyFill="1" applyBorder="1" applyAlignment="1">
      <alignment vertical="top" wrapText="1"/>
    </xf>
    <xf fontId="0" fillId="0" borderId="11" numFmtId="0" xfId="0" applyBorder="1" applyAlignment="1">
      <alignment vertical="top" wrapText="1"/>
    </xf>
    <xf fontId="0" fillId="3" borderId="12" numFmtId="49" xfId="0" applyNumberFormat="1" applyFill="1" applyBorder="1" applyAlignment="1">
      <alignment vertical="top" wrapText="1"/>
    </xf>
    <xf fontId="0" fillId="5" borderId="9" numFmtId="161" xfId="0" applyNumberFormat="1" applyFill="1" applyBorder="1" applyAlignment="1">
      <alignment vertical="top" wrapText="1"/>
    </xf>
    <xf fontId="0" fillId="5" borderId="9" numFmtId="49" xfId="0" applyNumberFormat="1" applyFill="1" applyBorder="1" applyAlignment="1">
      <alignment horizontal="center" vertical="top" wrapText="1"/>
    </xf>
    <xf fontId="0" fillId="0" borderId="13" numFmtId="0" xfId="0" applyBorder="1" applyAlignment="1">
      <alignment vertical="top" wrapText="1"/>
    </xf>
    <xf fontId="0" fillId="4" borderId="7" numFmtId="162" xfId="0" applyNumberFormat="1" applyFill="1" applyBorder="1" applyAlignment="1">
      <alignment vertical="top" wrapText="1"/>
    </xf>
    <xf fontId="0" fillId="5" borderId="14" numFmtId="161" xfId="0" applyNumberFormat="1" applyFill="1" applyBorder="1" applyAlignment="1">
      <alignment vertical="top" wrapText="1"/>
    </xf>
    <xf fontId="0" fillId="4" borderId="7" numFmtId="9" xfId="0" applyNumberFormat="1" applyFill="1" applyBorder="1" applyAlignment="1">
      <alignment vertical="top" wrapText="1"/>
    </xf>
    <xf fontId="0" fillId="5" borderId="9" numFmtId="49" xfId="0" applyNumberFormat="1" applyFill="1" applyBorder="1" applyAlignment="1">
      <alignment horizontal="center"/>
    </xf>
    <xf fontId="0" fillId="0" borderId="15" numFmtId="0" xfId="0" applyBorder="1"/>
    <xf fontId="0" fillId="0" borderId="16" numFmtId="0" xfId="0" applyBorder="1" applyAlignment="1">
      <alignment vertical="top" wrapText="1"/>
    </xf>
    <xf fontId="0" fillId="4" borderId="7" numFmtId="0" xfId="0" applyFill="1" applyBorder="1" applyAlignment="1">
      <alignment vertical="top" wrapText="1"/>
    </xf>
    <xf fontId="0" fillId="5" borderId="17" numFmtId="161" xfId="0" applyNumberFormat="1" applyFill="1" applyBorder="1" applyAlignment="1">
      <alignment vertical="top" wrapText="1"/>
    </xf>
    <xf fontId="0" fillId="4" borderId="7" numFmtId="161" xfId="0" applyNumberFormat="1" applyFill="1" applyBorder="1" applyAlignment="1">
      <alignment vertical="top" wrapText="1"/>
    </xf>
    <xf fontId="0" fillId="0" borderId="18" numFmtId="0" xfId="0" applyBorder="1" applyAlignment="1">
      <alignment vertical="top" wrapText="1"/>
    </xf>
    <xf fontId="0" fillId="0" borderId="19" numFmtId="0" xfId="0" applyBorder="1" applyAlignment="1">
      <alignment vertical="top" wrapText="1"/>
    </xf>
    <xf fontId="0" fillId="0" borderId="20" numFmtId="0" xfId="0" applyBorder="1" applyAlignment="1">
      <alignment vertical="top" wrapText="1"/>
    </xf>
    <xf fontId="0" fillId="0" borderId="21" numFmtId="0" xfId="0" applyBorder="1" applyAlignment="1">
      <alignment vertical="top" wrapText="1"/>
    </xf>
    <xf fontId="3" fillId="2" borderId="4" numFmtId="49" xfId="0" applyNumberFormat="1" applyFont="1" applyFill="1" applyBorder="1" applyAlignment="1">
      <alignment vertical="top" wrapText="1"/>
    </xf>
    <xf fontId="2" fillId="0" borderId="5" numFmtId="0" xfId="0" applyFont="1" applyBorder="1" applyAlignment="1">
      <alignment horizontal="left" vertical="top" wrapText="1"/>
    </xf>
    <xf fontId="1" fillId="2" borderId="22" numFmtId="49" xfId="0" applyNumberFormat="1" applyFont="1" applyFill="1" applyBorder="1" applyAlignment="1">
      <alignment horizontal="left" vertical="top" wrapText="1"/>
    </xf>
    <xf fontId="4" fillId="3" borderId="7" numFmtId="49" xfId="0" applyNumberFormat="1" applyFont="1" applyFill="1" applyBorder="1" applyAlignment="1">
      <alignment vertical="top" wrapText="1"/>
    </xf>
    <xf fontId="0" fillId="0" borderId="7" numFmtId="0" xfId="0" applyBorder="1" applyAlignment="1">
      <alignment vertical="top" wrapText="1"/>
    </xf>
    <xf fontId="0" fillId="0" borderId="23" numFmtId="0" xfId="0" applyBorder="1" applyAlignment="1">
      <alignment vertical="top" wrapText="1"/>
    </xf>
    <xf fontId="0" fillId="0" borderId="24" numFmtId="0" xfId="0" applyBorder="1" applyAlignment="1">
      <alignment vertical="top" wrapText="1"/>
    </xf>
    <xf fontId="0" fillId="6" borderId="9" numFmtId="49" xfId="0" applyNumberFormat="1" applyFill="1" applyBorder="1" applyAlignment="1">
      <alignment vertical="top" wrapText="1"/>
    </xf>
    <xf fontId="0" fillId="6" borderId="9" numFmtId="161" xfId="0" applyNumberFormat="1" applyFill="1" applyBorder="1" applyAlignment="1">
      <alignment vertical="top" wrapText="1"/>
    </xf>
    <xf fontId="4" fillId="3" borderId="7" numFmtId="49" xfId="0" applyNumberFormat="1" applyFont="1" applyFill="1" applyBorder="1" applyAlignment="1">
      <alignment shrinkToFit="1" vertical="top" wrapText="1"/>
    </xf>
    <xf fontId="0" fillId="0" borderId="0" numFmtId="0" xfId="0"/>
    <xf fontId="0" fillId="0" borderId="25" numFmtId="0" xfId="0" applyBorder="1"/>
    <xf fontId="4" fillId="0" borderId="25" numFmtId="0" xfId="0" applyFont="1" applyBorder="1"/>
    <xf fontId="4" fillId="0" borderId="25" numFmtId="1" xfId="0" applyNumberFormat="1" applyFont="1" applyBorder="1"/>
    <xf fontId="4" fillId="3" borderId="25" numFmtId="49" xfId="0" applyNumberFormat="1" applyFont="1" applyFill="1" applyBorder="1"/>
    <xf fontId="0" fillId="0" borderId="25" numFmtId="49" xfId="0" applyNumberFormat="1" applyBorder="1"/>
    <xf fontId="0" fillId="0" borderId="25" numFmtId="163" xfId="0" applyNumberFormat="1" applyBorder="1"/>
    <xf fontId="0" fillId="0" borderId="25" numFmtId="161" xfId="0" applyNumberFormat="1" applyBorder="1"/>
    <xf fontId="4" fillId="0" borderId="25" numFmtId="49" xfId="0" applyNumberFormat="1" applyFont="1" applyBorder="1"/>
    <xf fontId="4" fillId="0" borderId="25" numFmtId="161" xfId="0" applyNumberFormat="1" applyFont="1" applyBorder="1"/>
    <xf fontId="4" fillId="6" borderId="25" numFmtId="162" xfId="0" applyNumberFormat="1" applyFont="1" applyFill="1" applyBorder="1"/>
    <xf fontId="4" fillId="6" borderId="25" numFmtId="161" xfId="0" applyNumberFormat="1" applyFont="1" applyFill="1" applyBorder="1"/>
    <xf fontId="4" fillId="6" borderId="25" numFmtId="0" xfId="0" applyFont="1" applyFill="1" applyBorder="1"/>
    <xf fontId="4" fillId="0" borderId="25" numFmtId="163" xfId="0" applyNumberFormat="1" applyFont="1" applyBorder="1"/>
    <xf fontId="0" fillId="6" borderId="25" numFmtId="0" xfId="0" applyFill="1" applyBorder="1"/>
    <xf fontId="0" fillId="3" borderId="2" numFmtId="49" xfId="0" applyNumberFormat="1" applyFill="1" applyBorder="1" applyAlignment="1">
      <alignment vertical="top" wrapText="1"/>
    </xf>
    <xf fontId="2" fillId="2" borderId="2" numFmtId="49" xfId="0" applyNumberFormat="1" applyFont="1" applyFill="1" applyBorder="1" applyAlignment="1">
      <alignment horizontal="left" vertical="top" wrapText="1"/>
    </xf>
    <xf fontId="0" fillId="0" borderId="2" numFmtId="49" xfId="0" applyNumberFormat="1" applyBorder="1" applyAlignment="1">
      <alignment vertical="top" wrapText="1"/>
    </xf>
    <xf fontId="0" fillId="4" borderId="2" numFmtId="0" xfId="0" applyFill="1" applyBorder="1" applyAlignment="1">
      <alignment vertical="top" wrapText="1"/>
    </xf>
    <xf fontId="0" fillId="0" borderId="2" numFmtId="161" xfId="0" applyNumberFormat="1" applyBorder="1" applyAlignment="1">
      <alignment vertical="top" wrapText="1"/>
    </xf>
    <xf fontId="0" fillId="0" borderId="2" numFmtId="163" xfId="0" applyNumberFormat="1" applyBorder="1" applyAlignment="1">
      <alignment vertical="top" wrapText="1"/>
    </xf>
    <xf fontId="0" fillId="4" borderId="2" numFmtId="160" xfId="0" applyNumberFormat="1" applyFill="1" applyBorder="1" applyAlignment="1">
      <alignment vertical="top" wrapText="1"/>
    </xf>
    <xf fontId="0" fillId="0" borderId="2" numFmtId="49" xfId="0" applyNumberFormat="1" applyBorder="1" applyAlignment="1">
      <alignment horizontal="right" vertical="top" wrapText="1"/>
    </xf>
    <xf fontId="0" fillId="7" borderId="2" numFmtId="161" xfId="0" applyNumberFormat="1" applyFill="1" applyBorder="1" applyAlignment="1">
      <alignment vertical="top" wrapText="1"/>
    </xf>
    <xf fontId="0" fillId="0" borderId="2" numFmtId="164" xfId="0" applyNumberFormat="1" applyBorder="1" applyAlignment="1">
      <alignment vertical="top" wrapText="1"/>
    </xf>
    <xf fontId="0" fillId="7" borderId="2" numFmtId="162" xfId="0" applyNumberFormat="1" applyFill="1" applyBorder="1" applyAlignment="1">
      <alignment vertical="top" wrapText="1"/>
    </xf>
    <xf fontId="0" fillId="8" borderId="0" numFmtId="1" xfId="0" applyNumberFormat="1" applyFill="1"/>
    <xf fontId="4" fillId="8" borderId="0" numFmtId="49" xfId="0" applyNumberFormat="1" applyFont="1" applyFill="1" applyAlignment="1">
      <alignment horizontal="center"/>
    </xf>
    <xf fontId="4" fillId="8" borderId="0" numFmtId="1" xfId="0" applyNumberFormat="1" applyFont="1" applyFill="1" applyAlignment="1">
      <alignment horizontal="center"/>
    </xf>
    <xf fontId="5" fillId="0" borderId="26" numFmtId="49" xfId="0" applyNumberFormat="1" applyFont="1" applyBorder="1"/>
    <xf fontId="0" fillId="0" borderId="27" numFmtId="0" xfId="0" applyBorder="1"/>
    <xf fontId="0" fillId="0" borderId="28" numFmtId="0" xfId="0" applyBorder="1"/>
    <xf fontId="0" fillId="0" borderId="29" numFmtId="0" xfId="0" applyBorder="1"/>
    <xf fontId="4" fillId="0" borderId="30" numFmtId="49" xfId="0" applyNumberFormat="1" applyFont="1" applyBorder="1" applyAlignment="1">
      <alignment horizontal="center"/>
    </xf>
    <xf fontId="4" fillId="0" borderId="30" numFmtId="1" xfId="0" applyNumberFormat="1" applyFont="1" applyBorder="1" applyAlignment="1">
      <alignment horizontal="center"/>
    </xf>
    <xf fontId="0" fillId="8" borderId="31" numFmtId="1" xfId="0" applyNumberFormat="1" applyFill="1" applyBorder="1"/>
    <xf fontId="0" fillId="8" borderId="32" numFmtId="1" xfId="0" applyNumberFormat="1" applyFill="1" applyBorder="1"/>
    <xf fontId="0" fillId="0" borderId="30" numFmtId="1" xfId="0" applyNumberFormat="1" applyBorder="1"/>
    <xf fontId="0" fillId="8" borderId="33" numFmtId="1" xfId="0" applyNumberFormat="1" applyFill="1" applyBorder="1"/>
    <xf fontId="0" fillId="0" borderId="30" numFmtId="49" xfId="0" applyNumberFormat="1" applyBorder="1" applyAlignment="1">
      <alignment horizontal="right"/>
    </xf>
    <xf fontId="0" fillId="0" borderId="30" numFmtId="49" xfId="0" applyNumberFormat="1" applyBorder="1"/>
    <xf fontId="6" fillId="0" borderId="30" numFmtId="165" xfId="0" applyNumberFormat="1" applyFont="1" applyBorder="1"/>
    <xf fontId="6" fillId="0" borderId="30" numFmtId="1" xfId="0" applyNumberFormat="1" applyFont="1" applyBorder="1"/>
    <xf fontId="0" fillId="0" borderId="30" numFmtId="0" xfId="0" applyBorder="1"/>
    <xf fontId="0" fillId="0" borderId="34" numFmtId="1" xfId="0" applyNumberFormat="1" applyBorder="1"/>
    <xf fontId="0" fillId="0" borderId="35" numFmtId="1" xfId="0" applyNumberFormat="1" applyBorder="1"/>
    <xf fontId="0" fillId="0" borderId="36" numFmtId="1" xfId="0" applyNumberFormat="1" applyBorder="1"/>
    <xf fontId="0" fillId="8" borderId="37" numFmtId="1" xfId="0" applyNumberFormat="1" applyFill="1" applyBorder="1"/>
    <xf fontId="0" fillId="0" borderId="29" numFmtId="49" xfId="0" applyNumberFormat="1" applyBorder="1"/>
    <xf fontId="7" fillId="9" borderId="30" numFmtId="9" xfId="0" applyNumberFormat="1" applyFont="1" applyFill="1" applyBorder="1"/>
    <xf fontId="8" fillId="0" borderId="38" numFmtId="49" xfId="0" applyNumberFormat="1" applyFont="1" applyBorder="1"/>
    <xf fontId="0" fillId="0" borderId="39" numFmtId="0" xfId="0" applyBorder="1"/>
    <xf fontId="7" fillId="9" borderId="30" numFmtId="166" xfId="0" applyNumberFormat="1" applyFont="1" applyFill="1" applyBorder="1"/>
    <xf fontId="0" fillId="0" borderId="34" numFmtId="0" xfId="0" applyBorder="1"/>
    <xf fontId="9" fillId="0" borderId="25" numFmtId="49" xfId="0" applyNumberFormat="1" applyFont="1" applyBorder="1"/>
    <xf fontId="0" fillId="0" borderId="40" numFmtId="0" xfId="0" applyBorder="1"/>
    <xf fontId="0" fillId="0" borderId="40" numFmtId="161" xfId="0" applyNumberFormat="1" applyBorder="1"/>
    <xf fontId="0" fillId="0" borderId="41" numFmtId="0" xfId="0" applyBorder="1"/>
    <xf fontId="7" fillId="9" borderId="0" numFmtId="49" xfId="0" applyNumberFormat="1" applyFont="1" applyFill="1"/>
    <xf fontId="0" fillId="8" borderId="0" numFmtId="161" xfId="0" applyNumberFormat="1" applyFill="1"/>
    <xf fontId="4" fillId="0" borderId="30" numFmtId="49" xfId="0" applyNumberFormat="1" applyFont="1" applyBorder="1" applyAlignment="1">
      <alignment horizontal="center" vertical="center"/>
    </xf>
    <xf fontId="4" fillId="0" borderId="30" numFmtId="49" xfId="0" applyNumberFormat="1" applyFont="1" applyBorder="1" applyAlignment="1">
      <alignment horizontal="center" vertical="center" wrapText="1"/>
    </xf>
    <xf fontId="9" fillId="0" borderId="30" numFmtId="49" xfId="0" applyNumberFormat="1" applyFont="1" applyBorder="1" applyAlignment="1">
      <alignment horizontal="center" vertical="center" wrapText="1"/>
    </xf>
    <xf fontId="10" fillId="10" borderId="30" numFmtId="49" xfId="0" applyNumberFormat="1" applyFont="1" applyFill="1" applyBorder="1" applyAlignment="1">
      <alignment horizontal="center" vertical="center" wrapText="1"/>
    </xf>
    <xf fontId="4" fillId="8" borderId="31" numFmtId="49" xfId="0" applyNumberFormat="1" applyFont="1" applyFill="1" applyBorder="1" applyAlignment="1">
      <alignment horizontal="right" vertical="center" wrapText="1"/>
    </xf>
    <xf fontId="11" fillId="0" borderId="30" numFmtId="2" xfId="0" applyNumberFormat="1" applyFont="1" applyBorder="1" applyAlignment="1">
      <alignment horizontal="center"/>
    </xf>
    <xf fontId="0" fillId="0" borderId="30" numFmtId="0" xfId="0" applyBorder="1" applyAlignment="1">
      <alignment horizontal="center"/>
    </xf>
    <xf fontId="12" fillId="0" borderId="30" numFmtId="1" xfId="0" applyNumberFormat="1" applyFont="1" applyBorder="1" applyAlignment="1">
      <alignment horizontal="center"/>
    </xf>
    <xf fontId="0" fillId="0" borderId="30" numFmtId="161" xfId="0" applyNumberFormat="1" applyBorder="1" applyAlignment="1">
      <alignment horizontal="center"/>
    </xf>
    <xf fontId="13" fillId="0" borderId="30" numFmtId="161" xfId="0" applyNumberFormat="1" applyFont="1" applyBorder="1" applyAlignment="1">
      <alignment horizontal="center"/>
    </xf>
    <xf fontId="0" fillId="8" borderId="31" numFmtId="10" xfId="0" applyNumberFormat="1" applyFill="1" applyBorder="1"/>
    <xf fontId="10" fillId="0" borderId="30" numFmtId="2" xfId="0" applyNumberFormat="1" applyFont="1" applyBorder="1" applyAlignment="1">
      <alignment horizontal="center"/>
    </xf>
    <xf fontId="14" fillId="0" borderId="30" numFmtId="0" xfId="0" applyFont="1" applyBorder="1" applyAlignment="1">
      <alignment horizontal="center"/>
    </xf>
    <xf fontId="14" fillId="0" borderId="30" numFmtId="1" xfId="0" applyNumberFormat="1" applyFont="1" applyBorder="1" applyAlignment="1">
      <alignment horizontal="center"/>
    </xf>
    <xf fontId="14" fillId="0" borderId="30" numFmtId="161" xfId="0" applyNumberFormat="1" applyFont="1" applyBorder="1" applyAlignment="1">
      <alignment horizontal="center"/>
    </xf>
    <xf fontId="10" fillId="0" borderId="30" numFmtId="161" xfId="0" applyNumberFormat="1" applyFont="1" applyBorder="1" applyAlignment="1">
      <alignment horizontal="center"/>
    </xf>
    <xf fontId="8" fillId="8" borderId="31" numFmtId="10" xfId="0" applyNumberFormat="1" applyFont="1" applyFill="1" applyBorder="1"/>
    <xf fontId="0" fillId="8" borderId="42" numFmtId="1" xfId="0" applyNumberFormat="1" applyFill="1" applyBorder="1"/>
    <xf fontId="8" fillId="8" borderId="42" numFmtId="1" xfId="0" applyNumberFormat="1" applyFont="1" applyFill="1" applyBorder="1"/>
    <xf fontId="8" fillId="8" borderId="31" numFmtId="1" xfId="0" applyNumberFormat="1" applyFont="1" applyFill="1" applyBorder="1" applyAlignment="1">
      <alignment horizontal="center"/>
    </xf>
    <xf fontId="8" fillId="8" borderId="0" numFmtId="1" xfId="0" applyNumberFormat="1" applyFont="1" applyFill="1"/>
    <xf fontId="4" fillId="8" borderId="0" numFmtId="1" xfId="0" applyNumberFormat="1" applyFont="1" applyFill="1" applyAlignment="1">
      <alignment horizontal="center" vertical="center"/>
    </xf>
    <xf fontId="4" fillId="8" borderId="0" numFmtId="1" xfId="0" applyNumberFormat="1" applyFont="1" applyFill="1" applyAlignment="1">
      <alignment horizontal="center" vertical="center" wrapText="1"/>
    </xf>
    <xf fontId="10" fillId="8" borderId="0" numFmtId="1" xfId="0" applyNumberFormat="1" applyFont="1" applyFill="1" applyAlignment="1">
      <alignment horizontal="center" vertical="center" wrapText="1"/>
    </xf>
    <xf fontId="0" fillId="8" borderId="0" numFmtId="2" xfId="0" applyNumberFormat="1" applyFill="1" applyAlignment="1">
      <alignment horizontal="center"/>
    </xf>
    <xf fontId="0" fillId="8" borderId="0" numFmtId="1" xfId="0" applyNumberFormat="1" applyFill="1" applyAlignment="1">
      <alignment horizontal="center"/>
    </xf>
    <xf fontId="0" fillId="8" borderId="0" numFmtId="161" xfId="0" applyNumberFormat="1" applyFill="1" applyAlignment="1">
      <alignment horizontal="center"/>
    </xf>
    <xf fontId="13" fillId="8" borderId="0" numFmtId="161" xfId="0" applyNumberFormat="1" applyFont="1" applyFill="1" applyAlignment="1">
      <alignment horizontal="center"/>
    </xf>
    <xf fontId="0" fillId="0" borderId="43" numFmtId="0" xfId="0" applyBorder="1"/>
    <xf fontId="2" fillId="2" borderId="43" numFmtId="49" xfId="0" applyNumberFormat="1" applyFont="1" applyFill="1" applyBorder="1" applyAlignment="1">
      <alignment horizontal="left"/>
    </xf>
    <xf fontId="2" fillId="0" borderId="43" numFmtId="0" xfId="0" applyFont="1" applyBorder="1" applyAlignment="1">
      <alignment horizontal="left"/>
    </xf>
    <xf fontId="0" fillId="0" borderId="44" numFmtId="0" xfId="0" applyBorder="1"/>
    <xf fontId="0" fillId="11" borderId="45" numFmtId="49" xfId="0" applyNumberFormat="1" applyFill="1" applyBorder="1" applyAlignment="1">
      <alignment horizontal="center" vertical="center"/>
    </xf>
    <xf fontId="0" fillId="11" borderId="45" numFmtId="1" xfId="0" applyNumberFormat="1" applyFill="1" applyBorder="1" applyAlignment="1">
      <alignment horizontal="center" vertical="center"/>
    </xf>
    <xf fontId="0" fillId="0" borderId="46" numFmtId="0" xfId="0" applyBorder="1"/>
    <xf fontId="0" fillId="12" borderId="45" numFmtId="49" xfId="0" applyNumberFormat="1" applyFill="1" applyBorder="1" applyAlignment="1">
      <alignment horizontal="center" vertical="center"/>
    </xf>
    <xf fontId="0" fillId="12" borderId="45" numFmtId="1" xfId="0" applyNumberFormat="1" applyFill="1" applyBorder="1" applyAlignment="1">
      <alignment horizontal="center" vertical="center"/>
    </xf>
    <xf fontId="0" fillId="0" borderId="45" numFmtId="49" xfId="0" applyNumberFormat="1" applyBorder="1"/>
    <xf fontId="0" fillId="13" borderId="45" numFmtId="160" xfId="0" applyNumberFormat="1" applyFill="1" applyBorder="1"/>
    <xf fontId="0" fillId="12" borderId="45" numFmtId="49" xfId="0" applyNumberFormat="1" applyFill="1" applyBorder="1"/>
    <xf fontId="0" fillId="0" borderId="47" numFmtId="49" xfId="0" applyNumberFormat="1" applyBorder="1" applyAlignment="1">
      <alignment horizontal="left"/>
    </xf>
    <xf fontId="0" fillId="13" borderId="45" numFmtId="160" xfId="0" applyNumberFormat="1" applyFill="1" applyBorder="1" applyAlignment="1">
      <alignment horizontal="right" vertical="center"/>
    </xf>
    <xf fontId="0" fillId="14" borderId="45" numFmtId="49" xfId="0" applyNumberFormat="1" applyFill="1" applyBorder="1"/>
    <xf fontId="0" fillId="14" borderId="45" numFmtId="0" xfId="0" applyFill="1" applyBorder="1"/>
    <xf fontId="0" fillId="15" borderId="45" numFmtId="0" xfId="0" applyFill="1" applyBorder="1"/>
    <xf fontId="0" fillId="16" borderId="45" numFmtId="0" xfId="0" applyFill="1" applyBorder="1"/>
    <xf fontId="0" fillId="16" borderId="45" numFmtId="161" xfId="0" applyNumberFormat="1" applyFill="1" applyBorder="1"/>
    <xf fontId="0" fillId="14" borderId="45" numFmtId="160" xfId="0" applyNumberFormat="1" applyFill="1" applyBorder="1"/>
    <xf fontId="0" fillId="15" borderId="45" numFmtId="167" xfId="0" applyNumberFormat="1" applyFill="1" applyBorder="1"/>
    <xf fontId="0" fillId="0" borderId="45" numFmtId="49" xfId="0" applyNumberFormat="1" applyBorder="1" applyAlignment="1">
      <alignment horizontal="left" vertical="center"/>
    </xf>
    <xf fontId="0" fillId="14" borderId="45" numFmtId="167" xfId="0" applyNumberFormat="1" applyFill="1" applyBorder="1"/>
    <xf fontId="0" fillId="13" borderId="45" numFmtId="161" xfId="0" applyNumberFormat="1" applyFill="1" applyBorder="1" applyAlignment="1">
      <alignment horizontal="right" vertical="center"/>
    </xf>
    <xf fontId="0" fillId="0" borderId="48" numFmtId="0" xfId="0" applyBorder="1"/>
    <xf fontId="0" fillId="0" borderId="49" numFmtId="0" xfId="0" applyBorder="1"/>
    <xf fontId="0" fillId="0" borderId="50" numFmtId="49" xfId="0" applyNumberFormat="1" applyBorder="1"/>
    <xf fontId="0" fillId="13" borderId="45" numFmtId="0" xfId="0" applyFill="1" applyBorder="1" applyAlignment="1">
      <alignment horizontal="right" vertical="center"/>
    </xf>
    <xf fontId="0" fillId="14" borderId="45" numFmtId="49" xfId="0" applyNumberFormat="1" applyFill="1" applyBorder="1" applyAlignment="1">
      <alignment wrapText="1"/>
    </xf>
    <xf fontId="0" fillId="0" borderId="44" numFmtId="49" xfId="0" applyNumberFormat="1" applyBorder="1"/>
    <xf fontId="0" fillId="15" borderId="45" numFmtId="160" xfId="0" applyNumberFormat="1" applyFill="1" applyBorder="1"/>
    <xf fontId="0" fillId="0" borderId="25" numFmtId="1" xfId="0" applyNumberFormat="1" applyBorder="1"/>
    <xf fontId="0" fillId="0" borderId="43" numFmtId="1" xfId="0" applyNumberFormat="1" applyBorder="1"/>
    <xf fontId="0" fillId="0" borderId="51" numFmtId="1" xfId="0" applyNumberFormat="1" applyBorder="1"/>
    <xf fontId="0" fillId="0" borderId="47" numFmtId="1" xfId="0" applyNumberFormat="1" applyBorder="1"/>
    <xf fontId="0" fillId="0" borderId="49" numFmtId="1" xfId="0" applyNumberFormat="1" applyBorder="1"/>
    <xf fontId="0" fillId="0" borderId="50" numFmtId="1" xfId="0" applyNumberFormat="1" applyBorder="1"/>
    <xf fontId="0" fillId="0" borderId="51" numFmtId="1" xfId="0" applyNumberFormat="1" applyBorder="1" applyAlignment="1">
      <alignment horizontal="center" vertical="center"/>
    </xf>
    <xf fontId="0" fillId="0" borderId="49" numFmtId="1" xfId="0" applyNumberFormat="1" applyBorder="1" applyAlignment="1">
      <alignment horizontal="center" vertical="center"/>
    </xf>
    <xf fontId="0" fillId="0" borderId="52" numFmtId="0" xfId="0" applyBorder="1"/>
    <xf fontId="15" fillId="2" borderId="30" numFmtId="49" xfId="0" applyNumberFormat="1" applyFont="1" applyFill="1" applyBorder="1" applyAlignment="1">
      <alignment horizontal="left" vertical="center"/>
    </xf>
    <xf fontId="15" fillId="17" borderId="30" numFmtId="1" xfId="0" applyNumberFormat="1" applyFont="1" applyFill="1" applyBorder="1" applyAlignment="1">
      <alignment horizontal="left" vertical="center"/>
    </xf>
    <xf fontId="0" fillId="0" borderId="53" numFmtId="0" xfId="0" applyBorder="1"/>
    <xf fontId="15" fillId="18" borderId="30" numFmtId="49" xfId="0" applyNumberFormat="1" applyFont="1" applyFill="1" applyBorder="1" applyAlignment="1">
      <alignment horizontal="center" vertical="center"/>
    </xf>
    <xf fontId="15" fillId="18" borderId="30" numFmtId="1" xfId="0" applyNumberFormat="1" applyFont="1" applyFill="1" applyBorder="1" applyAlignment="1">
      <alignment horizontal="center" vertical="center"/>
    </xf>
    <xf fontId="0" fillId="0" borderId="38" numFmtId="0" xfId="0" applyBorder="1"/>
    <xf fontId="15" fillId="6" borderId="30" numFmtId="49" xfId="0" applyNumberFormat="1" applyFont="1" applyFill="1" applyBorder="1"/>
    <xf fontId="15" fillId="4" borderId="30" numFmtId="0" xfId="0" applyFont="1" applyFill="1" applyBorder="1"/>
    <xf fontId="15" fillId="18" borderId="30" numFmtId="49" xfId="0" applyNumberFormat="1" applyFont="1" applyFill="1" applyBorder="1"/>
    <xf fontId="15" fillId="6" borderId="30" numFmtId="49" xfId="0" applyNumberFormat="1" applyFont="1" applyFill="1" applyBorder="1" applyAlignment="1">
      <alignment horizontal="left" vertical="center"/>
    </xf>
    <xf fontId="15" fillId="4" borderId="30" numFmtId="0" xfId="0" applyFont="1" applyFill="1" applyBorder="1" applyAlignment="1">
      <alignment horizontal="right" vertical="center"/>
    </xf>
    <xf fontId="15" fillId="19" borderId="30" numFmtId="49" xfId="0" applyNumberFormat="1" applyFont="1" applyFill="1" applyBorder="1"/>
    <xf fontId="15" fillId="19" borderId="30" numFmtId="0" xfId="0" applyFont="1" applyFill="1" applyBorder="1"/>
    <xf fontId="15" fillId="20" borderId="30" numFmtId="0" xfId="0" applyFont="1" applyFill="1" applyBorder="1"/>
    <xf fontId="1" fillId="21" borderId="30" numFmtId="49" xfId="0" applyNumberFormat="1" applyFont="1" applyFill="1" applyBorder="1" applyAlignment="1">
      <alignment horizontal="left" vertical="center"/>
    </xf>
    <xf fontId="1" fillId="0" borderId="30" numFmtId="0" xfId="0" applyFont="1" applyBorder="1" applyAlignment="1">
      <alignment horizontal="left" vertical="center"/>
    </xf>
    <xf fontId="15" fillId="0" borderId="54" numFmtId="1" xfId="0" applyNumberFormat="1" applyFont="1" applyBorder="1"/>
    <xf fontId="15" fillId="0" borderId="34" numFmtId="1" xfId="0" applyNumberFormat="1" applyFont="1" applyBorder="1"/>
    <xf fontId="0" fillId="0" borderId="55" numFmtId="0" xfId="0" applyBorder="1"/>
    <xf fontId="15" fillId="21" borderId="30" numFmtId="49" xfId="0" applyNumberFormat="1" applyFont="1" applyFill="1" applyBorder="1"/>
    <xf fontId="15" fillId="0" borderId="38" numFmtId="1" xfId="0" applyNumberFormat="1" applyFont="1" applyBorder="1"/>
    <xf fontId="15" fillId="0" borderId="25" numFmtId="1" xfId="0" applyNumberFormat="1" applyFont="1" applyBorder="1"/>
    <xf fontId="16" fillId="0" borderId="55" numFmtId="49" xfId="0" applyNumberFormat="1" applyFont="1" applyBorder="1" applyAlignment="1">
      <alignment horizontal="right"/>
    </xf>
    <xf fontId="15" fillId="22" borderId="30" numFmtId="0" xfId="0" applyFont="1" applyFill="1" applyBorder="1"/>
    <xf fontId="15" fillId="22" borderId="30" numFmtId="49" xfId="0" applyNumberFormat="1" applyFont="1" applyFill="1" applyBorder="1"/>
    <xf fontId="15" fillId="22" borderId="30" numFmtId="167" xfId="0" applyNumberFormat="1" applyFont="1" applyFill="1" applyBorder="1"/>
    <xf fontId="15" fillId="4" borderId="30" numFmtId="1" xfId="0" applyNumberFormat="1" applyFont="1" applyFill="1" applyBorder="1" applyAlignment="1">
      <alignment horizontal="right" vertical="center"/>
    </xf>
    <xf fontId="0" fillId="6" borderId="30" numFmtId="49" xfId="0" applyNumberFormat="1" applyFill="1" applyBorder="1"/>
    <xf fontId="15" fillId="0" borderId="25" numFmtId="1" xfId="0" applyNumberFormat="1" applyFont="1" applyBorder="1" applyAlignment="1">
      <alignment horizontal="right" vertical="center"/>
    </xf>
    <xf fontId="0" fillId="4" borderId="30" numFmtId="49" xfId="0" applyNumberFormat="1" applyFill="1" applyBorder="1"/>
    <xf fontId="15" fillId="0" borderId="56" numFmtId="1" xfId="0" applyNumberFormat="1" applyFont="1" applyBorder="1"/>
    <xf fontId="15" fillId="0" borderId="35" numFmtId="1" xfId="0" applyNumberFormat="1" applyFont="1" applyBorder="1"/>
    <xf fontId="15" fillId="0" borderId="52" numFmtId="1" xfId="0" applyNumberFormat="1" applyFont="1" applyBorder="1"/>
    <xf fontId="0" fillId="4" borderId="30" numFmtId="0" xfId="0" applyFill="1" applyBorder="1"/>
    <xf fontId="15" fillId="0" borderId="52" numFmtId="1" xfId="0" applyNumberFormat="1" applyFont="1" applyBorder="1" applyAlignment="1">
      <alignment horizontal="right" vertical="center"/>
    </xf>
    <xf fontId="15" fillId="18" borderId="57" numFmtId="1" xfId="0" applyNumberFormat="1" applyFont="1" applyFill="1" applyBorder="1" applyAlignment="1">
      <alignment horizontal="center" vertical="center"/>
    </xf>
    <xf fontId="0" fillId="0" borderId="58" numFmtId="0" xfId="0" applyBorder="1"/>
    <xf fontId="15" fillId="18" borderId="59" numFmtId="49" xfId="0" applyNumberFormat="1" applyFont="1" applyFill="1" applyBorder="1"/>
    <xf fontId="15" fillId="0" borderId="30" numFmtId="0" xfId="0" applyFont="1" applyBorder="1" applyAlignment="1">
      <alignment horizontal="center" vertical="center"/>
    </xf>
    <xf fontId="15" fillId="21" borderId="30" numFmtId="49" xfId="0" applyNumberFormat="1" applyFont="1" applyFill="1" applyBorder="1" applyAlignment="1">
      <alignment horizontal="center"/>
    </xf>
    <xf fontId="0" fillId="0" borderId="38" numFmtId="49" xfId="0" applyNumberFormat="1" applyBorder="1"/>
    <xf fontId="0" fillId="0" borderId="38" numFmtId="167" xfId="0" applyNumberFormat="1" applyBorder="1"/>
    <xf fontId="15" fillId="18" borderId="60" numFmtId="1" xfId="0" applyNumberFormat="1" applyFont="1" applyFill="1" applyBorder="1"/>
    <xf fontId="15" fillId="18" borderId="61" numFmtId="49" xfId="0" applyNumberFormat="1" applyFont="1" applyFill="1" applyBorder="1"/>
    <xf fontId="0" fillId="0" borderId="62" numFmtId="0" xfId="0" applyBorder="1"/>
    <xf fontId="0" fillId="23" borderId="34" numFmtId="49" xfId="0" applyNumberFormat="1" applyFill="1" applyBorder="1"/>
    <xf fontId="0" fillId="23" borderId="34" numFmtId="0" xfId="0" applyFill="1" applyBorder="1"/>
    <xf fontId="0" fillId="5" borderId="25" numFmtId="0" xfId="0" applyFill="1" applyBorder="1"/>
    <xf fontId="0" fillId="23" borderId="25" numFmtId="49" xfId="0" applyNumberFormat="1" applyFill="1" applyBorder="1"/>
    <xf fontId="0" fillId="23" borderId="25" numFmtId="0" xfId="0" applyFill="1" applyBorder="1"/>
    <xf fontId="0" fillId="3" borderId="25" numFmtId="49" xfId="0" applyNumberFormat="1" applyFill="1" applyBorder="1"/>
    <xf fontId="0" fillId="5" borderId="25" numFmtId="162" xfId="0" applyNumberFormat="1" applyFill="1" applyBorder="1"/>
    <xf fontId="0" fillId="5" borderId="25" numFmtId="160" xfId="0" applyNumberFormat="1" applyFill="1" applyBorder="1"/>
    <xf fontId="0" fillId="7" borderId="25" numFmtId="160" xfId="0" applyNumberFormat="1" applyFill="1" applyBorder="1"/>
    <xf fontId="0" fillId="7" borderId="25" numFmtId="162" xfId="0" applyNumberFormat="1" applyFill="1" applyBorder="1"/>
    <xf fontId="0" fillId="3" borderId="25" numFmtId="0" xfId="0" applyFill="1" applyBorder="1"/>
    <xf fontId="0" fillId="0" borderId="30" numFmtId="49" xfId="0" applyNumberFormat="1" applyBorder="1" applyAlignment="1">
      <alignment horizontal="center"/>
    </xf>
    <xf fontId="0" fillId="0" borderId="58" numFmtId="49" xfId="0" applyNumberFormat="1" applyBorder="1"/>
    <xf fontId="17" fillId="0" borderId="30" numFmtId="168" xfId="0" applyNumberFormat="1" applyFont="1" applyBorder="1" applyAlignment="1">
      <alignment horizontal="center" vertical="center" wrapText="1"/>
    </xf>
    <xf fontId="17" fillId="0" borderId="30" numFmtId="49" xfId="0" applyNumberFormat="1" applyFont="1" applyBorder="1" applyAlignment="1">
      <alignment horizontal="center" vertical="center" wrapText="1"/>
    </xf>
    <xf fontId="17" fillId="0" borderId="30" numFmtId="161" xfId="0" applyNumberFormat="1" applyFont="1" applyBorder="1" applyAlignment="1">
      <alignment horizontal="center" vertical="center" wrapText="1"/>
    </xf>
    <xf fontId="0" fillId="6" borderId="30" numFmtId="161" xfId="0" applyNumberFormat="1" applyFill="1" applyBorder="1"/>
    <xf fontId="0" fillId="0" borderId="38" numFmtId="1" xfId="0" applyNumberFormat="1" applyBorder="1"/>
    <xf fontId="15" fillId="0" borderId="34" numFmtId="1" xfId="0" applyNumberFormat="1" applyFont="1" applyBorder="1" applyAlignment="1">
      <alignment horizontal="left" vertical="center"/>
    </xf>
    <xf fontId="15" fillId="0" borderId="34" numFmtId="49" xfId="0" applyNumberFormat="1" applyFont="1" applyBorder="1"/>
    <xf fontId="15" fillId="3" borderId="34" numFmt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s-ES"/>
  <c:roundedCorners val="0"/>
  <mc:AlternateContent>
    <mc:Choice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9400"/>
          <c:y val="0.029888"/>
          <c:w val="0.929619"/>
          <c:h val="0.798080"/>
        </c:manualLayout>
      </c:layout>
      <c:scatterChart>
        <c:scatterStyle val="lineMarker"/>
        <c:varyColors val="0"/>
        <c:ser>
          <c:idx val="0"/>
          <c:order val="0"/>
          <c:tx>
            <c:v xml:space="preserve">Termino Potencia</c:v>
          </c:tx>
          <c:spPr bwMode="auto">
            <a:prstGeom prst="rect">
              <a:avLst/>
            </a:prstGeom>
            <a:ln w="25400" cap="flat">
              <a:solidFill>
                <a:srgbClr val="4BACC6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Electricitat!$D$18:$D$38</c:f>
              <c:numCache>
                <c:formatCode>"€"#,##0.00</c:formatCode>
                <c:ptCount val="21"/>
                <c:pt idx="0">
                  <c:v>5346.128354886145</c:v>
                </c:pt>
                <c:pt idx="1">
                  <c:v>1721.34541159056</c:v>
                </c:pt>
                <c:pt idx="2">
                  <c:v>1803.314240713921</c:v>
                </c:pt>
                <c:pt idx="3">
                  <c:v>1885.28306983728</c:v>
                </c:pt>
                <c:pt idx="4">
                  <c:v>1967.25189896064</c:v>
                </c:pt>
                <c:pt idx="5">
                  <c:v>2049.220728084</c:v>
                </c:pt>
                <c:pt idx="6">
                  <c:v>2131.18955720736</c:v>
                </c:pt>
                <c:pt idx="7">
                  <c:v>2213.158386330721</c:v>
                </c:pt>
                <c:pt idx="8">
                  <c:v>2295.127215454081</c:v>
                </c:pt>
                <c:pt idx="9">
                  <c:v>2377.09604457744</c:v>
                </c:pt>
                <c:pt idx="10">
                  <c:v>2459.0648737008</c:v>
                </c:pt>
                <c:pt idx="11">
                  <c:v>2541.033702824161</c:v>
                </c:pt>
                <c:pt idx="12">
                  <c:v>2623.00253194752</c:v>
                </c:pt>
                <c:pt idx="13">
                  <c:v>2704.97136107088</c:v>
                </c:pt>
                <c:pt idx="14">
                  <c:v>2786.940190194241</c:v>
                </c:pt>
                <c:pt idx="15">
                  <c:v>2868.909019317601</c:v>
                </c:pt>
                <c:pt idx="16">
                  <c:v>2950.87784844096</c:v>
                </c:pt>
                <c:pt idx="17">
                  <c:v>3032.846677564321</c:v>
                </c:pt>
                <c:pt idx="18">
                  <c:v>3114.81550668768</c:v>
                </c:pt>
                <c:pt idx="19">
                  <c:v>3196.784335811041</c:v>
                </c:pt>
                <c:pt idx="20">
                  <c:v>3278.753164934401</c:v>
                </c:pt>
              </c:numCache>
            </c:numRef>
          </c:yVal>
          <c:smooth val="0"/>
        </c:ser>
        <c:ser>
          <c:idx val="1"/>
          <c:order val="1"/>
          <c:tx>
            <c:v xml:space="preserve">KW Consumits</c:v>
          </c:tx>
          <c:spPr bwMode="auto">
            <a:prstGeom prst="rect">
              <a:avLst/>
            </a:prstGeom>
            <a:ln w="25400" cap="flat">
              <a:solidFill>
                <a:srgbClr val="000000"/>
              </a:solidFill>
              <a:prstDash val="dash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Electricitat!$B$18:$B$38</c:f>
              <c:numCache>
                <c:formatCode>General</c:formatCode>
                <c:ptCount val="21"/>
                <c:pt idx="0">
                  <c:v>764.3616000000001</c:v>
                </c:pt>
                <c:pt idx="1">
                  <c:v>802.57968</c:v>
                </c:pt>
                <c:pt idx="2">
                  <c:v>840.7977600000002</c:v>
                </c:pt>
                <c:pt idx="3">
                  <c:v>879.01584</c:v>
                </c:pt>
                <c:pt idx="4">
                  <c:v>917.23392</c:v>
                </c:pt>
                <c:pt idx="5">
                  <c:v>955.4520000000001</c:v>
                </c:pt>
                <c:pt idx="6">
                  <c:v>993.6700800000001</c:v>
                </c:pt>
                <c:pt idx="7">
                  <c:v>1031.8881600000002</c:v>
                </c:pt>
                <c:pt idx="8">
                  <c:v>1070.10624</c:v>
                </c:pt>
                <c:pt idx="9">
                  <c:v>1108.3243200000002</c:v>
                </c:pt>
                <c:pt idx="10">
                  <c:v>1146.5424</c:v>
                </c:pt>
                <c:pt idx="11">
                  <c:v>1184.7604800000001</c:v>
                </c:pt>
                <c:pt idx="12">
                  <c:v>1222.9785600000002</c:v>
                </c:pt>
                <c:pt idx="13">
                  <c:v>1261.1966400000001</c:v>
                </c:pt>
                <c:pt idx="14">
                  <c:v>1299.41472</c:v>
                </c:pt>
                <c:pt idx="15">
                  <c:v>1337.6328</c:v>
                </c:pt>
                <c:pt idx="16">
                  <c:v>1375.8508800000002</c:v>
                </c:pt>
                <c:pt idx="17">
                  <c:v>1414.0689600000003</c:v>
                </c:pt>
                <c:pt idx="18">
                  <c:v>1452.2870400000002</c:v>
                </c:pt>
                <c:pt idx="19">
                  <c:v>1490.50512</c:v>
                </c:pt>
                <c:pt idx="20">
                  <c:v>1528.7232000000001</c:v>
                </c:pt>
              </c:numCache>
            </c:numRef>
          </c:yVal>
          <c:smooth val="0"/>
        </c:ser>
        <c:ser>
          <c:idx val="2"/>
          <c:order val="2"/>
          <c:tx>
            <c:v xml:space="preserve">Termino Energia</c:v>
          </c:tx>
          <c:spPr bwMode="auto">
            <a:prstGeom prst="rect">
              <a:avLst/>
            </a:prstGeom>
            <a:ln w="25400" cap="flat">
              <a:solidFill>
                <a:srgbClr val="8064A2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Electricitat!$E$18:$E$38</c:f>
              <c:numCache>
                <c:formatCode>"€"#,##0.00</c:formatCode>
                <c:ptCount val="21"/>
                <c:pt idx="0">
                  <c:v>132019.8659712384</c:v>
                </c:pt>
                <c:pt idx="1">
                  <c:v>138620.85926980033</c:v>
                </c:pt>
                <c:pt idx="2">
                  <c:v>145221.85256836226</c:v>
                </c:pt>
                <c:pt idx="3">
                  <c:v>151822.84586692415</c:v>
                </c:pt>
                <c:pt idx="4">
                  <c:v>158423.83916548608</c:v>
                </c:pt>
                <c:pt idx="5">
                  <c:v>165024.83246404803</c:v>
                </c:pt>
                <c:pt idx="6">
                  <c:v>171625.82576260992</c:v>
                </c:pt>
                <c:pt idx="7">
                  <c:v>178226.81906117187</c:v>
                </c:pt>
                <c:pt idx="8">
                  <c:v>184827.81235973377</c:v>
                </c:pt>
                <c:pt idx="9">
                  <c:v>191428.8056582957</c:v>
                </c:pt>
                <c:pt idx="10">
                  <c:v>198029.7989568576</c:v>
                </c:pt>
                <c:pt idx="11">
                  <c:v>204630.79225541954</c:v>
                </c:pt>
                <c:pt idx="12">
                  <c:v>211231.78555398146</c:v>
                </c:pt>
                <c:pt idx="13">
                  <c:v>217832.7788525434</c:v>
                </c:pt>
                <c:pt idx="14">
                  <c:v>224433.77215110528</c:v>
                </c:pt>
                <c:pt idx="15">
                  <c:v>231034.7654496672</c:v>
                </c:pt>
                <c:pt idx="16">
                  <c:v>237635.75874822916</c:v>
                </c:pt>
                <c:pt idx="17">
                  <c:v>244236.75204679108</c:v>
                </c:pt>
                <c:pt idx="18">
                  <c:v>250837.74534535297</c:v>
                </c:pt>
                <c:pt idx="19">
                  <c:v>257438.73864391487</c:v>
                </c:pt>
                <c:pt idx="20">
                  <c:v>264039.7319424768</c:v>
                </c:pt>
              </c:numCache>
            </c:numRef>
          </c:yVal>
          <c:smooth val="0"/>
        </c:ser>
        <c:ser>
          <c:idx val="3"/>
          <c:order val="3"/>
          <c:tx>
            <c:v xml:space="preserve">KW Contractats</c:v>
          </c:tx>
          <c:spPr bwMode="auto">
            <a:prstGeom prst="rect">
              <a:avLst/>
            </a:prstGeom>
            <a:ln w="25400" cap="flat">
              <a:solidFill>
                <a:srgbClr val="3A5E8A"/>
              </a:solidFill>
              <a:prstDash val="dash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Electricitat!$C$18:$C$38</c:f>
              <c:numCache>
                <c:formatCode>0</c:formatCode>
                <c:ptCount val="21"/>
                <c:pt idx="0">
                  <c:v>825.5105280000001</c:v>
                </c:pt>
                <c:pt idx="1">
                  <c:v>866.7860544000001</c:v>
                </c:pt>
                <c:pt idx="2">
                  <c:v>908.0615808000002</c:v>
                </c:pt>
                <c:pt idx="3">
                  <c:v>949.3371072000001</c:v>
                </c:pt>
                <c:pt idx="4">
                  <c:v>990.6126336000001</c:v>
                </c:pt>
                <c:pt idx="5">
                  <c:v>1031.8881600000002</c:v>
                </c:pt>
                <c:pt idx="6">
                  <c:v>1073.1636864000002</c:v>
                </c:pt>
                <c:pt idx="7">
                  <c:v>1114.4392128000002</c:v>
                </c:pt>
                <c:pt idx="8">
                  <c:v>1155.7147392000002</c:v>
                </c:pt>
                <c:pt idx="9">
                  <c:v>1196.9902656000002</c:v>
                </c:pt>
                <c:pt idx="10">
                  <c:v>1238.2657920000001</c:v>
                </c:pt>
                <c:pt idx="11">
                  <c:v>1279.5413184000001</c:v>
                </c:pt>
                <c:pt idx="12">
                  <c:v>1320.8168448000004</c:v>
                </c:pt>
                <c:pt idx="13">
                  <c:v>1362.0923712000001</c:v>
                </c:pt>
                <c:pt idx="14">
                  <c:v>1403.3678976</c:v>
                </c:pt>
                <c:pt idx="15">
                  <c:v>1444.643424</c:v>
                </c:pt>
                <c:pt idx="16">
                  <c:v>1485.9189504000003</c:v>
                </c:pt>
                <c:pt idx="17">
                  <c:v>1527.1944768000003</c:v>
                </c:pt>
                <c:pt idx="18">
                  <c:v>1568.4700032000003</c:v>
                </c:pt>
                <c:pt idx="19">
                  <c:v>1609.7455296</c:v>
                </c:pt>
                <c:pt idx="20">
                  <c:v>1651.0210560000003</c:v>
                </c:pt>
              </c:numCache>
            </c:numRef>
          </c:yVal>
          <c:smooth val="0"/>
        </c:ser>
        <c:ser>
          <c:idx val="4"/>
          <c:order val="4"/>
          <c:tx>
            <c:v>Factura</c:v>
          </c:tx>
          <c:spPr bwMode="auto">
            <a:prstGeom prst="rect">
              <a:avLst/>
            </a:prstGeom>
            <a:ln w="25400" cap="flat">
              <a:solidFill>
                <a:srgbClr val="C0504D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Electricitat!$F$18:$F$38</c:f>
              <c:numCache>
                <c:formatCode>"€"#,##0.00</c:formatCode>
                <c:ptCount val="21"/>
                <c:pt idx="0">
                  <c:v>137365.99432612455</c:v>
                </c:pt>
                <c:pt idx="1">
                  <c:v>140342.2046813909</c:v>
                </c:pt>
                <c:pt idx="2">
                  <c:v>147025.16680907618</c:v>
                </c:pt>
                <c:pt idx="3">
                  <c:v>153708.12893676144</c:v>
                </c:pt>
                <c:pt idx="4">
                  <c:v>160391.09106444672</c:v>
                </c:pt>
                <c:pt idx="5">
                  <c:v>167074.05319213204</c:v>
                </c:pt>
                <c:pt idx="6">
                  <c:v>173757.0153198173</c:v>
                </c:pt>
                <c:pt idx="7">
                  <c:v>180439.9774475026</c:v>
                </c:pt>
                <c:pt idx="8">
                  <c:v>187122.93957518786</c:v>
                </c:pt>
                <c:pt idx="9">
                  <c:v>193805.90170287312</c:v>
                </c:pt>
                <c:pt idx="10">
                  <c:v>200488.86383055837</c:v>
                </c:pt>
                <c:pt idx="11">
                  <c:v>207171.8259582437</c:v>
                </c:pt>
                <c:pt idx="12">
                  <c:v>213854.78808592897</c:v>
                </c:pt>
                <c:pt idx="13">
                  <c:v>220537.75021361426</c:v>
                </c:pt>
                <c:pt idx="14">
                  <c:v>227220.7123412995</c:v>
                </c:pt>
                <c:pt idx="15">
                  <c:v>233903.6744689848</c:v>
                </c:pt>
                <c:pt idx="16">
                  <c:v>240586.6365966701</c:v>
                </c:pt>
                <c:pt idx="17">
                  <c:v>247269.5987243554</c:v>
                </c:pt>
                <c:pt idx="18">
                  <c:v>253952.56085204065</c:v>
                </c:pt>
                <c:pt idx="19">
                  <c:v>260635.5229797259</c:v>
                </c:pt>
                <c:pt idx="20">
                  <c:v>267318.4851074112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67557936"/>
        <c:axId val="277178784"/>
      </c:scatterChart>
      <c:valAx>
        <c:axId val="267557936"/>
        <c:scaling>
          <c:orientation val="minMax"/>
          <c:max val="2.000000"/>
          <c:min val="1.000000"/>
        </c:scaling>
        <c:delete val="0"/>
        <c:axPos val="b"/>
        <c:minorGridlines>
          <c:spPr bwMode="auto">
            <a:prstGeom prst="rect">
              <a:avLst/>
            </a:prstGeom>
            <a:ln w="12700" cap="flat">
              <a:solidFill>
                <a:srgbClr val="BABABA"/>
              </a:solidFill>
              <a:prstDash val="solid"/>
              <a:bevel/>
            </a:ln>
          </c:spPr>
        </c:minorGridlines>
        <c:title>
          <c:tx>
            <c:rich>
              <a:bodyPr rot="0"/>
              <a:lstStyle/>
              <a:p>
                <a:pPr>
                  <a:defRPr sz="1000" b="1" i="0" u="none" strike="noStrike">
                    <a:solidFill>
                      <a:srgbClr val="000000"/>
                    </a:solidFill>
                    <a:latin typeface="Verdana"/>
                  </a:defRPr>
                </a:pPr>
                <a:r>
                  <a:rPr lang="es-ES" sz="1000" b="1" i="0" u="none" strike="noStrike">
                    <a:solidFill>
                      <a:srgbClr val="000000"/>
                    </a:solidFill>
                    <a:latin typeface="Verdana"/>
                  </a:rPr>
                  <a:t>PUE</a:t>
                </a:r>
                <a:endParaRPr/>
              </a:p>
            </c:rich>
          </c:tx>
          <c:layout/>
          <c:overlay val="1"/>
        </c:title>
        <c:numFmt formatCode="0.00" sourceLinked="1"/>
        <c:majorTickMark val="out"/>
        <c:minorTickMark val="none"/>
        <c:tickLblPos val="nextTo"/>
        <c:spPr bwMode="auto">
          <a:prstGeom prst="rect">
            <a:avLst/>
          </a:prstGeom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277178784"/>
        <c:crosses val="autoZero"/>
        <c:crossBetween val="between"/>
        <c:majorUnit val="0.250000"/>
        <c:minorUnit val="0.125000"/>
      </c:valAx>
      <c:valAx>
        <c:axId val="277178784"/>
        <c:scaling>
          <c:orientation val="minMax"/>
          <c:min val="0.000000"/>
        </c:scaling>
        <c:delete val="0"/>
        <c:axPos val="l"/>
        <c:minorGridlines>
          <c:spPr bwMode="auto">
            <a:prstGeom prst="rect">
              <a:avLst/>
            </a:prstGeom>
            <a:ln w="12700" cap="flat">
              <a:solidFill>
                <a:srgbClr val="BABABA"/>
              </a:solidFill>
              <a:prstDash val="solid"/>
              <a:bevel/>
            </a:ln>
          </c:spPr>
        </c:minorGridlines>
        <c:numFmt formatCode="#,##0&quot;€&quot;" sourceLinked="0"/>
        <c:majorTickMark val="out"/>
        <c:minorTickMark val="none"/>
        <c:tickLblPos val="nextTo"/>
        <c:spPr bwMode="auto">
          <a:prstGeom prst="rect">
            <a:avLst/>
          </a:prstGeom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267557936"/>
        <c:crosses val="autoZero"/>
        <c:crossBetween val="between"/>
        <c:majorUnit val="75000.000000"/>
        <c:minorUnit val="37500.000000"/>
      </c:valAx>
      <c:spPr bwMode="auto"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079691"/>
          <c:y val="0.957612"/>
          <c:w val="0.910695"/>
          <c:h val="0.042388"/>
        </c:manualLayout>
      </c:layout>
      <c:overlay val="1"/>
      <c:spPr bwMode="auto">
        <a:prstGeom prst="rect">
          <a:avLst/>
        </a:prstGeom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  <a:ln w="9525" cap="flat">
      <a:solidFill>
        <a:srgbClr val="888888"/>
      </a:solidFill>
      <a:prstDash val="solid"/>
      <a:bevel/>
    </a:ln>
    <a:effectLst/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428866</xdr:colOff>
      <xdr:row>35</xdr:row>
      <xdr:rowOff>81326</xdr:rowOff>
    </xdr:from>
    <xdr:to>
      <xdr:col>12</xdr:col>
      <xdr:colOff>36045</xdr:colOff>
      <xdr:row>56</xdr:row>
      <xdr:rowOff>151766</xdr:rowOff>
    </xdr:to>
    <xdr:graphicFrame>
      <xdr:nvGraphicFramePr>
        <xdr:cNvPr id="2" name="Chart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blipFill>
          <a:blip r:embed="rId0"/>
          <a:tile algn="tl" flip="none" sx="100000" sy="100000" tx="0" ty="0"/>
        </a:blipFill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spDef>
    <a:lnDef>
      <a:spPr bwMode="auto">
        <a:prstGeom prst="rect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100" workbookViewId="0">
      <selection activeCell="B22" activeCellId="0" sqref="B22"/>
    </sheetView>
  </sheetViews>
  <sheetFormatPr baseColWidth="10" defaultColWidth="16.33203125" defaultRowHeight="18" customHeight="1"/>
  <cols>
    <col customWidth="1" min="1" max="1" style="1" width="51.83203125"/>
    <col customWidth="1" min="2" max="2" style="1" width="21"/>
    <col customWidth="1" min="3" max="3" style="1" width="4.6640625"/>
    <col customWidth="1" min="4" max="4" style="1" width="41.1640625"/>
    <col customWidth="1" min="5" max="5" style="1" width="20.83203125"/>
    <col customWidth="1" min="6" max="9" style="1" width="16.33203125"/>
    <col customWidth="1" min="10" max="256" width="16.33203125"/>
  </cols>
  <sheetData>
    <row r="1" ht="23.75" customHeight="1">
      <c r="A1" s="2"/>
      <c r="B1" s="2"/>
      <c r="C1" s="3"/>
      <c r="D1" s="2"/>
      <c r="E1" s="4"/>
      <c r="F1" s="4"/>
      <c r="G1" s="3"/>
      <c r="H1" s="3"/>
      <c r="I1" s="3"/>
    </row>
    <row r="2" ht="35" customHeight="1">
      <c r="A2" s="5" t="s">
        <v>0</v>
      </c>
      <c r="B2" s="6"/>
      <c r="C2" s="7"/>
      <c r="D2" s="8" t="s">
        <v>1</v>
      </c>
      <c r="E2" s="9" t="s">
        <v>2</v>
      </c>
      <c r="F2" s="10" t="s">
        <v>3</v>
      </c>
      <c r="G2" s="11"/>
      <c r="H2" s="3"/>
      <c r="I2" s="3"/>
    </row>
    <row r="3" ht="25" customHeight="1">
      <c r="A3" s="12" t="s">
        <v>4</v>
      </c>
      <c r="B3" s="13">
        <v>134</v>
      </c>
      <c r="C3" s="14"/>
      <c r="D3" s="15" t="s">
        <v>5</v>
      </c>
      <c r="E3" s="16">
        <f>Electricitat!F18</f>
        <v>35840.614765229438</v>
      </c>
      <c r="F3" s="16">
        <f>E3*5</f>
        <v>179203.07382614719</v>
      </c>
      <c r="G3" s="11"/>
      <c r="H3" s="3"/>
      <c r="I3" s="3"/>
    </row>
    <row r="4" ht="25" customHeight="1">
      <c r="A4" s="12" t="s">
        <v>6</v>
      </c>
      <c r="B4" s="13">
        <v>42</v>
      </c>
      <c r="C4" s="14"/>
      <c r="D4" s="10" t="s">
        <v>7</v>
      </c>
      <c r="E4" s="17" t="str">
        <f>IF(B20=1,"MOCOSA",IF(B20=2,"CPDs Céspedes",IF(B20=3,"Mordor","error")))</f>
        <v>Mordor</v>
      </c>
      <c r="F4" s="18"/>
      <c r="G4" s="3"/>
      <c r="H4" s="3"/>
      <c r="I4" s="3"/>
    </row>
    <row r="5" ht="39" customHeight="1">
      <c r="A5" s="12" t="s">
        <v>8</v>
      </c>
      <c r="B5" s="19">
        <v>180.5</v>
      </c>
      <c r="C5" s="14"/>
      <c r="D5" s="10" t="s">
        <v>9</v>
      </c>
      <c r="E5" s="16">
        <f>IF(B20=1,Infraestructura!J4,IF(B20=2,Infraestructura!J5,IF(B20=3,Infraestructura!J6,"error")))</f>
        <v>131376.09221478441</v>
      </c>
      <c r="F5" s="20">
        <f>E5*5</f>
        <v>656880.46107392199</v>
      </c>
      <c r="G5" s="11"/>
      <c r="H5" s="3"/>
      <c r="I5" s="3"/>
    </row>
    <row r="6" ht="25" customHeight="1">
      <c r="A6" s="12" t="s">
        <v>10</v>
      </c>
      <c r="B6" s="21">
        <v>0.070000000000000007</v>
      </c>
      <c r="C6" s="14"/>
      <c r="D6" s="10" t="s">
        <v>11</v>
      </c>
      <c r="E6" s="22" t="str">
        <f>IF(B16=1,"Microworks Azure M-A",IF(B16=2,"MonsoonS3 MS3",IF(B16=3,"Take the tapes and run","error")))</f>
        <v xml:space="preserve">Take the tapes and run</v>
      </c>
      <c r="F6" s="23"/>
      <c r="G6" s="24"/>
      <c r="H6" s="3"/>
      <c r="I6" s="3"/>
    </row>
    <row r="7" ht="25" customHeight="1">
      <c r="A7" s="12" t="s">
        <v>12</v>
      </c>
      <c r="B7" s="25">
        <v>60</v>
      </c>
      <c r="C7" s="14"/>
      <c r="D7" s="10" t="s">
        <v>13</v>
      </c>
      <c r="E7" s="16">
        <f>IF(B16=1,B17*Backup!L6,IF(B16=2,B17*Backup!L7,IF(B16=3,0,"error")))</f>
        <v>0</v>
      </c>
      <c r="F7" s="26">
        <f t="shared" ref="F7:F9" si="0">E7*5</f>
        <v>0</v>
      </c>
      <c r="G7" s="11"/>
      <c r="H7" s="3"/>
      <c r="I7" s="3"/>
    </row>
    <row r="8" ht="25" customHeight="1">
      <c r="A8" s="12" t="s">
        <v>14</v>
      </c>
      <c r="B8" s="27">
        <v>10000000</v>
      </c>
      <c r="C8" s="14"/>
      <c r="D8" s="10" t="s">
        <v>15</v>
      </c>
      <c r="E8" s="16">
        <f>Backup!M27</f>
        <v>43814.285714285717</v>
      </c>
      <c r="F8" s="16">
        <f t="shared" si="0"/>
        <v>219071.42857142858</v>
      </c>
      <c r="G8" s="11"/>
      <c r="H8" s="3"/>
      <c r="I8" s="3"/>
    </row>
    <row r="9" ht="25" customHeight="1">
      <c r="A9" s="12" t="s">
        <v>16</v>
      </c>
      <c r="B9" s="27">
        <v>7500000</v>
      </c>
      <c r="C9" s="14"/>
      <c r="D9" s="10" t="s">
        <v>17</v>
      </c>
      <c r="E9" s="16">
        <f>'Bandwidth provider'!F9</f>
        <v>1058.4000000000001</v>
      </c>
      <c r="F9" s="16">
        <f t="shared" si="0"/>
        <v>5292</v>
      </c>
      <c r="G9" s="11"/>
      <c r="H9" s="3"/>
      <c r="I9" s="3"/>
    </row>
    <row r="10" ht="25" customHeight="1">
      <c r="A10" s="28"/>
      <c r="B10" s="28"/>
      <c r="C10" s="3"/>
      <c r="D10" s="29"/>
      <c r="E10" s="30"/>
      <c r="F10" s="31"/>
      <c r="G10" s="3"/>
      <c r="H10" s="3"/>
      <c r="I10" s="3"/>
    </row>
    <row r="11" ht="25" customHeight="1">
      <c r="A11" s="32" t="s">
        <v>18</v>
      </c>
      <c r="B11" s="33"/>
      <c r="C11" s="7"/>
      <c r="D11" s="34" t="s">
        <v>19</v>
      </c>
      <c r="E11" s="9" t="s">
        <v>20</v>
      </c>
      <c r="F11" s="11"/>
      <c r="G11" s="3"/>
      <c r="H11" s="3"/>
      <c r="I11" s="3"/>
    </row>
    <row r="12" ht="25" customHeight="1">
      <c r="A12" s="35" t="s">
        <v>21</v>
      </c>
      <c r="B12" s="36"/>
      <c r="C12" s="14"/>
      <c r="D12" s="10" t="s">
        <v>22</v>
      </c>
      <c r="E12" s="16">
        <f>B9</f>
        <v>7500000</v>
      </c>
      <c r="F12" s="11"/>
      <c r="G12" s="3"/>
      <c r="H12" s="3"/>
      <c r="I12" s="3"/>
    </row>
    <row r="13" ht="25" customHeight="1">
      <c r="A13" s="12" t="s">
        <v>23</v>
      </c>
      <c r="B13" s="25">
        <v>500000</v>
      </c>
      <c r="C13" s="14"/>
      <c r="D13" s="10" t="s">
        <v>24</v>
      </c>
      <c r="E13" s="16">
        <f>SAN!B18</f>
        <v>0</v>
      </c>
      <c r="F13" s="11"/>
      <c r="G13" s="3"/>
      <c r="H13" s="3"/>
      <c r="I13" s="3"/>
    </row>
    <row r="14" ht="25" customHeight="1">
      <c r="A14" s="12" t="s">
        <v>25</v>
      </c>
      <c r="B14" s="25">
        <v>7</v>
      </c>
      <c r="C14" s="14"/>
      <c r="D14" s="10" t="s">
        <v>26</v>
      </c>
      <c r="E14" s="16">
        <f>'Cabina de discos'!K24+Backup!M29</f>
        <v>926490</v>
      </c>
      <c r="F14" s="11"/>
      <c r="G14" s="3"/>
      <c r="H14" s="3"/>
      <c r="I14" s="3"/>
    </row>
    <row r="15" ht="25" customHeight="1">
      <c r="A15" s="12" t="s">
        <v>27</v>
      </c>
      <c r="B15" s="25">
        <v>5</v>
      </c>
      <c r="C15" s="37"/>
      <c r="D15" s="31"/>
      <c r="E15" s="31"/>
      <c r="F15" s="3"/>
      <c r="G15" s="3"/>
      <c r="H15" s="3"/>
      <c r="I15" s="3"/>
    </row>
    <row r="16" ht="25" customHeight="1">
      <c r="A16" s="12" t="s">
        <v>28</v>
      </c>
      <c r="B16" s="25">
        <v>3</v>
      </c>
      <c r="C16" s="37"/>
      <c r="D16" s="3"/>
      <c r="E16" s="3"/>
      <c r="F16" s="3"/>
      <c r="G16" s="3"/>
      <c r="H16" s="3"/>
      <c r="I16" s="3"/>
    </row>
    <row r="17" ht="25" customHeight="1">
      <c r="A17" s="12" t="s">
        <v>29</v>
      </c>
      <c r="B17" s="25">
        <v>0</v>
      </c>
      <c r="C17" s="37"/>
      <c r="D17" s="3"/>
      <c r="E17" s="3"/>
      <c r="F17" s="3"/>
      <c r="G17" s="3"/>
      <c r="H17" s="3"/>
      <c r="I17" s="3"/>
    </row>
    <row r="18" ht="25" customHeight="1">
      <c r="A18" s="12" t="s">
        <v>30</v>
      </c>
      <c r="B18" s="25">
        <v>1</v>
      </c>
      <c r="C18" s="37"/>
      <c r="D18" s="2"/>
      <c r="E18" s="3"/>
      <c r="F18" s="3"/>
      <c r="G18" s="3"/>
      <c r="H18" s="3"/>
      <c r="I18" s="3"/>
    </row>
    <row r="19" ht="25" customHeight="1">
      <c r="A19" s="35" t="s">
        <v>31</v>
      </c>
      <c r="B19" s="36"/>
      <c r="C19" s="7"/>
      <c r="D19" s="34" t="s">
        <v>32</v>
      </c>
      <c r="E19" s="38"/>
      <c r="F19" s="3"/>
      <c r="G19" s="3"/>
      <c r="H19" s="3"/>
      <c r="I19" s="3"/>
    </row>
    <row r="20" ht="39" customHeight="1">
      <c r="A20" s="12" t="s">
        <v>33</v>
      </c>
      <c r="B20" s="25">
        <v>3</v>
      </c>
      <c r="C20" s="14"/>
      <c r="D20" s="10" t="s">
        <v>34</v>
      </c>
      <c r="E20" s="16">
        <f>SUM(F3:F9)</f>
        <v>1060446.9634714979</v>
      </c>
      <c r="F20" s="11"/>
      <c r="G20" s="3"/>
      <c r="H20" s="3"/>
      <c r="I20" s="3"/>
    </row>
    <row r="21" ht="25" customHeight="1">
      <c r="A21" s="12" t="s">
        <v>35</v>
      </c>
      <c r="B21" s="25">
        <v>1</v>
      </c>
      <c r="C21" s="14"/>
      <c r="D21" s="10" t="s">
        <v>36</v>
      </c>
      <c r="E21" s="16">
        <f>SUM(E12:E14)</f>
        <v>8426490</v>
      </c>
      <c r="F21" s="11"/>
      <c r="G21" s="3"/>
      <c r="H21" s="3"/>
      <c r="I21" s="3"/>
    </row>
    <row r="22" ht="25" customHeight="1">
      <c r="A22" s="12" t="s">
        <v>37</v>
      </c>
      <c r="B22" s="25">
        <v>1</v>
      </c>
      <c r="C22" s="14"/>
      <c r="D22" s="10" t="s">
        <v>38</v>
      </c>
      <c r="E22" s="16">
        <f>E20+E21</f>
        <v>9486936.9634714983</v>
      </c>
      <c r="F22" s="11"/>
      <c r="G22" s="3"/>
      <c r="H22" s="3"/>
      <c r="I22" s="3"/>
    </row>
    <row r="23" ht="25" customHeight="1">
      <c r="A23" s="35" t="s">
        <v>39</v>
      </c>
      <c r="B23" s="36"/>
      <c r="C23" s="14"/>
      <c r="D23" s="39" t="s">
        <v>40</v>
      </c>
      <c r="E23" s="40">
        <f>B8-E22</f>
        <v>513063.03652850166</v>
      </c>
      <c r="F23" s="11"/>
      <c r="G23" s="3"/>
      <c r="H23" s="3"/>
      <c r="I23" s="3"/>
    </row>
    <row r="24" ht="39" customHeight="1">
      <c r="A24" s="12" t="s">
        <v>41</v>
      </c>
      <c r="B24" s="25">
        <v>3</v>
      </c>
      <c r="C24" s="37"/>
      <c r="D24" s="31"/>
      <c r="E24" s="31"/>
      <c r="F24" s="3"/>
      <c r="G24" s="3"/>
      <c r="H24" s="3"/>
      <c r="I24" s="3"/>
    </row>
    <row r="25" ht="25" customHeight="1">
      <c r="A25" s="12" t="s">
        <v>42</v>
      </c>
      <c r="B25" s="25">
        <v>1</v>
      </c>
      <c r="C25" s="37"/>
      <c r="D25" s="3"/>
      <c r="E25" s="3"/>
      <c r="F25" s="3"/>
      <c r="G25" s="3"/>
      <c r="H25" s="3"/>
      <c r="I25" s="3"/>
    </row>
    <row r="26" ht="25" customHeight="1">
      <c r="A26" s="12" t="s">
        <v>43</v>
      </c>
      <c r="B26" s="25">
        <v>1</v>
      </c>
      <c r="C26" s="37"/>
      <c r="D26" s="3"/>
      <c r="E26" s="3"/>
      <c r="F26" s="3"/>
      <c r="G26" s="3"/>
      <c r="H26" s="3"/>
      <c r="I26" s="3"/>
    </row>
    <row r="27" ht="39" customHeight="1">
      <c r="A27" s="41" t="s">
        <v>44</v>
      </c>
      <c r="B27" s="25">
        <v>0</v>
      </c>
      <c r="C27" s="37"/>
      <c r="D27" s="3"/>
      <c r="E27" s="3"/>
      <c r="F27" s="3"/>
      <c r="G27" s="3"/>
      <c r="H27" s="3"/>
      <c r="I27" s="3"/>
    </row>
    <row r="28" ht="25" customHeight="1">
      <c r="A28" s="35" t="s">
        <v>45</v>
      </c>
      <c r="B28" s="36"/>
      <c r="C28" s="37"/>
      <c r="D28" s="3"/>
      <c r="E28" s="3"/>
      <c r="F28" s="3"/>
      <c r="G28" s="3"/>
      <c r="H28" s="3"/>
      <c r="I28" s="3"/>
    </row>
    <row r="29" ht="25" customHeight="1">
      <c r="A29" s="12" t="s">
        <v>46</v>
      </c>
      <c r="B29" s="25">
        <v>8</v>
      </c>
      <c r="C29" s="37"/>
      <c r="D29" s="3"/>
      <c r="E29" s="3"/>
      <c r="F29" s="3"/>
      <c r="G29" s="3"/>
      <c r="H29" s="3"/>
      <c r="I29" s="3"/>
    </row>
    <row r="30" ht="25" customHeight="1">
      <c r="A30" s="12" t="s">
        <v>47</v>
      </c>
      <c r="B30" s="25">
        <f>264+(4*B32)</f>
        <v>300</v>
      </c>
      <c r="C30" s="37"/>
      <c r="D30" s="3"/>
      <c r="E30" s="3"/>
      <c r="F30" s="3"/>
      <c r="G30" s="3"/>
      <c r="H30" s="3"/>
      <c r="I30" s="3"/>
    </row>
    <row r="31" ht="25" customHeight="1">
      <c r="A31" s="12" t="s">
        <v>48</v>
      </c>
      <c r="B31" s="25">
        <v>4</v>
      </c>
      <c r="C31" s="37"/>
      <c r="D31" s="3"/>
      <c r="E31" s="3"/>
      <c r="F31" s="3"/>
      <c r="G31" s="3"/>
      <c r="H31" s="3"/>
      <c r="I31" s="3"/>
    </row>
    <row r="32" ht="25" customHeight="1">
      <c r="A32" s="12" t="s">
        <v>49</v>
      </c>
      <c r="B32" s="25">
        <v>9</v>
      </c>
      <c r="C32" s="37"/>
      <c r="D32" s="3"/>
      <c r="E32" s="3"/>
      <c r="F32" s="3"/>
      <c r="G32" s="3"/>
      <c r="H32" s="3"/>
      <c r="I32" s="3"/>
    </row>
    <row r="33" ht="25" customHeight="1">
      <c r="A33" s="35" t="s">
        <v>50</v>
      </c>
      <c r="B33" s="36"/>
      <c r="C33" s="37"/>
      <c r="D33" s="3"/>
      <c r="E33" s="3"/>
      <c r="F33" s="3"/>
      <c r="G33" s="3"/>
      <c r="H33" s="3"/>
      <c r="I33" s="3"/>
    </row>
    <row r="34" ht="25" customHeight="1">
      <c r="A34" s="12" t="s">
        <v>51</v>
      </c>
      <c r="B34" s="25">
        <v>9</v>
      </c>
      <c r="C34" s="37"/>
      <c r="D34" s="3"/>
      <c r="E34" s="3"/>
      <c r="F34" s="3"/>
      <c r="G34" s="3"/>
      <c r="H34" s="3"/>
      <c r="I34" s="3"/>
    </row>
    <row r="35" ht="25" customHeight="1">
      <c r="A35" s="12" t="s">
        <v>47</v>
      </c>
      <c r="B35" s="25">
        <f>34+(4*B37)</f>
        <v>42</v>
      </c>
      <c r="C35" s="37"/>
      <c r="D35" s="3"/>
      <c r="E35" s="3"/>
      <c r="F35" s="3"/>
      <c r="G35" s="3"/>
      <c r="H35" s="3"/>
      <c r="I35" s="3"/>
    </row>
    <row r="36" ht="25" customHeight="1">
      <c r="A36" s="12" t="s">
        <v>48</v>
      </c>
      <c r="B36" s="25">
        <v>4</v>
      </c>
      <c r="C36" s="37"/>
      <c r="D36" s="3"/>
      <c r="E36" s="3"/>
      <c r="F36" s="3"/>
      <c r="G36" s="3"/>
      <c r="H36" s="3"/>
      <c r="I36" s="3"/>
    </row>
    <row r="37" ht="25" customHeight="1">
      <c r="A37" s="12" t="s">
        <v>49</v>
      </c>
      <c r="B37" s="25">
        <v>2</v>
      </c>
      <c r="C37" s="37"/>
      <c r="D37" s="3"/>
      <c r="E37" s="3"/>
      <c r="F37" s="3"/>
      <c r="G37" s="3"/>
      <c r="H37" s="3"/>
      <c r="I37" s="3"/>
    </row>
    <row r="38" ht="25" customHeight="1">
      <c r="A38" s="35" t="s">
        <v>52</v>
      </c>
      <c r="B38" s="36"/>
      <c r="C38" s="37"/>
      <c r="D38" s="3"/>
      <c r="E38" s="3"/>
      <c r="F38" s="3"/>
      <c r="G38" s="3"/>
      <c r="H38" s="3"/>
      <c r="I38" s="3"/>
    </row>
    <row r="39" ht="25" customHeight="1">
      <c r="A39" s="12" t="s">
        <v>51</v>
      </c>
      <c r="B39" s="25">
        <v>8</v>
      </c>
      <c r="C39" s="37"/>
      <c r="D39" s="3"/>
      <c r="E39" s="3"/>
      <c r="F39" s="3"/>
      <c r="G39" s="3"/>
      <c r="H39" s="3"/>
      <c r="I39" s="3"/>
    </row>
    <row r="40" ht="25" customHeight="1">
      <c r="A40" s="12" t="s">
        <v>47</v>
      </c>
      <c r="B40" s="25">
        <v>0</v>
      </c>
      <c r="C40" s="37"/>
      <c r="D40" s="3"/>
      <c r="E40" s="3"/>
      <c r="F40" s="3"/>
      <c r="G40" s="3"/>
      <c r="H40" s="3"/>
      <c r="I40" s="3"/>
    </row>
    <row r="41" ht="25" customHeight="1">
      <c r="A41" s="12" t="s">
        <v>48</v>
      </c>
      <c r="B41" s="25">
        <v>5</v>
      </c>
      <c r="C41" s="37"/>
      <c r="D41" s="3"/>
      <c r="E41" s="3"/>
      <c r="F41" s="3"/>
      <c r="G41" s="3"/>
      <c r="H41" s="3"/>
      <c r="I41" s="3"/>
    </row>
    <row r="42" ht="25" customHeight="1">
      <c r="A42" s="12" t="s">
        <v>49</v>
      </c>
      <c r="B42" s="25">
        <v>0</v>
      </c>
      <c r="C42" s="37"/>
      <c r="D42" s="3"/>
      <c r="E42" s="3"/>
      <c r="F42" s="3"/>
      <c r="G42" s="3"/>
      <c r="H42" s="3"/>
      <c r="I42" s="3"/>
    </row>
  </sheetData>
  <mergeCells count="8">
    <mergeCell ref="A2:B2"/>
    <mergeCell ref="A11:B11"/>
    <mergeCell ref="A12:B12"/>
    <mergeCell ref="A19:B19"/>
    <mergeCell ref="A23:B23"/>
    <mergeCell ref="A28:B28"/>
    <mergeCell ref="A33:B33"/>
    <mergeCell ref="A38:B38"/>
  </mergeCells>
  <printOptions headings="0" gridLines="0"/>
  <pageMargins left="1" right="1" top="1" bottom="1" header="0.25" footer="0.25"/>
  <pageSetup paperSize="9" scale="35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J24" activeCellId="0" sqref="J24"/>
    </sheetView>
  </sheetViews>
  <sheetFormatPr baseColWidth="10" defaultColWidth="12.83203125" defaultRowHeight="15.75" customHeight="1"/>
  <cols>
    <col customWidth="1" min="1" max="1" style="42" width="14.83203125"/>
    <col customWidth="1" min="2" max="2" style="42" width="14.5"/>
    <col customWidth="1" min="3" max="3" style="42" width="14.83203125"/>
    <col customWidth="1" min="4" max="4" style="42" width="12"/>
    <col customWidth="1" min="5" max="5" style="42" width="6.33203125"/>
    <col customWidth="1" min="6" max="6" style="42" width="6.6640625"/>
    <col customWidth="1" min="7" max="7" style="42" width="6"/>
    <col customWidth="1" min="8" max="8" style="42" width="8.1640625"/>
    <col customWidth="1" min="9" max="9" style="42" width="9.6640625"/>
    <col customWidth="1" min="10" max="10" style="42" width="13.33203125"/>
    <col customWidth="1" min="11" max="11" style="42" width="13"/>
    <col customWidth="1" min="12" max="12" style="42" width="13.83203125"/>
    <col customWidth="1" min="13" max="15" style="42" width="12.83203125"/>
    <col customWidth="1" min="16" max="256" width="12.83203125"/>
  </cols>
  <sheetData>
    <row r="1" ht="19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ht="19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ht="19" customHeight="1">
      <c r="A3" s="44"/>
      <c r="B3" s="44"/>
      <c r="C3" s="44"/>
      <c r="D3" s="44"/>
      <c r="E3" s="45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ht="19" customHeight="1">
      <c r="A4" s="46" t="s">
        <v>53</v>
      </c>
      <c r="B4" s="46" t="s">
        <v>54</v>
      </c>
      <c r="C4" s="46" t="s">
        <v>55</v>
      </c>
      <c r="D4" s="46" t="s">
        <v>56</v>
      </c>
      <c r="E4" s="46" t="s">
        <v>57</v>
      </c>
      <c r="F4" s="46" t="s">
        <v>58</v>
      </c>
      <c r="G4" s="46" t="s">
        <v>59</v>
      </c>
      <c r="H4" s="46" t="s">
        <v>8</v>
      </c>
      <c r="I4" s="46" t="s">
        <v>60</v>
      </c>
      <c r="J4" s="46" t="s">
        <v>61</v>
      </c>
      <c r="K4" s="46" t="s">
        <v>62</v>
      </c>
      <c r="L4" s="45"/>
      <c r="M4" s="45"/>
      <c r="N4" s="44"/>
      <c r="O4" s="45"/>
    </row>
    <row r="5" ht="19" customHeight="1">
      <c r="A5" s="47" t="s">
        <v>63</v>
      </c>
      <c r="B5" s="43">
        <f>IF(Resum!$B$29=1,1,0)</f>
        <v>0</v>
      </c>
      <c r="C5" s="43">
        <f>IF(Resum!$B$34=1,1,0)</f>
        <v>0</v>
      </c>
      <c r="D5" s="43">
        <f>IF(Resum!B39=1,1,0)</f>
        <v>0</v>
      </c>
      <c r="E5" s="43">
        <f>Resum!$B$30</f>
        <v>300</v>
      </c>
      <c r="F5" s="43">
        <f>Resum!$B$35</f>
        <v>42</v>
      </c>
      <c r="G5" s="43">
        <f>Resum!$B$40</f>
        <v>0</v>
      </c>
      <c r="H5" s="48">
        <v>6.7999999999999998</v>
      </c>
      <c r="I5" s="49">
        <v>235</v>
      </c>
      <c r="J5" s="48">
        <f t="shared" ref="J5:J14" si="1">H5*(B5*E5+C5*F5+D5*G5)</f>
        <v>0</v>
      </c>
      <c r="K5" s="49">
        <f t="shared" ref="K5:K14" si="2">I5*(B5*E5+C5*F5+D5*G5)</f>
        <v>0</v>
      </c>
      <c r="L5" s="43"/>
      <c r="M5" s="43"/>
      <c r="N5" s="43"/>
      <c r="O5" s="43"/>
    </row>
    <row r="6" ht="19" customHeight="1">
      <c r="A6" s="47" t="s">
        <v>64</v>
      </c>
      <c r="B6" s="43">
        <f>IF(Resum!$B$29=2,1,0)</f>
        <v>0</v>
      </c>
      <c r="C6" s="43">
        <f>IF(Resum!$B$34=2,1,0)</f>
        <v>0</v>
      </c>
      <c r="D6" s="43">
        <f>IF(Resum!B39=2,1,0)</f>
        <v>0</v>
      </c>
      <c r="E6" s="43">
        <f>Resum!$B$30</f>
        <v>300</v>
      </c>
      <c r="F6" s="43">
        <f>Resum!$B$35</f>
        <v>42</v>
      </c>
      <c r="G6" s="43">
        <f>Resum!$B$40</f>
        <v>0</v>
      </c>
      <c r="H6" s="48">
        <v>7.7999999999999998</v>
      </c>
      <c r="I6" s="49">
        <v>520</v>
      </c>
      <c r="J6" s="48">
        <f t="shared" si="1"/>
        <v>0</v>
      </c>
      <c r="K6" s="49">
        <f t="shared" si="2"/>
        <v>0</v>
      </c>
      <c r="L6" s="43"/>
      <c r="M6" s="43"/>
      <c r="N6" s="43"/>
      <c r="O6" s="43"/>
    </row>
    <row r="7" ht="19" customHeight="1">
      <c r="A7" s="47" t="s">
        <v>65</v>
      </c>
      <c r="B7" s="43">
        <f>IF(Resum!$B$29=3,1,0)</f>
        <v>0</v>
      </c>
      <c r="C7" s="43">
        <f>IF(Resum!$B$34=3,1,0)</f>
        <v>0</v>
      </c>
      <c r="D7" s="43">
        <f>IF(Resum!B39=3,1,0)</f>
        <v>0</v>
      </c>
      <c r="E7" s="43">
        <f>Resum!$B$30</f>
        <v>300</v>
      </c>
      <c r="F7" s="43">
        <f>Resum!$B$35</f>
        <v>42</v>
      </c>
      <c r="G7" s="43">
        <f>Resum!$B$40</f>
        <v>0</v>
      </c>
      <c r="H7" s="48">
        <v>9.5</v>
      </c>
      <c r="I7" s="49">
        <v>350</v>
      </c>
      <c r="J7" s="48">
        <f t="shared" si="1"/>
        <v>0</v>
      </c>
      <c r="K7" s="49">
        <f t="shared" si="2"/>
        <v>0</v>
      </c>
      <c r="L7" s="43"/>
      <c r="M7" s="43"/>
      <c r="N7" s="43"/>
      <c r="O7" s="43"/>
    </row>
    <row r="8" ht="19" customHeight="1">
      <c r="A8" s="47" t="s">
        <v>66</v>
      </c>
      <c r="B8" s="43">
        <f>IF(Resum!$B$29=4,1,0)</f>
        <v>0</v>
      </c>
      <c r="C8" s="43">
        <f>IF(Resum!$B$34=4,1,0)</f>
        <v>0</v>
      </c>
      <c r="D8" s="43">
        <f>IF(Resum!B39=4,1,0)</f>
        <v>0</v>
      </c>
      <c r="E8" s="43">
        <f>Resum!$B$30</f>
        <v>300</v>
      </c>
      <c r="F8" s="43">
        <f>Resum!$B$35</f>
        <v>42</v>
      </c>
      <c r="G8" s="43">
        <f>Resum!$B$40</f>
        <v>0</v>
      </c>
      <c r="H8" s="48">
        <v>7</v>
      </c>
      <c r="I8" s="49">
        <v>250</v>
      </c>
      <c r="J8" s="48">
        <f t="shared" si="1"/>
        <v>0</v>
      </c>
      <c r="K8" s="49">
        <f t="shared" si="2"/>
        <v>0</v>
      </c>
      <c r="L8" s="43"/>
      <c r="M8" s="43"/>
      <c r="N8" s="43"/>
      <c r="O8" s="43"/>
    </row>
    <row r="9" ht="19" customHeight="1">
      <c r="A9" s="47" t="s">
        <v>67</v>
      </c>
      <c r="B9" s="43">
        <f>IF(Resum!$B$29=5,1,0)</f>
        <v>0</v>
      </c>
      <c r="C9" s="43">
        <f>IF(Resum!$B$34=5,1,0)</f>
        <v>0</v>
      </c>
      <c r="D9" s="43">
        <f>IF(Resum!B39=5,1,0)</f>
        <v>0</v>
      </c>
      <c r="E9" s="43">
        <f>Resum!$B$30</f>
        <v>300</v>
      </c>
      <c r="F9" s="43">
        <f>Resum!$B$35</f>
        <v>42</v>
      </c>
      <c r="G9" s="43">
        <f>Resum!$B$40</f>
        <v>0</v>
      </c>
      <c r="H9" s="48">
        <v>7.0999999999999996</v>
      </c>
      <c r="I9" s="49">
        <v>360</v>
      </c>
      <c r="J9" s="48">
        <f t="shared" si="1"/>
        <v>0</v>
      </c>
      <c r="K9" s="49">
        <f t="shared" si="2"/>
        <v>0</v>
      </c>
      <c r="L9" s="43"/>
      <c r="M9" s="43"/>
      <c r="N9" s="43"/>
      <c r="O9" s="43"/>
    </row>
    <row r="10" ht="19" customHeight="1">
      <c r="A10" s="47" t="s">
        <v>68</v>
      </c>
      <c r="B10" s="43">
        <f>IF(Resum!$B$29=6,1,0)</f>
        <v>0</v>
      </c>
      <c r="C10" s="43">
        <f>IF(Resum!$B$34=6,1,0)</f>
        <v>0</v>
      </c>
      <c r="D10" s="43">
        <f>IF(Resum!B39=6,1,0)</f>
        <v>0</v>
      </c>
      <c r="E10" s="43">
        <f>Resum!$B$30</f>
        <v>300</v>
      </c>
      <c r="F10" s="43">
        <f>Resum!$B$35</f>
        <v>42</v>
      </c>
      <c r="G10" s="43">
        <f>Resum!$B$40</f>
        <v>0</v>
      </c>
      <c r="H10" s="48">
        <v>2.2000000000000002</v>
      </c>
      <c r="I10" s="49">
        <v>310</v>
      </c>
      <c r="J10" s="48">
        <f t="shared" si="1"/>
        <v>0</v>
      </c>
      <c r="K10" s="49">
        <f t="shared" si="2"/>
        <v>0</v>
      </c>
      <c r="L10" s="43"/>
      <c r="M10" s="43"/>
      <c r="N10" s="43"/>
      <c r="O10" s="43"/>
    </row>
    <row r="11" ht="19" customHeight="1">
      <c r="A11" s="47" t="s">
        <v>69</v>
      </c>
      <c r="B11" s="43">
        <f>IF(Resum!$B$29=7,1,0)</f>
        <v>0</v>
      </c>
      <c r="C11" s="43">
        <f>IF(Resum!$B$34=7,1,0)</f>
        <v>0</v>
      </c>
      <c r="D11" s="43">
        <f>IF(Resum!B39=7,1,0)</f>
        <v>0</v>
      </c>
      <c r="E11" s="43">
        <f>Resum!$B$30</f>
        <v>300</v>
      </c>
      <c r="F11" s="43">
        <f>Resum!$B$35</f>
        <v>42</v>
      </c>
      <c r="G11" s="43">
        <f>Resum!$B$40</f>
        <v>0</v>
      </c>
      <c r="H11" s="48">
        <v>5.7999999999999998</v>
      </c>
      <c r="I11" s="49">
        <v>195</v>
      </c>
      <c r="J11" s="48">
        <f t="shared" si="1"/>
        <v>0</v>
      </c>
      <c r="K11" s="49">
        <f t="shared" si="2"/>
        <v>0</v>
      </c>
      <c r="L11" s="43"/>
      <c r="M11" s="43"/>
      <c r="N11" s="43"/>
      <c r="O11" s="43"/>
    </row>
    <row r="12" ht="19" customHeight="1">
      <c r="A12" s="47" t="s">
        <v>70</v>
      </c>
      <c r="B12" s="43">
        <f>IF(Resum!$B$29=8,1,0)</f>
        <v>1</v>
      </c>
      <c r="C12" s="43">
        <f>IF(Resum!$B$34=8,1,0)</f>
        <v>0</v>
      </c>
      <c r="D12" s="43">
        <f>IF(Resum!B39=8,1,0)</f>
        <v>1</v>
      </c>
      <c r="E12" s="43">
        <f>Resum!$B$30</f>
        <v>300</v>
      </c>
      <c r="F12" s="43">
        <f>Resum!$B$35</f>
        <v>42</v>
      </c>
      <c r="G12" s="43">
        <f>Resum!$B$40</f>
        <v>0</v>
      </c>
      <c r="H12" s="48">
        <v>9</v>
      </c>
      <c r="I12" s="49">
        <v>372</v>
      </c>
      <c r="J12" s="48">
        <f t="shared" si="1"/>
        <v>2700</v>
      </c>
      <c r="K12" s="49">
        <f t="shared" si="2"/>
        <v>111600</v>
      </c>
      <c r="L12" s="43"/>
      <c r="M12" s="43"/>
      <c r="N12" s="43"/>
      <c r="O12" s="43"/>
    </row>
    <row r="13" ht="19" customHeight="1">
      <c r="A13" s="47" t="s">
        <v>71</v>
      </c>
      <c r="B13" s="43">
        <f>IF(Resum!$B$29=9,1,0)</f>
        <v>0</v>
      </c>
      <c r="C13" s="43">
        <f>IF(Resum!$B$34=9,1,0)</f>
        <v>1</v>
      </c>
      <c r="D13" s="43">
        <f>IF(Resum!B39=9,1,0)</f>
        <v>0</v>
      </c>
      <c r="E13" s="43">
        <f>Resum!$B$30</f>
        <v>300</v>
      </c>
      <c r="F13" s="43">
        <f>Resum!$B$35</f>
        <v>42</v>
      </c>
      <c r="G13" s="43">
        <f>Resum!$B$40</f>
        <v>0</v>
      </c>
      <c r="H13" s="48">
        <v>12</v>
      </c>
      <c r="I13" s="49">
        <v>1545</v>
      </c>
      <c r="J13" s="48">
        <f t="shared" si="1"/>
        <v>504</v>
      </c>
      <c r="K13" s="49">
        <f t="shared" si="2"/>
        <v>64890</v>
      </c>
      <c r="L13" s="43"/>
      <c r="M13" s="43"/>
      <c r="N13" s="43"/>
      <c r="O13" s="43"/>
    </row>
    <row r="14" ht="19" customHeight="1">
      <c r="A14" s="47" t="s">
        <v>72</v>
      </c>
      <c r="B14" s="43">
        <f>IF(Resum!$B$29=10,1,0)</f>
        <v>0</v>
      </c>
      <c r="C14" s="43">
        <f>IF(Resum!$B$34=10,1,0)</f>
        <v>0</v>
      </c>
      <c r="D14" s="43">
        <f>IF(Resum!B39=10,1,0)</f>
        <v>0</v>
      </c>
      <c r="E14" s="43">
        <f>Resum!$B$30</f>
        <v>300</v>
      </c>
      <c r="F14" s="43">
        <f>Resum!$B$35</f>
        <v>42</v>
      </c>
      <c r="G14" s="43">
        <f>Resum!$B$40</f>
        <v>0</v>
      </c>
      <c r="H14" s="48">
        <v>8</v>
      </c>
      <c r="I14" s="49">
        <v>750</v>
      </c>
      <c r="J14" s="48">
        <f t="shared" si="1"/>
        <v>0</v>
      </c>
      <c r="K14" s="49">
        <f t="shared" si="2"/>
        <v>0</v>
      </c>
      <c r="L14" s="43"/>
      <c r="M14" s="43"/>
      <c r="N14" s="43"/>
      <c r="O14" s="43"/>
    </row>
    <row r="15" ht="19" customHeight="1">
      <c r="A15" s="46" t="s">
        <v>73</v>
      </c>
      <c r="B15" s="43"/>
      <c r="C15" s="43"/>
      <c r="D15" s="43"/>
      <c r="E15" s="43"/>
      <c r="F15" s="43"/>
      <c r="G15" s="43"/>
      <c r="H15" s="43"/>
      <c r="I15" s="49"/>
      <c r="J15" s="48"/>
      <c r="K15" s="47" t="str">
        <f>IF(I15="","",I15*E15)</f>
        <v/>
      </c>
      <c r="L15" s="46" t="s">
        <v>74</v>
      </c>
      <c r="M15" s="46" t="s">
        <v>75</v>
      </c>
      <c r="N15" s="43"/>
      <c r="O15" s="43"/>
    </row>
    <row r="16" ht="19" customHeight="1">
      <c r="A16" s="47" t="s">
        <v>63</v>
      </c>
      <c r="B16" s="43">
        <f>IF(Resum!$B$31=1,1,0)</f>
        <v>0</v>
      </c>
      <c r="C16" s="43">
        <f>IF(Resum!$B$36=1,1,0)</f>
        <v>0</v>
      </c>
      <c r="D16" s="43">
        <f>IF(Resum!B41=1,1,0)</f>
        <v>0</v>
      </c>
      <c r="E16" s="43">
        <f>Resum!$B$32</f>
        <v>9</v>
      </c>
      <c r="F16" s="43">
        <f>Resum!$B$37</f>
        <v>2</v>
      </c>
      <c r="G16" s="43">
        <f>Resum!$B$42</f>
        <v>0</v>
      </c>
      <c r="H16" s="48">
        <v>800</v>
      </c>
      <c r="I16" s="49">
        <v>3400</v>
      </c>
      <c r="J16" s="48">
        <f t="shared" ref="J16:J21" si="3">H16*(B16*E16+C16*F16+D16*G16)</f>
        <v>0</v>
      </c>
      <c r="K16" s="49">
        <f t="shared" ref="K16:K21" si="4">I16*(B16*E16+C16*F16+D16*G16)</f>
        <v>0</v>
      </c>
      <c r="L16" s="43">
        <v>2</v>
      </c>
      <c r="M16" s="43">
        <f t="shared" ref="M16:M21" si="5">L16*(B16*E16+C16*F16+D16*G16)</f>
        <v>0</v>
      </c>
      <c r="N16" s="43"/>
      <c r="O16" s="43"/>
    </row>
    <row r="17" ht="19" customHeight="1">
      <c r="A17" s="47" t="s">
        <v>64</v>
      </c>
      <c r="B17" s="43">
        <f>IF(Resum!$B$31=2,1,0)</f>
        <v>0</v>
      </c>
      <c r="C17" s="43">
        <f>IF(Resum!$B$36=2,1,0)</f>
        <v>0</v>
      </c>
      <c r="D17" s="43">
        <f>IF(Resum!B41=2,1,0)</f>
        <v>0</v>
      </c>
      <c r="E17" s="43">
        <f>Resum!$B$32</f>
        <v>9</v>
      </c>
      <c r="F17" s="43">
        <f>Resum!$B$37</f>
        <v>2</v>
      </c>
      <c r="G17" s="43">
        <f>Resum!$B$42</f>
        <v>0</v>
      </c>
      <c r="H17" s="48">
        <v>1200</v>
      </c>
      <c r="I17" s="49">
        <v>4600</v>
      </c>
      <c r="J17" s="48">
        <f t="shared" si="3"/>
        <v>0</v>
      </c>
      <c r="K17" s="49">
        <f t="shared" si="4"/>
        <v>0</v>
      </c>
      <c r="L17" s="43">
        <v>4</v>
      </c>
      <c r="M17" s="43">
        <f t="shared" si="5"/>
        <v>0</v>
      </c>
      <c r="N17" s="43"/>
      <c r="O17" s="43"/>
    </row>
    <row r="18" ht="19" customHeight="1">
      <c r="A18" s="47" t="s">
        <v>65</v>
      </c>
      <c r="B18" s="43">
        <f>IF(Resum!$B$31=3,1,0)</f>
        <v>0</v>
      </c>
      <c r="C18" s="43">
        <f>IF(Resum!$B$36=3,1,0)</f>
        <v>0</v>
      </c>
      <c r="D18" s="43">
        <f>IF(Resum!B41=3,1,0)</f>
        <v>0</v>
      </c>
      <c r="E18" s="43">
        <f>Resum!$B$32</f>
        <v>9</v>
      </c>
      <c r="F18" s="43">
        <f>Resum!$B$37</f>
        <v>2</v>
      </c>
      <c r="G18" s="43">
        <f>Resum!$B$42</f>
        <v>0</v>
      </c>
      <c r="H18" s="48">
        <v>1216</v>
      </c>
      <c r="I18" s="49">
        <v>5100</v>
      </c>
      <c r="J18" s="48">
        <f t="shared" si="3"/>
        <v>0</v>
      </c>
      <c r="K18" s="49">
        <f t="shared" si="4"/>
        <v>0</v>
      </c>
      <c r="L18" s="43">
        <v>4</v>
      </c>
      <c r="M18" s="43">
        <f t="shared" si="5"/>
        <v>0</v>
      </c>
      <c r="N18" s="43"/>
      <c r="O18" s="43"/>
    </row>
    <row r="19" ht="19" customHeight="1">
      <c r="A19" s="47" t="s">
        <v>66</v>
      </c>
      <c r="B19" s="43">
        <f>IF(Resum!$B$31=4,1,0)</f>
        <v>1</v>
      </c>
      <c r="C19" s="43">
        <f>IF(Resum!$B$36=4,1,0)</f>
        <v>1</v>
      </c>
      <c r="D19" s="43">
        <f>IF(Resum!B41=4,1,0)</f>
        <v>0</v>
      </c>
      <c r="E19" s="43">
        <f>Resum!$B$32</f>
        <v>9</v>
      </c>
      <c r="F19" s="43">
        <f>Resum!$B$37</f>
        <v>2</v>
      </c>
      <c r="G19" s="43">
        <f>Resum!$B$42</f>
        <v>0</v>
      </c>
      <c r="H19" s="48">
        <v>1300</v>
      </c>
      <c r="I19" s="49">
        <v>5000</v>
      </c>
      <c r="J19" s="48">
        <f t="shared" si="3"/>
        <v>14300</v>
      </c>
      <c r="K19" s="49">
        <f t="shared" si="4"/>
        <v>55000</v>
      </c>
      <c r="L19" s="43">
        <v>4</v>
      </c>
      <c r="M19" s="43">
        <f t="shared" si="5"/>
        <v>44</v>
      </c>
      <c r="N19" s="43"/>
      <c r="O19" s="43"/>
    </row>
    <row r="20" ht="19" customHeight="1">
      <c r="A20" s="47" t="s">
        <v>67</v>
      </c>
      <c r="B20" s="43">
        <f>IF(Resum!$B$31=5,1,0)</f>
        <v>0</v>
      </c>
      <c r="C20" s="43">
        <f>IF(Resum!$B$36=5,1,0)</f>
        <v>0</v>
      </c>
      <c r="D20" s="43">
        <f>IF(Resum!B41=5,1,0)</f>
        <v>1</v>
      </c>
      <c r="E20" s="43">
        <f>Resum!$B$32</f>
        <v>9</v>
      </c>
      <c r="F20" s="43">
        <f>Resum!$B$37</f>
        <v>2</v>
      </c>
      <c r="G20" s="43">
        <f>Resum!$B$42</f>
        <v>0</v>
      </c>
      <c r="H20" s="48">
        <v>1316</v>
      </c>
      <c r="I20" s="49">
        <v>5500</v>
      </c>
      <c r="J20" s="48">
        <f t="shared" si="3"/>
        <v>0</v>
      </c>
      <c r="K20" s="49">
        <f t="shared" si="4"/>
        <v>0</v>
      </c>
      <c r="L20" s="43">
        <v>4</v>
      </c>
      <c r="M20" s="43">
        <f t="shared" si="5"/>
        <v>0</v>
      </c>
      <c r="N20" s="43"/>
      <c r="O20" s="43"/>
    </row>
    <row r="21" ht="19" customHeight="1">
      <c r="A21" s="47" t="s">
        <v>68</v>
      </c>
      <c r="B21" s="43">
        <f>IF(Resum!$B$31=6,1,0)</f>
        <v>0</v>
      </c>
      <c r="C21" s="43">
        <f>IF(Resum!$B$36=6,1,0)</f>
        <v>0</v>
      </c>
      <c r="D21" s="43">
        <f>IF(Resum!B41=6,1,0)</f>
        <v>0</v>
      </c>
      <c r="E21" s="43">
        <f>Resum!$B$32</f>
        <v>9</v>
      </c>
      <c r="F21" s="43">
        <f>Resum!$B$37</f>
        <v>2</v>
      </c>
      <c r="G21" s="43">
        <f>Resum!$B$42</f>
        <v>0</v>
      </c>
      <c r="H21" s="48">
        <v>1000</v>
      </c>
      <c r="I21" s="49">
        <v>2400</v>
      </c>
      <c r="J21" s="48">
        <f t="shared" si="3"/>
        <v>0</v>
      </c>
      <c r="K21" s="49">
        <f t="shared" si="4"/>
        <v>0</v>
      </c>
      <c r="L21" s="43">
        <v>4</v>
      </c>
      <c r="M21" s="43">
        <f t="shared" si="5"/>
        <v>0</v>
      </c>
      <c r="N21" s="43"/>
      <c r="O21" s="43"/>
    </row>
    <row r="22" ht="19" customHeight="1">
      <c r="A22" s="43"/>
      <c r="B22" s="43"/>
      <c r="C22" s="43"/>
      <c r="D22" s="43"/>
      <c r="E22" s="43"/>
      <c r="F22" s="48"/>
      <c r="G22" s="48"/>
      <c r="H22" s="49"/>
      <c r="I22" s="49"/>
      <c r="J22" s="48"/>
      <c r="K22" s="47" t="str">
        <f>IF(I22="","",I22*E22)</f>
        <v/>
      </c>
      <c r="L22" s="43"/>
      <c r="M22" s="43"/>
      <c r="N22" s="43"/>
      <c r="O22" s="43"/>
    </row>
    <row r="23" ht="19" customHeight="1">
      <c r="A23" s="43"/>
      <c r="B23" s="43"/>
      <c r="C23" s="43"/>
      <c r="D23" s="43"/>
      <c r="E23" s="43"/>
      <c r="F23" s="43"/>
      <c r="G23" s="43"/>
      <c r="H23" s="49"/>
      <c r="I23" s="49"/>
      <c r="J23" s="48"/>
      <c r="K23" s="49"/>
      <c r="L23" s="43"/>
      <c r="M23" s="43"/>
      <c r="N23" s="43"/>
      <c r="O23" s="43"/>
    </row>
    <row r="24" ht="19" customHeight="1">
      <c r="A24" s="44"/>
      <c r="B24" s="50" t="s">
        <v>76</v>
      </c>
      <c r="C24" s="45"/>
      <c r="D24" s="45"/>
      <c r="E24" s="45"/>
      <c r="F24" s="45"/>
      <c r="G24" s="45"/>
      <c r="H24" s="51"/>
      <c r="I24" s="51"/>
      <c r="J24" s="52">
        <f>SUM(J5:J22)/1000</f>
        <v>17.504000000000001</v>
      </c>
      <c r="K24" s="53">
        <f>SUM(K5:K22)</f>
        <v>231490</v>
      </c>
      <c r="L24" s="50" t="s">
        <v>77</v>
      </c>
      <c r="M24" s="54">
        <f>SUM(M16:M21)</f>
        <v>44</v>
      </c>
      <c r="N24" s="43"/>
      <c r="O24" s="43"/>
    </row>
    <row r="25" ht="19" customHeight="1">
      <c r="A25" s="44"/>
      <c r="B25" s="44"/>
      <c r="C25" s="45"/>
      <c r="D25" s="45"/>
      <c r="E25" s="45"/>
      <c r="F25" s="45"/>
      <c r="G25" s="45"/>
      <c r="H25" s="51"/>
      <c r="I25" s="51"/>
      <c r="J25" s="55"/>
      <c r="K25" s="51"/>
      <c r="L25" s="50" t="s">
        <v>73</v>
      </c>
      <c r="M25" s="56">
        <f>E16+F16+G16</f>
        <v>11</v>
      </c>
      <c r="N25" s="43"/>
      <c r="O25" s="43"/>
    </row>
    <row r="26" ht="19" customHeight="1">
      <c r="A26" s="44"/>
      <c r="B26" s="44"/>
      <c r="C26" s="45"/>
      <c r="D26" s="45"/>
      <c r="E26" s="45"/>
      <c r="F26" s="45"/>
      <c r="G26" s="45"/>
      <c r="H26" s="51"/>
      <c r="I26" s="51"/>
      <c r="J26" s="55"/>
      <c r="K26" s="51"/>
      <c r="L26" s="43"/>
      <c r="M26" s="43"/>
      <c r="N26" s="43"/>
      <c r="O26" s="43"/>
    </row>
    <row r="27" ht="19" customHeight="1">
      <c r="A27" s="44"/>
      <c r="B27" s="44"/>
      <c r="C27" s="45"/>
      <c r="D27" s="45"/>
      <c r="E27" s="45"/>
      <c r="F27" s="45"/>
      <c r="G27" s="45"/>
      <c r="H27" s="51"/>
      <c r="I27" s="51"/>
      <c r="J27" s="55"/>
      <c r="K27" s="51"/>
      <c r="L27" s="43"/>
      <c r="M27" s="43"/>
      <c r="N27" s="43"/>
      <c r="O27" s="43"/>
    </row>
    <row r="28" ht="19" customHeight="1">
      <c r="A28" s="44"/>
      <c r="B28" s="44"/>
      <c r="C28" s="45"/>
      <c r="D28" s="45"/>
      <c r="E28" s="45"/>
      <c r="F28" s="45"/>
      <c r="G28" s="45"/>
      <c r="H28" s="51"/>
      <c r="I28" s="51"/>
      <c r="J28" s="55"/>
      <c r="K28" s="51"/>
      <c r="L28" s="43"/>
      <c r="M28" s="43"/>
      <c r="N28" s="43"/>
      <c r="O28" s="43"/>
    </row>
    <row r="29" ht="19" customHeight="1">
      <c r="A29" s="44"/>
      <c r="B29" s="44"/>
      <c r="C29" s="45"/>
      <c r="D29" s="45"/>
      <c r="E29" s="45"/>
      <c r="F29" s="45"/>
      <c r="G29" s="45"/>
      <c r="H29" s="51"/>
      <c r="I29" s="51"/>
      <c r="J29" s="55"/>
      <c r="K29" s="51"/>
      <c r="L29" s="43"/>
      <c r="M29" s="43"/>
      <c r="N29" s="43"/>
      <c r="O29" s="43"/>
    </row>
  </sheetData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100" workbookViewId="0">
      <selection activeCell="D4" activeCellId="0" sqref="D4"/>
    </sheetView>
  </sheetViews>
  <sheetFormatPr baseColWidth="10" defaultColWidth="16.33203125" defaultRowHeight="20" customHeight="1"/>
  <cols>
    <col customWidth="1" min="1" max="1" style="1" width="19.83203125"/>
    <col customWidth="1" min="2" max="3" style="1" width="16.33203125"/>
    <col customWidth="1" min="4" max="4" style="1" width="22.5"/>
    <col customWidth="1" min="5" max="5" style="1" width="12.5"/>
    <col customWidth="1" min="6" max="6" style="1" width="11.83203125"/>
    <col customWidth="1" min="7" max="7" style="1" width="9"/>
    <col customWidth="1" min="8" max="8" style="1" width="14.6640625"/>
    <col customWidth="1" min="9" max="9" style="1" width="10.33203125"/>
    <col customWidth="1" min="10" max="256" width="16.33203125"/>
  </cols>
  <sheetData>
    <row r="1" ht="22.25" customHeight="1">
      <c r="A1" s="3"/>
      <c r="B1" s="3"/>
      <c r="C1" s="3"/>
      <c r="D1" s="3"/>
      <c r="E1" s="3"/>
      <c r="F1" s="57" t="s">
        <v>78</v>
      </c>
      <c r="G1" s="3"/>
      <c r="H1" s="57" t="s">
        <v>79</v>
      </c>
      <c r="I1" s="3"/>
    </row>
    <row r="2" ht="22.25" customHeight="1">
      <c r="A2" s="58" t="s">
        <v>80</v>
      </c>
      <c r="B2" s="3"/>
      <c r="C2" s="59" t="s">
        <v>81</v>
      </c>
      <c r="D2" s="57" t="s">
        <v>82</v>
      </c>
      <c r="E2" s="57" t="s">
        <v>83</v>
      </c>
      <c r="F2" s="57" t="s">
        <v>60</v>
      </c>
      <c r="G2" s="57" t="s">
        <v>8</v>
      </c>
      <c r="H2" s="57" t="s">
        <v>20</v>
      </c>
      <c r="I2" s="57" t="s">
        <v>8</v>
      </c>
    </row>
    <row r="3" ht="22.25" customHeight="1">
      <c r="A3" s="57" t="s">
        <v>84</v>
      </c>
      <c r="B3" s="60">
        <f>Resum!B7</f>
        <v>60</v>
      </c>
      <c r="C3" s="3">
        <f t="shared" ref="C3:C5" si="6">IF($B$6&lt;&gt;0,1,0)</f>
        <v>0</v>
      </c>
      <c r="D3" s="59" t="s">
        <v>85</v>
      </c>
      <c r="E3" s="3">
        <v>16</v>
      </c>
      <c r="F3" s="61">
        <v>400</v>
      </c>
      <c r="G3" s="62">
        <v>0.69999999999999996</v>
      </c>
      <c r="H3" s="61">
        <f t="shared" ref="H3:H5" si="7">E3*F3*C3</f>
        <v>0</v>
      </c>
      <c r="I3" s="62">
        <f t="shared" ref="I3:I13" si="8">G3*E3*C3</f>
        <v>0</v>
      </c>
    </row>
    <row r="4" ht="22.25" customHeight="1">
      <c r="A4" s="57" t="s">
        <v>86</v>
      </c>
      <c r="B4" s="63">
        <f>Resum!B4</f>
        <v>42</v>
      </c>
      <c r="C4" s="3">
        <f t="shared" si="6"/>
        <v>0</v>
      </c>
      <c r="D4" s="59" t="s">
        <v>87</v>
      </c>
      <c r="E4" s="3">
        <f>2*E19+B5*2</f>
        <v>8</v>
      </c>
      <c r="F4" s="61">
        <v>6000</v>
      </c>
      <c r="G4" s="62">
        <v>150</v>
      </c>
      <c r="H4" s="61">
        <f t="shared" si="7"/>
        <v>0</v>
      </c>
      <c r="I4" s="62">
        <f t="shared" si="8"/>
        <v>0</v>
      </c>
    </row>
    <row r="5" ht="36.25" customHeight="1">
      <c r="A5" s="57" t="s">
        <v>88</v>
      </c>
      <c r="B5" s="60">
        <f>ROUNDUP('Cabina de discos'!M24/B4,0)</f>
        <v>2</v>
      </c>
      <c r="C5" s="3">
        <f t="shared" si="6"/>
        <v>0</v>
      </c>
      <c r="D5" s="59" t="s">
        <v>89</v>
      </c>
      <c r="E5" s="3">
        <f>(B4-4)*2+E19+2+2</f>
        <v>82</v>
      </c>
      <c r="F5" s="61">
        <v>26</v>
      </c>
      <c r="G5" s="62">
        <v>0</v>
      </c>
      <c r="H5" s="61">
        <f t="shared" si="7"/>
        <v>0</v>
      </c>
      <c r="I5" s="62">
        <f t="shared" si="8"/>
        <v>0</v>
      </c>
    </row>
    <row r="6" ht="22.25" customHeight="1">
      <c r="A6" s="57" t="s">
        <v>90</v>
      </c>
      <c r="B6" s="60">
        <f>Resum!B27</f>
        <v>0</v>
      </c>
      <c r="C6" s="3">
        <f t="shared" ref="C6:C7" si="9">IF($B$6=1,1,0)</f>
        <v>0</v>
      </c>
      <c r="D6" s="59" t="s">
        <v>91</v>
      </c>
      <c r="E6" s="3">
        <f t="shared" ref="E6:E14" si="10">$B$3*2</f>
        <v>120</v>
      </c>
      <c r="F6" s="61">
        <v>1600</v>
      </c>
      <c r="G6" s="62">
        <v>6.2000000000000002</v>
      </c>
      <c r="H6" s="61">
        <f t="shared" ref="H6:H13" si="11">C6*E6*F6</f>
        <v>0</v>
      </c>
      <c r="I6" s="62">
        <f t="shared" si="8"/>
        <v>0</v>
      </c>
    </row>
    <row r="7" ht="22.25" customHeight="1">
      <c r="A7" s="3"/>
      <c r="B7" s="3"/>
      <c r="C7" s="3">
        <f t="shared" si="9"/>
        <v>0</v>
      </c>
      <c r="D7" s="59" t="s">
        <v>92</v>
      </c>
      <c r="E7" s="3">
        <v>2</v>
      </c>
      <c r="F7" s="61">
        <v>12800</v>
      </c>
      <c r="G7" s="62">
        <v>600</v>
      </c>
      <c r="H7" s="61">
        <f t="shared" si="11"/>
        <v>0</v>
      </c>
      <c r="I7" s="62">
        <f t="shared" si="8"/>
        <v>0</v>
      </c>
    </row>
    <row r="8" ht="22.25" customHeight="1">
      <c r="A8" s="3"/>
      <c r="B8" s="3"/>
      <c r="C8" s="3">
        <f t="shared" ref="C8:C9" si="12">IF($B$6=2,1,0)</f>
        <v>0</v>
      </c>
      <c r="D8" s="59" t="s">
        <v>93</v>
      </c>
      <c r="E8" s="3">
        <f t="shared" si="10"/>
        <v>120</v>
      </c>
      <c r="F8" s="61">
        <v>2800</v>
      </c>
      <c r="G8" s="62">
        <v>10.199999999999999</v>
      </c>
      <c r="H8" s="61">
        <f t="shared" si="11"/>
        <v>0</v>
      </c>
      <c r="I8" s="62">
        <f t="shared" si="8"/>
        <v>0</v>
      </c>
    </row>
    <row r="9" ht="22.25" customHeight="1">
      <c r="A9" s="3"/>
      <c r="B9" s="3"/>
      <c r="C9" s="3">
        <f t="shared" si="12"/>
        <v>0</v>
      </c>
      <c r="D9" s="59" t="s">
        <v>94</v>
      </c>
      <c r="E9" s="3">
        <v>2</v>
      </c>
      <c r="F9" s="61">
        <v>30000</v>
      </c>
      <c r="G9" s="62">
        <v>1800</v>
      </c>
      <c r="H9" s="61">
        <f t="shared" si="11"/>
        <v>0</v>
      </c>
      <c r="I9" s="62">
        <f t="shared" si="8"/>
        <v>0</v>
      </c>
    </row>
    <row r="10" ht="22.25" customHeight="1">
      <c r="A10" s="3"/>
      <c r="B10" s="3"/>
      <c r="C10" s="3">
        <f t="shared" ref="C10:C11" si="13">IF($B$6=3,1,0)</f>
        <v>0</v>
      </c>
      <c r="D10" s="59" t="s">
        <v>95</v>
      </c>
      <c r="E10" s="3">
        <f t="shared" si="10"/>
        <v>120</v>
      </c>
      <c r="F10" s="61">
        <v>4200</v>
      </c>
      <c r="G10" s="62">
        <v>18.5</v>
      </c>
      <c r="H10" s="61">
        <f t="shared" si="11"/>
        <v>0</v>
      </c>
      <c r="I10" s="62">
        <f t="shared" si="8"/>
        <v>0</v>
      </c>
    </row>
    <row r="11" ht="22.25" customHeight="1">
      <c r="A11" s="3"/>
      <c r="B11" s="3"/>
      <c r="C11" s="3">
        <f t="shared" si="13"/>
        <v>0</v>
      </c>
      <c r="D11" s="59" t="s">
        <v>96</v>
      </c>
      <c r="E11" s="3">
        <v>2</v>
      </c>
      <c r="F11" s="61">
        <v>72200</v>
      </c>
      <c r="G11" s="62">
        <v>3500</v>
      </c>
      <c r="H11" s="61">
        <f t="shared" si="11"/>
        <v>0</v>
      </c>
      <c r="I11" s="62">
        <f t="shared" si="8"/>
        <v>0</v>
      </c>
    </row>
    <row r="12" ht="22.25" customHeight="1">
      <c r="A12" s="3"/>
      <c r="B12" s="3"/>
      <c r="C12" s="3">
        <f t="shared" ref="C12:C13" si="14">IF($B$6=4,1,0)</f>
        <v>0</v>
      </c>
      <c r="D12" s="59" t="s">
        <v>97</v>
      </c>
      <c r="E12" s="3">
        <f t="shared" si="10"/>
        <v>120</v>
      </c>
      <c r="F12" s="61">
        <v>7000</v>
      </c>
      <c r="G12" s="62">
        <v>24.5</v>
      </c>
      <c r="H12" s="61">
        <f t="shared" si="11"/>
        <v>0</v>
      </c>
      <c r="I12" s="62">
        <f t="shared" si="8"/>
        <v>0</v>
      </c>
    </row>
    <row r="13" ht="22.25" customHeight="1">
      <c r="A13" s="3"/>
      <c r="B13" s="3"/>
      <c r="C13" s="3">
        <f t="shared" si="14"/>
        <v>0</v>
      </c>
      <c r="D13" s="59" t="s">
        <v>98</v>
      </c>
      <c r="E13" s="3">
        <v>2</v>
      </c>
      <c r="F13" s="61">
        <v>122200</v>
      </c>
      <c r="G13" s="62">
        <v>4600</v>
      </c>
      <c r="H13" s="61">
        <f t="shared" si="11"/>
        <v>0</v>
      </c>
      <c r="I13" s="62">
        <f t="shared" si="8"/>
        <v>0</v>
      </c>
    </row>
    <row r="14" ht="22.25" customHeight="1">
      <c r="A14" s="3"/>
      <c r="B14" s="3"/>
      <c r="C14" s="3">
        <f t="shared" ref="C14:C15" si="15">IF($B$6=5,1,0)</f>
        <v>0</v>
      </c>
      <c r="D14" s="59" t="s">
        <v>99</v>
      </c>
      <c r="E14" s="3">
        <f t="shared" si="10"/>
        <v>120</v>
      </c>
      <c r="F14" s="61">
        <v>11200</v>
      </c>
      <c r="G14" s="62">
        <v>30.5</v>
      </c>
      <c r="H14" s="61">
        <f t="shared" ref="H14:H15" si="16">C14*E14*F14</f>
        <v>0</v>
      </c>
      <c r="I14" s="62">
        <f t="shared" ref="I14:I15" si="17">G14*E14*C14</f>
        <v>0</v>
      </c>
    </row>
    <row r="15" ht="22.25" customHeight="1">
      <c r="A15" s="3"/>
      <c r="B15" s="3"/>
      <c r="C15" s="3">
        <f t="shared" si="15"/>
        <v>0</v>
      </c>
      <c r="D15" s="59" t="s">
        <v>100</v>
      </c>
      <c r="E15" s="3">
        <v>2</v>
      </c>
      <c r="F15" s="61">
        <v>150000</v>
      </c>
      <c r="G15" s="62">
        <v>5500</v>
      </c>
      <c r="H15" s="61">
        <f t="shared" si="16"/>
        <v>0</v>
      </c>
      <c r="I15" s="62">
        <f t="shared" si="17"/>
        <v>0</v>
      </c>
    </row>
    <row r="16" ht="22.25" customHeight="1">
      <c r="A16" s="3"/>
      <c r="B16" s="3"/>
      <c r="C16" s="3"/>
      <c r="D16" s="59"/>
      <c r="E16" s="3"/>
      <c r="F16" s="61"/>
      <c r="G16" s="62"/>
      <c r="H16" s="61"/>
      <c r="I16" s="62"/>
    </row>
    <row r="17" ht="22.25" customHeight="1">
      <c r="A17" s="58" t="s">
        <v>101</v>
      </c>
      <c r="B17" s="3"/>
      <c r="C17" s="3"/>
      <c r="D17" s="64" t="s">
        <v>102</v>
      </c>
      <c r="E17" s="3"/>
      <c r="F17" s="3"/>
      <c r="G17" s="3"/>
      <c r="H17" s="61">
        <f>SUM(H3:H16)</f>
        <v>0</v>
      </c>
      <c r="I17" s="62">
        <f>SUM(I3:I16)</f>
        <v>0</v>
      </c>
    </row>
    <row r="18" ht="22.25" customHeight="1">
      <c r="A18" s="57" t="s">
        <v>103</v>
      </c>
      <c r="B18" s="65">
        <f>H17</f>
        <v>0</v>
      </c>
      <c r="C18" s="3"/>
      <c r="D18" s="3"/>
      <c r="E18" s="3"/>
      <c r="F18" s="66"/>
      <c r="G18" s="62"/>
      <c r="H18" s="3"/>
      <c r="I18" s="62"/>
    </row>
    <row r="19" ht="22.25" customHeight="1">
      <c r="A19" s="57" t="s">
        <v>8</v>
      </c>
      <c r="B19" s="67">
        <f>I17/1000</f>
        <v>0</v>
      </c>
      <c r="C19" s="3"/>
      <c r="D19" s="59" t="s">
        <v>104</v>
      </c>
      <c r="E19" s="3">
        <f>MROUND(B3/(B4-4),1)</f>
        <v>2</v>
      </c>
      <c r="F19" s="3"/>
      <c r="G19" s="3"/>
      <c r="H19" s="3"/>
      <c r="I19" s="3"/>
    </row>
  </sheetData>
  <mergeCells count="5">
    <mergeCell ref="F1:G1"/>
    <mergeCell ref="H1:I1"/>
    <mergeCell ref="A2:B2"/>
    <mergeCell ref="A17:B17"/>
    <mergeCell ref="D17:G17"/>
  </mergeCells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B10" activeCellId="0" sqref="B10"/>
    </sheetView>
  </sheetViews>
  <sheetFormatPr baseColWidth="10" defaultColWidth="12.83203125" defaultRowHeight="15.75" customHeight="1"/>
  <cols>
    <col customWidth="1" min="1" max="1" style="42" width="44.33203125"/>
    <col customWidth="1" min="2" max="2" style="42" width="16.33203125"/>
    <col customWidth="1" min="3" max="3" style="42" width="12.83203125"/>
    <col customWidth="1" min="4" max="4" style="42" width="14"/>
    <col customWidth="1" min="5" max="5" style="42" width="16.83203125"/>
    <col customWidth="1" min="6" max="6" style="42" width="15.83203125"/>
    <col customWidth="1" min="7" max="8" style="42" width="12.83203125"/>
    <col customWidth="1" min="9" max="9" style="42" width="36.33203125"/>
    <col customWidth="1" min="10" max="15" style="42" width="12.83203125"/>
    <col customWidth="1" min="16" max="16" style="42" width="14.6640625"/>
    <col customWidth="1" min="17" max="17" style="42" width="17"/>
    <col customWidth="1" min="18" max="18" style="42" width="7"/>
    <col customWidth="1" min="19" max="20" style="42" width="12.83203125"/>
    <col customWidth="1" min="21" max="256" width="12.83203125"/>
  </cols>
  <sheetData>
    <row r="1" ht="18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ht="18" customHeight="1">
      <c r="A2" s="69" t="s">
        <v>105</v>
      </c>
      <c r="B2" s="70"/>
      <c r="C2" s="70"/>
      <c r="D2" s="70"/>
      <c r="E2" s="70"/>
      <c r="F2" s="70"/>
      <c r="G2" s="70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</row>
    <row r="3" ht="18.5" customHeight="1">
      <c r="A3" s="71" t="s">
        <v>106</v>
      </c>
      <c r="B3" s="72"/>
      <c r="C3" s="72"/>
      <c r="D3" s="72"/>
      <c r="E3" s="72"/>
      <c r="F3" s="72"/>
      <c r="G3" s="73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ht="19" customHeight="1">
      <c r="A4" s="74"/>
      <c r="B4" s="75" t="s">
        <v>107</v>
      </c>
      <c r="C4" s="76"/>
      <c r="D4" s="76"/>
      <c r="E4" s="76"/>
      <c r="F4" s="76"/>
      <c r="G4" s="76"/>
      <c r="H4" s="77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68"/>
    </row>
    <row r="5" ht="19" customHeight="1">
      <c r="A5" s="79"/>
      <c r="B5" s="75" t="s">
        <v>108</v>
      </c>
      <c r="C5" s="75" t="s">
        <v>109</v>
      </c>
      <c r="D5" s="75" t="s">
        <v>110</v>
      </c>
      <c r="E5" s="75" t="s">
        <v>111</v>
      </c>
      <c r="F5" s="75" t="s">
        <v>112</v>
      </c>
      <c r="G5" s="75" t="s">
        <v>113</v>
      </c>
      <c r="H5" s="80"/>
      <c r="I5" s="81" t="s">
        <v>114</v>
      </c>
      <c r="J5" s="79"/>
      <c r="K5" s="79"/>
      <c r="L5" s="79"/>
      <c r="M5" s="79"/>
      <c r="N5" s="79"/>
      <c r="O5" s="79"/>
      <c r="P5" s="79"/>
      <c r="Q5" s="79"/>
      <c r="R5" s="79"/>
      <c r="S5" s="79"/>
      <c r="T5" s="77"/>
    </row>
    <row r="6" ht="18" customHeight="1">
      <c r="A6" s="82" t="s">
        <v>115</v>
      </c>
      <c r="B6" s="83">
        <v>17.683102000000002</v>
      </c>
      <c r="C6" s="83">
        <v>8.8492049999999995</v>
      </c>
      <c r="D6" s="83">
        <v>6.4761480000000002</v>
      </c>
      <c r="E6" s="83">
        <v>6.4761480000000002</v>
      </c>
      <c r="F6" s="83">
        <v>6.4761480000000002</v>
      </c>
      <c r="G6" s="83">
        <v>2.9548369999999999</v>
      </c>
      <c r="H6" s="80"/>
      <c r="I6" s="79"/>
      <c r="J6" s="81" t="s">
        <v>108</v>
      </c>
      <c r="K6" s="81" t="s">
        <v>109</v>
      </c>
      <c r="L6" s="81" t="s">
        <v>110</v>
      </c>
      <c r="M6" s="81" t="s">
        <v>111</v>
      </c>
      <c r="N6" s="81" t="s">
        <v>112</v>
      </c>
      <c r="O6" s="81" t="s">
        <v>113</v>
      </c>
      <c r="P6" s="81" t="s">
        <v>116</v>
      </c>
      <c r="Q6" s="81" t="s">
        <v>117</v>
      </c>
      <c r="R6" s="81" t="s">
        <v>118</v>
      </c>
      <c r="S6" s="81" t="s">
        <v>119</v>
      </c>
      <c r="T6" s="77"/>
    </row>
    <row r="7" ht="18" customHeight="1">
      <c r="A7" s="82" t="s">
        <v>120</v>
      </c>
      <c r="B7" s="83">
        <v>0.075697</v>
      </c>
      <c r="C7" s="83">
        <v>0.056531999999999999</v>
      </c>
      <c r="D7" s="83">
        <v>0.030124000000000001</v>
      </c>
      <c r="E7" s="83">
        <v>0.014992</v>
      </c>
      <c r="F7" s="83">
        <v>0.0096819999999999996</v>
      </c>
      <c r="G7" s="83">
        <v>0.0060619999999999997</v>
      </c>
      <c r="H7" s="80"/>
      <c r="I7" s="81" t="s">
        <v>121</v>
      </c>
      <c r="J7" s="84">
        <v>6</v>
      </c>
      <c r="K7" s="79">
        <v>10</v>
      </c>
      <c r="L7" s="79">
        <v>0</v>
      </c>
      <c r="M7" s="79">
        <v>0</v>
      </c>
      <c r="N7" s="79">
        <v>0</v>
      </c>
      <c r="O7" s="79">
        <v>8</v>
      </c>
      <c r="P7" s="79">
        <v>23</v>
      </c>
      <c r="Q7" s="79">
        <v>8</v>
      </c>
      <c r="R7" s="79">
        <f t="shared" ref="R7:R20" si="18">P7+Q7</f>
        <v>31</v>
      </c>
      <c r="S7" s="85">
        <f t="shared" ref="S7:S19" si="19">R7*24</f>
        <v>744</v>
      </c>
      <c r="T7" s="77"/>
    </row>
    <row r="8" ht="19" customHeight="1">
      <c r="A8" s="86"/>
      <c r="B8" s="87"/>
      <c r="C8" s="86"/>
      <c r="D8" s="86"/>
      <c r="E8" s="86"/>
      <c r="F8" s="86"/>
      <c r="G8" s="88"/>
      <c r="H8" s="89"/>
      <c r="I8" s="81" t="s">
        <v>122</v>
      </c>
      <c r="J8" s="79">
        <v>6</v>
      </c>
      <c r="K8" s="79">
        <v>10</v>
      </c>
      <c r="L8" s="79">
        <v>0</v>
      </c>
      <c r="M8" s="79">
        <v>0</v>
      </c>
      <c r="N8" s="79">
        <v>0</v>
      </c>
      <c r="O8" s="79">
        <v>8</v>
      </c>
      <c r="P8" s="79">
        <v>20</v>
      </c>
      <c r="Q8" s="79">
        <v>8</v>
      </c>
      <c r="R8" s="79">
        <f t="shared" si="18"/>
        <v>28</v>
      </c>
      <c r="S8" s="85">
        <f t="shared" si="19"/>
        <v>672</v>
      </c>
      <c r="T8" s="77"/>
    </row>
    <row r="9" ht="19" customHeight="1">
      <c r="A9" s="90" t="s">
        <v>123</v>
      </c>
      <c r="B9" s="91">
        <f>Resum!B6</f>
        <v>0.070000000000000007</v>
      </c>
      <c r="C9" s="92" t="s">
        <v>124</v>
      </c>
      <c r="D9" s="43"/>
      <c r="E9" s="43"/>
      <c r="F9" s="43"/>
      <c r="G9" s="93"/>
      <c r="H9" s="89"/>
      <c r="I9" s="81" t="s">
        <v>125</v>
      </c>
      <c r="J9" s="79">
        <v>0</v>
      </c>
      <c r="K9" s="79">
        <v>0</v>
      </c>
      <c r="L9" s="79">
        <v>6</v>
      </c>
      <c r="M9" s="79">
        <v>10</v>
      </c>
      <c r="N9" s="79">
        <v>0</v>
      </c>
      <c r="O9" s="79">
        <v>8</v>
      </c>
      <c r="P9" s="79">
        <v>23</v>
      </c>
      <c r="Q9" s="79">
        <v>8</v>
      </c>
      <c r="R9" s="79">
        <f t="shared" si="18"/>
        <v>31</v>
      </c>
      <c r="S9" s="85">
        <f t="shared" si="19"/>
        <v>744</v>
      </c>
      <c r="T9" s="77"/>
    </row>
    <row r="10" ht="19" customHeight="1">
      <c r="A10" s="82" t="s">
        <v>126</v>
      </c>
      <c r="B10" s="94">
        <f>Resum!B5+'Cabina de discos'!J24+SAN!B19+Backup!H29</f>
        <v>199.50399999999999</v>
      </c>
      <c r="C10" s="92" t="s">
        <v>127</v>
      </c>
      <c r="D10" s="43"/>
      <c r="E10" s="43"/>
      <c r="F10" s="43"/>
      <c r="G10" s="93"/>
      <c r="H10" s="89"/>
      <c r="I10" s="81" t="s">
        <v>128</v>
      </c>
      <c r="J10" s="79">
        <v>0</v>
      </c>
      <c r="K10" s="79">
        <v>0</v>
      </c>
      <c r="L10" s="79">
        <v>0</v>
      </c>
      <c r="M10" s="79">
        <v>0</v>
      </c>
      <c r="N10" s="79">
        <v>16</v>
      </c>
      <c r="O10" s="79">
        <v>8</v>
      </c>
      <c r="P10" s="79">
        <v>22</v>
      </c>
      <c r="Q10" s="79">
        <v>8</v>
      </c>
      <c r="R10" s="79">
        <f t="shared" si="18"/>
        <v>30</v>
      </c>
      <c r="S10" s="85">
        <f t="shared" si="19"/>
        <v>720</v>
      </c>
      <c r="T10" s="77"/>
    </row>
    <row r="11" ht="19" customHeight="1">
      <c r="A11" s="95"/>
      <c r="B11" s="95"/>
      <c r="C11" s="43"/>
      <c r="D11" s="43"/>
      <c r="E11" s="43"/>
      <c r="F11" s="43"/>
      <c r="G11" s="93"/>
      <c r="H11" s="89"/>
      <c r="I11" s="81" t="s">
        <v>129</v>
      </c>
      <c r="J11" s="79">
        <v>0</v>
      </c>
      <c r="K11" s="79">
        <v>0</v>
      </c>
      <c r="L11" s="79">
        <v>0</v>
      </c>
      <c r="M11" s="79">
        <v>0</v>
      </c>
      <c r="N11" s="79">
        <v>16</v>
      </c>
      <c r="O11" s="79">
        <v>8</v>
      </c>
      <c r="P11" s="79">
        <v>23</v>
      </c>
      <c r="Q11" s="79">
        <v>8</v>
      </c>
      <c r="R11" s="79">
        <f t="shared" si="18"/>
        <v>31</v>
      </c>
      <c r="S11" s="85">
        <f t="shared" si="19"/>
        <v>744</v>
      </c>
      <c r="T11" s="77"/>
    </row>
    <row r="12" ht="19" customHeight="1">
      <c r="A12" s="96" t="s">
        <v>130</v>
      </c>
      <c r="B12" s="49"/>
      <c r="C12" s="43"/>
      <c r="D12" s="43"/>
      <c r="E12" s="43"/>
      <c r="F12" s="43"/>
      <c r="G12" s="93"/>
      <c r="H12" s="89"/>
      <c r="I12" s="81" t="s">
        <v>131</v>
      </c>
      <c r="J12" s="79">
        <v>0</v>
      </c>
      <c r="K12" s="79">
        <v>0</v>
      </c>
      <c r="L12" s="79">
        <v>6</v>
      </c>
      <c r="M12" s="79">
        <v>10</v>
      </c>
      <c r="N12" s="79">
        <v>0</v>
      </c>
      <c r="O12" s="79">
        <v>8</v>
      </c>
      <c r="P12" s="79">
        <v>11</v>
      </c>
      <c r="Q12" s="79">
        <v>4</v>
      </c>
      <c r="R12" s="79">
        <f t="shared" si="18"/>
        <v>15</v>
      </c>
      <c r="S12" s="85">
        <f t="shared" si="19"/>
        <v>360</v>
      </c>
      <c r="T12" s="77"/>
    </row>
    <row r="13" ht="19" customHeight="1">
      <c r="A13" s="97"/>
      <c r="B13" s="98"/>
      <c r="C13" s="97"/>
      <c r="D13" s="97"/>
      <c r="E13" s="97"/>
      <c r="F13" s="97"/>
      <c r="G13" s="99"/>
      <c r="H13" s="89"/>
      <c r="I13" s="81" t="s">
        <v>132</v>
      </c>
      <c r="J13" s="79">
        <v>8</v>
      </c>
      <c r="K13" s="79">
        <v>8</v>
      </c>
      <c r="L13" s="79">
        <v>0</v>
      </c>
      <c r="M13" s="79">
        <v>0</v>
      </c>
      <c r="N13" s="79">
        <v>0</v>
      </c>
      <c r="O13" s="79">
        <v>8</v>
      </c>
      <c r="P13" s="79">
        <v>11</v>
      </c>
      <c r="Q13" s="79">
        <v>4</v>
      </c>
      <c r="R13" s="79">
        <f t="shared" si="18"/>
        <v>15</v>
      </c>
      <c r="S13" s="85">
        <f t="shared" si="19"/>
        <v>360</v>
      </c>
      <c r="T13" s="77"/>
    </row>
    <row r="14" ht="19" customHeight="1">
      <c r="A14" s="100" t="s">
        <v>133</v>
      </c>
      <c r="B14" s="68"/>
      <c r="C14" s="68"/>
      <c r="D14" s="68"/>
      <c r="E14" s="68"/>
      <c r="F14" s="68"/>
      <c r="G14" s="68"/>
      <c r="H14" s="89"/>
      <c r="I14" s="81" t="s">
        <v>134</v>
      </c>
      <c r="J14" s="79">
        <v>8</v>
      </c>
      <c r="K14" s="79">
        <v>8</v>
      </c>
      <c r="L14" s="79">
        <v>0</v>
      </c>
      <c r="M14" s="79">
        <v>0</v>
      </c>
      <c r="N14" s="79">
        <v>0</v>
      </c>
      <c r="O14" s="79">
        <v>8</v>
      </c>
      <c r="P14" s="79">
        <v>23</v>
      </c>
      <c r="Q14" s="79">
        <v>8</v>
      </c>
      <c r="R14" s="79">
        <f t="shared" si="18"/>
        <v>31</v>
      </c>
      <c r="S14" s="85">
        <f t="shared" si="19"/>
        <v>744</v>
      </c>
      <c r="T14" s="77"/>
    </row>
    <row r="15" ht="19" customHeight="1">
      <c r="A15" s="68"/>
      <c r="B15" s="101"/>
      <c r="C15" s="68"/>
      <c r="D15" s="68"/>
      <c r="E15" s="68"/>
      <c r="F15" s="68"/>
      <c r="G15" s="68"/>
      <c r="H15" s="89"/>
      <c r="I15" s="81" t="s">
        <v>135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24</v>
      </c>
      <c r="P15" s="79">
        <v>23</v>
      </c>
      <c r="Q15" s="79">
        <v>8</v>
      </c>
      <c r="R15" s="79">
        <f t="shared" si="18"/>
        <v>31</v>
      </c>
      <c r="S15" s="85">
        <f t="shared" si="19"/>
        <v>744</v>
      </c>
      <c r="T15" s="77"/>
    </row>
    <row r="16" ht="19" customHeight="1">
      <c r="A16" s="78"/>
      <c r="B16" s="78"/>
      <c r="C16" s="78"/>
      <c r="D16" s="78"/>
      <c r="E16" s="78"/>
      <c r="F16" s="78"/>
      <c r="G16" s="68"/>
      <c r="H16" s="89"/>
      <c r="I16" s="81" t="s">
        <v>136</v>
      </c>
      <c r="J16" s="79">
        <v>0</v>
      </c>
      <c r="K16" s="79">
        <v>0</v>
      </c>
      <c r="L16" s="79">
        <v>6</v>
      </c>
      <c r="M16" s="79">
        <v>10</v>
      </c>
      <c r="N16" s="79">
        <v>0</v>
      </c>
      <c r="O16" s="79">
        <v>8</v>
      </c>
      <c r="P16" s="79">
        <v>22</v>
      </c>
      <c r="Q16" s="79">
        <v>8</v>
      </c>
      <c r="R16" s="79">
        <f t="shared" si="18"/>
        <v>30</v>
      </c>
      <c r="S16" s="85">
        <f t="shared" si="19"/>
        <v>720</v>
      </c>
      <c r="T16" s="77"/>
    </row>
    <row r="17" ht="47.25" customHeight="1">
      <c r="A17" s="102" t="s">
        <v>137</v>
      </c>
      <c r="B17" s="103" t="s">
        <v>138</v>
      </c>
      <c r="C17" s="104" t="s">
        <v>139</v>
      </c>
      <c r="D17" s="103" t="s">
        <v>140</v>
      </c>
      <c r="E17" s="103" t="s">
        <v>141</v>
      </c>
      <c r="F17" s="105" t="s">
        <v>142</v>
      </c>
      <c r="G17" s="106" t="s">
        <v>143</v>
      </c>
      <c r="H17" s="89"/>
      <c r="I17" s="81" t="s">
        <v>144</v>
      </c>
      <c r="J17" s="79">
        <v>0</v>
      </c>
      <c r="K17" s="79">
        <v>0</v>
      </c>
      <c r="L17" s="79">
        <v>6</v>
      </c>
      <c r="M17" s="79">
        <v>10</v>
      </c>
      <c r="N17" s="79">
        <v>0</v>
      </c>
      <c r="O17" s="79">
        <v>8</v>
      </c>
      <c r="P17" s="79">
        <v>23</v>
      </c>
      <c r="Q17" s="79">
        <v>8</v>
      </c>
      <c r="R17" s="79">
        <f t="shared" si="18"/>
        <v>31</v>
      </c>
      <c r="S17" s="85">
        <f t="shared" si="19"/>
        <v>744</v>
      </c>
      <c r="T17" s="77"/>
    </row>
    <row r="18" ht="19" customHeight="1">
      <c r="A18" s="107">
        <v>1</v>
      </c>
      <c r="B18" s="108">
        <f t="shared" ref="B18:B38" si="20">$B$10*A18</f>
        <v>199.50399999999999</v>
      </c>
      <c r="C18" s="109">
        <f t="shared" ref="C18:C38" si="21">B18*(1+$B$9)</f>
        <v>213.46928</v>
      </c>
      <c r="D18" s="110">
        <f>SUM(B6:G6*C18)</f>
        <v>1382.45865073344</v>
      </c>
      <c r="E18" s="110">
        <f t="shared" ref="E18:E38" si="22">($J$38*$B$7+$K$38*$C$7+$L$38*$D$7+$M$38*$E$7+$N$38*$F$7+$O$38*$G$7+$P$38*$G$7)*B18</f>
        <v>34458.156114496</v>
      </c>
      <c r="F18" s="111">
        <f t="shared" ref="F18:F38" si="23">D18+E18</f>
        <v>35840.614765229438</v>
      </c>
      <c r="G18" s="112">
        <f t="shared" ref="G18:G38" si="24">1-$F$18/F18</f>
        <v>0</v>
      </c>
      <c r="H18" s="89"/>
      <c r="I18" s="81" t="s">
        <v>145</v>
      </c>
      <c r="J18" s="79">
        <v>0</v>
      </c>
      <c r="K18" s="79">
        <v>0</v>
      </c>
      <c r="L18" s="79">
        <v>6</v>
      </c>
      <c r="M18" s="79">
        <v>10</v>
      </c>
      <c r="N18" s="79">
        <v>0</v>
      </c>
      <c r="O18" s="79">
        <v>8</v>
      </c>
      <c r="P18" s="79">
        <v>22</v>
      </c>
      <c r="Q18" s="79">
        <v>8</v>
      </c>
      <c r="R18" s="79">
        <f t="shared" si="18"/>
        <v>30</v>
      </c>
      <c r="S18" s="85">
        <f t="shared" si="19"/>
        <v>720</v>
      </c>
      <c r="T18" s="77"/>
    </row>
    <row r="19" ht="19" customHeight="1">
      <c r="A19" s="113">
        <v>1.05</v>
      </c>
      <c r="B19" s="114">
        <f t="shared" si="20"/>
        <v>209.47919999999999</v>
      </c>
      <c r="C19" s="115">
        <f t="shared" si="21"/>
        <v>224.14274399999999</v>
      </c>
      <c r="D19" s="116">
        <v>1721.3454115905599</v>
      </c>
      <c r="E19" s="116">
        <f t="shared" si="22"/>
        <v>36181.063920220797</v>
      </c>
      <c r="F19" s="117">
        <f t="shared" si="23"/>
        <v>37902.409331811359</v>
      </c>
      <c r="G19" s="118">
        <f t="shared" si="24"/>
        <v>0.054397453959515563</v>
      </c>
      <c r="H19" s="89"/>
      <c r="I19" s="81" t="s">
        <v>146</v>
      </c>
      <c r="J19" s="79">
        <v>6</v>
      </c>
      <c r="K19" s="79">
        <v>10</v>
      </c>
      <c r="L19" s="79">
        <v>0</v>
      </c>
      <c r="M19" s="79">
        <v>0</v>
      </c>
      <c r="N19" s="79">
        <v>0</v>
      </c>
      <c r="O19" s="79">
        <v>8</v>
      </c>
      <c r="P19" s="79">
        <v>23</v>
      </c>
      <c r="Q19" s="79">
        <v>7</v>
      </c>
      <c r="R19" s="79">
        <f t="shared" si="18"/>
        <v>30</v>
      </c>
      <c r="S19" s="85">
        <f t="shared" si="19"/>
        <v>720</v>
      </c>
      <c r="T19" s="77"/>
    </row>
    <row r="20" ht="19" customHeight="1">
      <c r="A20" s="113">
        <v>1.1000000000000001</v>
      </c>
      <c r="B20" s="114">
        <f t="shared" si="20"/>
        <v>219.45440000000002</v>
      </c>
      <c r="C20" s="115">
        <f t="shared" si="21"/>
        <v>234.81620800000005</v>
      </c>
      <c r="D20" s="116">
        <v>1803.314240713921</v>
      </c>
      <c r="E20" s="116">
        <f t="shared" si="22"/>
        <v>37903.971725945601</v>
      </c>
      <c r="F20" s="117">
        <f t="shared" si="23"/>
        <v>39707.285966659525</v>
      </c>
      <c r="G20" s="118">
        <f t="shared" si="24"/>
        <v>0.097379387870446754</v>
      </c>
      <c r="H20" s="68"/>
      <c r="I20" s="119"/>
      <c r="J20" s="119"/>
      <c r="K20" s="119"/>
      <c r="L20" s="119"/>
      <c r="M20" s="119"/>
      <c r="N20" s="119"/>
      <c r="O20" s="119"/>
      <c r="P20" s="120">
        <f>SUM(P7:P19)</f>
        <v>269</v>
      </c>
      <c r="Q20" s="120">
        <f>SUM(Q7:Q19)</f>
        <v>95</v>
      </c>
      <c r="R20" s="120">
        <f t="shared" si="18"/>
        <v>364</v>
      </c>
      <c r="S20" s="120">
        <f>SUM(S7:S19)</f>
        <v>8736</v>
      </c>
      <c r="T20" s="68"/>
    </row>
    <row r="21" ht="19" customHeight="1">
      <c r="A21" s="113">
        <v>1.1499999999999999</v>
      </c>
      <c r="B21" s="114">
        <f t="shared" si="20"/>
        <v>229.42959999999997</v>
      </c>
      <c r="C21" s="115">
        <f t="shared" si="21"/>
        <v>245.48967199999998</v>
      </c>
      <c r="D21" s="116">
        <v>1885.28306983728</v>
      </c>
      <c r="E21" s="116">
        <f t="shared" si="22"/>
        <v>39626.879531670391</v>
      </c>
      <c r="F21" s="117">
        <f t="shared" si="23"/>
        <v>41512.162601507669</v>
      </c>
      <c r="G21" s="118">
        <f t="shared" si="24"/>
        <v>0.13662376231086182</v>
      </c>
      <c r="H21" s="68"/>
      <c r="I21" s="78"/>
      <c r="J21" s="78"/>
      <c r="K21" s="78"/>
      <c r="L21" s="78"/>
      <c r="M21" s="78"/>
      <c r="N21" s="78"/>
      <c r="O21" s="78"/>
      <c r="P21" s="78"/>
      <c r="Q21" s="68"/>
      <c r="R21" s="68"/>
      <c r="S21" s="68"/>
      <c r="T21" s="68"/>
    </row>
    <row r="22" ht="19" customHeight="1">
      <c r="A22" s="113">
        <v>1.2</v>
      </c>
      <c r="B22" s="114">
        <f t="shared" si="20"/>
        <v>239.40479999999997</v>
      </c>
      <c r="C22" s="115">
        <f t="shared" si="21"/>
        <v>256.16313599999995</v>
      </c>
      <c r="D22" s="116">
        <v>1967.2518989606399</v>
      </c>
      <c r="E22" s="116">
        <f t="shared" si="22"/>
        <v>41349.787337395195</v>
      </c>
      <c r="F22" s="117">
        <f t="shared" si="23"/>
        <v>43317.039236355835</v>
      </c>
      <c r="G22" s="118">
        <f t="shared" si="24"/>
        <v>0.17259777221457606</v>
      </c>
      <c r="H22" s="89"/>
      <c r="I22" s="81" t="s">
        <v>147</v>
      </c>
      <c r="J22" s="79"/>
      <c r="K22" s="79"/>
      <c r="L22" s="79"/>
      <c r="M22" s="79"/>
      <c r="N22" s="79"/>
      <c r="O22" s="79"/>
      <c r="P22" s="79"/>
      <c r="Q22" s="77"/>
      <c r="R22" s="68"/>
      <c r="S22" s="68"/>
      <c r="T22" s="68"/>
    </row>
    <row r="23" ht="19" customHeight="1">
      <c r="A23" s="113">
        <v>1.25</v>
      </c>
      <c r="B23" s="114">
        <f t="shared" si="20"/>
        <v>249.38</v>
      </c>
      <c r="C23" s="115">
        <f t="shared" si="21"/>
        <v>266.83660000000003</v>
      </c>
      <c r="D23" s="116">
        <v>2049.2207280839998</v>
      </c>
      <c r="E23" s="116">
        <f t="shared" si="22"/>
        <v>43072.69514312</v>
      </c>
      <c r="F23" s="117">
        <f t="shared" si="23"/>
        <v>45121.915871204001</v>
      </c>
      <c r="G23" s="118">
        <f t="shared" si="24"/>
        <v>0.2056938613259931</v>
      </c>
      <c r="H23" s="89"/>
      <c r="I23" s="79"/>
      <c r="J23" s="81" t="s">
        <v>108</v>
      </c>
      <c r="K23" s="81" t="s">
        <v>109</v>
      </c>
      <c r="L23" s="81" t="s">
        <v>110</v>
      </c>
      <c r="M23" s="81" t="s">
        <v>111</v>
      </c>
      <c r="N23" s="81" t="s">
        <v>112</v>
      </c>
      <c r="O23" s="81" t="s">
        <v>113</v>
      </c>
      <c r="P23" s="81" t="s">
        <v>148</v>
      </c>
      <c r="Q23" s="77"/>
      <c r="R23" s="68"/>
      <c r="S23" s="68"/>
      <c r="T23" s="68"/>
    </row>
    <row r="24" ht="18" customHeight="1">
      <c r="A24" s="113">
        <v>1.3</v>
      </c>
      <c r="B24" s="114">
        <f t="shared" si="20"/>
        <v>259.35520000000002</v>
      </c>
      <c r="C24" s="115">
        <f t="shared" si="21"/>
        <v>277.51006400000006</v>
      </c>
      <c r="D24" s="116">
        <v>2131.1895572073599</v>
      </c>
      <c r="E24" s="116">
        <f t="shared" si="22"/>
        <v>44795.602948844804</v>
      </c>
      <c r="F24" s="117">
        <f t="shared" si="23"/>
        <v>46926.792506052167</v>
      </c>
      <c r="G24" s="118">
        <f t="shared" si="24"/>
        <v>0.23624409742883956</v>
      </c>
      <c r="H24" s="89"/>
      <c r="I24" s="81" t="s">
        <v>121</v>
      </c>
      <c r="J24" s="84">
        <f t="shared" ref="J24:O36" si="25">J7*$P7</f>
        <v>138</v>
      </c>
      <c r="K24" s="84">
        <f t="shared" si="25"/>
        <v>230</v>
      </c>
      <c r="L24" s="84">
        <f t="shared" si="25"/>
        <v>0</v>
      </c>
      <c r="M24" s="84">
        <f t="shared" si="25"/>
        <v>0</v>
      </c>
      <c r="N24" s="84">
        <f t="shared" si="25"/>
        <v>0</v>
      </c>
      <c r="O24" s="84">
        <f t="shared" si="25"/>
        <v>184</v>
      </c>
      <c r="P24" s="84">
        <f t="shared" ref="P24:P36" si="26">$Q7*24</f>
        <v>192</v>
      </c>
      <c r="Q24" s="77"/>
      <c r="R24" s="68"/>
      <c r="S24" s="68"/>
      <c r="T24" s="68"/>
    </row>
    <row r="25" ht="18" customHeight="1">
      <c r="A25" s="113">
        <v>1.3500000000000001</v>
      </c>
      <c r="B25" s="114">
        <f t="shared" si="20"/>
        <v>269.3304</v>
      </c>
      <c r="C25" s="115">
        <f t="shared" si="21"/>
        <v>288.18352800000002</v>
      </c>
      <c r="D25" s="116">
        <v>2213.158386330721</v>
      </c>
      <c r="E25" s="116">
        <f t="shared" si="22"/>
        <v>46518.510754569601</v>
      </c>
      <c r="F25" s="117">
        <f t="shared" si="23"/>
        <v>48731.669140900325</v>
      </c>
      <c r="G25" s="118">
        <f t="shared" si="24"/>
        <v>0.26453135307962328</v>
      </c>
      <c r="H25" s="89"/>
      <c r="I25" s="81" t="s">
        <v>122</v>
      </c>
      <c r="J25" s="84">
        <f t="shared" si="25"/>
        <v>120</v>
      </c>
      <c r="K25" s="84">
        <f t="shared" si="25"/>
        <v>200</v>
      </c>
      <c r="L25" s="84">
        <f t="shared" si="25"/>
        <v>0</v>
      </c>
      <c r="M25" s="84">
        <f t="shared" si="25"/>
        <v>0</v>
      </c>
      <c r="N25" s="84">
        <f t="shared" si="25"/>
        <v>0</v>
      </c>
      <c r="O25" s="84">
        <f t="shared" si="25"/>
        <v>160</v>
      </c>
      <c r="P25" s="84">
        <f t="shared" si="26"/>
        <v>192</v>
      </c>
      <c r="Q25" s="77"/>
      <c r="R25" s="68"/>
      <c r="S25" s="68"/>
      <c r="T25" s="68"/>
    </row>
    <row r="26" ht="18" customHeight="1">
      <c r="A26" s="113">
        <v>1.3999999999999999</v>
      </c>
      <c r="B26" s="114">
        <f t="shared" si="20"/>
        <v>279.30559999999997</v>
      </c>
      <c r="C26" s="115">
        <f t="shared" si="21"/>
        <v>298.85699199999999</v>
      </c>
      <c r="D26" s="116">
        <v>2295.1272154540811</v>
      </c>
      <c r="E26" s="116">
        <f t="shared" si="22"/>
        <v>48241.418560294391</v>
      </c>
      <c r="F26" s="117">
        <f t="shared" si="23"/>
        <v>50536.545775748469</v>
      </c>
      <c r="G26" s="118">
        <f t="shared" si="24"/>
        <v>0.29079809046963656</v>
      </c>
      <c r="H26" s="89"/>
      <c r="I26" s="81" t="s">
        <v>125</v>
      </c>
      <c r="J26" s="84">
        <f t="shared" si="25"/>
        <v>0</v>
      </c>
      <c r="K26" s="84">
        <f t="shared" si="25"/>
        <v>0</v>
      </c>
      <c r="L26" s="84">
        <f t="shared" si="25"/>
        <v>138</v>
      </c>
      <c r="M26" s="84">
        <f t="shared" si="25"/>
        <v>230</v>
      </c>
      <c r="N26" s="84">
        <f t="shared" si="25"/>
        <v>0</v>
      </c>
      <c r="O26" s="84">
        <f t="shared" si="25"/>
        <v>184</v>
      </c>
      <c r="P26" s="84">
        <f t="shared" si="26"/>
        <v>192</v>
      </c>
      <c r="Q26" s="77"/>
      <c r="R26" s="68"/>
      <c r="S26" s="68"/>
      <c r="T26" s="68"/>
    </row>
    <row r="27" ht="18" customHeight="1">
      <c r="A27" s="113">
        <v>1.45</v>
      </c>
      <c r="B27" s="114">
        <f t="shared" si="20"/>
        <v>289.2808</v>
      </c>
      <c r="C27" s="115">
        <f t="shared" si="21"/>
        <v>309.53045600000002</v>
      </c>
      <c r="D27" s="116">
        <v>2377.0960445774399</v>
      </c>
      <c r="E27" s="116">
        <f t="shared" si="22"/>
        <v>49964.326366019195</v>
      </c>
      <c r="F27" s="117">
        <f t="shared" si="23"/>
        <v>52341.422410596635</v>
      </c>
      <c r="G27" s="118">
        <f t="shared" si="24"/>
        <v>0.31525332872930434</v>
      </c>
      <c r="H27" s="89"/>
      <c r="I27" s="81" t="s">
        <v>128</v>
      </c>
      <c r="J27" s="84">
        <f t="shared" si="25"/>
        <v>0</v>
      </c>
      <c r="K27" s="84">
        <f t="shared" si="25"/>
        <v>0</v>
      </c>
      <c r="L27" s="84">
        <f t="shared" si="25"/>
        <v>0</v>
      </c>
      <c r="M27" s="84">
        <f t="shared" si="25"/>
        <v>0</v>
      </c>
      <c r="N27" s="84">
        <f t="shared" si="25"/>
        <v>352</v>
      </c>
      <c r="O27" s="84">
        <f t="shared" si="25"/>
        <v>176</v>
      </c>
      <c r="P27" s="84">
        <f t="shared" si="26"/>
        <v>192</v>
      </c>
      <c r="Q27" s="77"/>
      <c r="R27" s="68"/>
      <c r="S27" s="68"/>
      <c r="T27" s="68"/>
    </row>
    <row r="28" ht="18" customHeight="1">
      <c r="A28" s="113">
        <v>1.5</v>
      </c>
      <c r="B28" s="114">
        <f t="shared" si="20"/>
        <v>299.25599999999997</v>
      </c>
      <c r="C28" s="115">
        <f t="shared" si="21"/>
        <v>320.20391999999998</v>
      </c>
      <c r="D28" s="116">
        <v>2459.0648737008</v>
      </c>
      <c r="E28" s="116">
        <f t="shared" si="22"/>
        <v>51687.234171743992</v>
      </c>
      <c r="F28" s="117">
        <f t="shared" si="23"/>
        <v>54146.299045444794</v>
      </c>
      <c r="G28" s="118">
        <f t="shared" si="24"/>
        <v>0.33807821777166081</v>
      </c>
      <c r="H28" s="89"/>
      <c r="I28" s="81" t="s">
        <v>129</v>
      </c>
      <c r="J28" s="84">
        <f t="shared" si="25"/>
        <v>0</v>
      </c>
      <c r="K28" s="84">
        <f t="shared" si="25"/>
        <v>0</v>
      </c>
      <c r="L28" s="84">
        <f t="shared" si="25"/>
        <v>0</v>
      </c>
      <c r="M28" s="84">
        <f t="shared" si="25"/>
        <v>0</v>
      </c>
      <c r="N28" s="84">
        <f t="shared" si="25"/>
        <v>368</v>
      </c>
      <c r="O28" s="84">
        <f t="shared" si="25"/>
        <v>184</v>
      </c>
      <c r="P28" s="84">
        <f t="shared" si="26"/>
        <v>192</v>
      </c>
      <c r="Q28" s="77"/>
      <c r="R28" s="68"/>
      <c r="S28" s="68"/>
      <c r="T28" s="68"/>
    </row>
    <row r="29" ht="18" customHeight="1">
      <c r="A29" s="113">
        <v>1.55</v>
      </c>
      <c r="B29" s="114">
        <f t="shared" si="20"/>
        <v>309.2312</v>
      </c>
      <c r="C29" s="115">
        <f t="shared" si="21"/>
        <v>330.87738400000001</v>
      </c>
      <c r="D29" s="116">
        <v>2541.0337028241611</v>
      </c>
      <c r="E29" s="116">
        <f t="shared" si="22"/>
        <v>53410.141977468797</v>
      </c>
      <c r="F29" s="117">
        <f t="shared" si="23"/>
        <v>55951.175680292959</v>
      </c>
      <c r="G29" s="118">
        <f t="shared" si="24"/>
        <v>0.35943053332741381</v>
      </c>
      <c r="H29" s="89"/>
      <c r="I29" s="81" t="s">
        <v>131</v>
      </c>
      <c r="J29" s="84">
        <f t="shared" si="25"/>
        <v>0</v>
      </c>
      <c r="K29" s="84">
        <f t="shared" si="25"/>
        <v>0</v>
      </c>
      <c r="L29" s="84">
        <f t="shared" si="25"/>
        <v>66</v>
      </c>
      <c r="M29" s="84">
        <f t="shared" si="25"/>
        <v>110</v>
      </c>
      <c r="N29" s="84">
        <f t="shared" si="25"/>
        <v>0</v>
      </c>
      <c r="O29" s="84">
        <f t="shared" si="25"/>
        <v>88</v>
      </c>
      <c r="P29" s="84">
        <f t="shared" si="26"/>
        <v>96</v>
      </c>
      <c r="Q29" s="77"/>
      <c r="R29" s="68"/>
      <c r="S29" s="68"/>
      <c r="T29" s="68"/>
    </row>
    <row r="30" ht="18" customHeight="1">
      <c r="A30" s="113">
        <v>1.6000000000000001</v>
      </c>
      <c r="B30" s="114">
        <f t="shared" si="20"/>
        <v>319.20640000000003</v>
      </c>
      <c r="C30" s="115">
        <f t="shared" si="21"/>
        <v>341.55084800000003</v>
      </c>
      <c r="D30" s="116">
        <v>2623.0025319475199</v>
      </c>
      <c r="E30" s="116">
        <f t="shared" si="22"/>
        <v>55133.049783193601</v>
      </c>
      <c r="F30" s="117">
        <f t="shared" si="23"/>
        <v>57756.052315141118</v>
      </c>
      <c r="G30" s="118">
        <f t="shared" si="24"/>
        <v>0.37944832916093207</v>
      </c>
      <c r="H30" s="89"/>
      <c r="I30" s="81" t="s">
        <v>132</v>
      </c>
      <c r="J30" s="84">
        <f t="shared" si="25"/>
        <v>88</v>
      </c>
      <c r="K30" s="84">
        <f t="shared" si="25"/>
        <v>88</v>
      </c>
      <c r="L30" s="84">
        <f t="shared" si="25"/>
        <v>0</v>
      </c>
      <c r="M30" s="84">
        <f t="shared" si="25"/>
        <v>0</v>
      </c>
      <c r="N30" s="84">
        <f t="shared" si="25"/>
        <v>0</v>
      </c>
      <c r="O30" s="84">
        <f t="shared" si="25"/>
        <v>88</v>
      </c>
      <c r="P30" s="84">
        <f t="shared" si="26"/>
        <v>96</v>
      </c>
      <c r="Q30" s="77"/>
      <c r="R30" s="68"/>
      <c r="S30" s="68"/>
      <c r="T30" s="68"/>
    </row>
    <row r="31" ht="18" customHeight="1">
      <c r="A31" s="113">
        <v>1.6499999999999999</v>
      </c>
      <c r="B31" s="114">
        <f t="shared" si="20"/>
        <v>329.18159999999995</v>
      </c>
      <c r="C31" s="115">
        <f t="shared" si="21"/>
        <v>352.22431199999994</v>
      </c>
      <c r="D31" s="116">
        <v>2704.97136107088</v>
      </c>
      <c r="E31" s="116">
        <f t="shared" si="22"/>
        <v>56855.957588918391</v>
      </c>
      <c r="F31" s="117">
        <f t="shared" si="23"/>
        <v>59560.928949989269</v>
      </c>
      <c r="G31" s="118">
        <f t="shared" si="24"/>
        <v>0.39825292524696432</v>
      </c>
      <c r="H31" s="89"/>
      <c r="I31" s="81" t="s">
        <v>134</v>
      </c>
      <c r="J31" s="84">
        <f t="shared" si="25"/>
        <v>184</v>
      </c>
      <c r="K31" s="84">
        <f t="shared" si="25"/>
        <v>184</v>
      </c>
      <c r="L31" s="84">
        <f t="shared" si="25"/>
        <v>0</v>
      </c>
      <c r="M31" s="84">
        <f t="shared" si="25"/>
        <v>0</v>
      </c>
      <c r="N31" s="84">
        <f t="shared" si="25"/>
        <v>0</v>
      </c>
      <c r="O31" s="84">
        <f t="shared" si="25"/>
        <v>184</v>
      </c>
      <c r="P31" s="84">
        <f t="shared" si="26"/>
        <v>192</v>
      </c>
      <c r="Q31" s="77"/>
      <c r="R31" s="68"/>
      <c r="S31" s="68"/>
      <c r="T31" s="68"/>
    </row>
    <row r="32" ht="18" customHeight="1">
      <c r="A32" s="113">
        <v>1.7</v>
      </c>
      <c r="B32" s="114">
        <f t="shared" si="20"/>
        <v>339.15679999999998</v>
      </c>
      <c r="C32" s="115">
        <f t="shared" si="21"/>
        <v>362.89777600000002</v>
      </c>
      <c r="D32" s="116">
        <v>2786.940190194241</v>
      </c>
      <c r="E32" s="116">
        <f t="shared" si="22"/>
        <v>58578.865394643195</v>
      </c>
      <c r="F32" s="117">
        <f t="shared" si="23"/>
        <v>61365.805584837435</v>
      </c>
      <c r="G32" s="118">
        <f t="shared" si="24"/>
        <v>0.41595136862205373</v>
      </c>
      <c r="H32" s="89"/>
      <c r="I32" s="81" t="s">
        <v>135</v>
      </c>
      <c r="J32" s="84">
        <f t="shared" si="25"/>
        <v>0</v>
      </c>
      <c r="K32" s="84">
        <f t="shared" si="25"/>
        <v>0</v>
      </c>
      <c r="L32" s="84">
        <f t="shared" si="25"/>
        <v>0</v>
      </c>
      <c r="M32" s="84">
        <f t="shared" si="25"/>
        <v>0</v>
      </c>
      <c r="N32" s="84">
        <f t="shared" si="25"/>
        <v>0</v>
      </c>
      <c r="O32" s="84">
        <f t="shared" si="25"/>
        <v>552</v>
      </c>
      <c r="P32" s="84">
        <f t="shared" si="26"/>
        <v>192</v>
      </c>
      <c r="Q32" s="77"/>
      <c r="R32" s="68"/>
      <c r="S32" s="68"/>
      <c r="T32" s="68"/>
    </row>
    <row r="33" ht="18" customHeight="1">
      <c r="A33" s="113">
        <v>1.75</v>
      </c>
      <c r="B33" s="114">
        <f t="shared" si="20"/>
        <v>349.13200000000001</v>
      </c>
      <c r="C33" s="115">
        <f t="shared" si="21"/>
        <v>373.57124000000005</v>
      </c>
      <c r="D33" s="116">
        <v>2868.9090193176012</v>
      </c>
      <c r="E33" s="116">
        <f t="shared" si="22"/>
        <v>60301.773200367999</v>
      </c>
      <c r="F33" s="117">
        <f t="shared" si="23"/>
        <v>63170.682219685601</v>
      </c>
      <c r="G33" s="118">
        <f t="shared" si="24"/>
        <v>0.43263847237570929</v>
      </c>
      <c r="H33" s="89"/>
      <c r="I33" s="81" t="s">
        <v>136</v>
      </c>
      <c r="J33" s="84">
        <f t="shared" si="25"/>
        <v>0</v>
      </c>
      <c r="K33" s="84">
        <f t="shared" si="25"/>
        <v>0</v>
      </c>
      <c r="L33" s="84">
        <f t="shared" si="25"/>
        <v>132</v>
      </c>
      <c r="M33" s="84">
        <f t="shared" si="25"/>
        <v>220</v>
      </c>
      <c r="N33" s="84">
        <f t="shared" si="25"/>
        <v>0</v>
      </c>
      <c r="O33" s="84">
        <f t="shared" si="25"/>
        <v>176</v>
      </c>
      <c r="P33" s="84">
        <f t="shared" si="26"/>
        <v>192</v>
      </c>
      <c r="Q33" s="77"/>
      <c r="R33" s="68"/>
      <c r="S33" s="68"/>
      <c r="T33" s="68"/>
    </row>
    <row r="34" ht="18" customHeight="1">
      <c r="A34" s="113">
        <v>1.8</v>
      </c>
      <c r="B34" s="114">
        <f t="shared" si="20"/>
        <v>359.10719999999998</v>
      </c>
      <c r="C34" s="115">
        <f t="shared" si="21"/>
        <v>384.24470400000001</v>
      </c>
      <c r="D34" s="116">
        <v>2950.87784844096</v>
      </c>
      <c r="E34" s="116">
        <f t="shared" si="22"/>
        <v>62024.681006092796</v>
      </c>
      <c r="F34" s="117">
        <f t="shared" si="23"/>
        <v>64975.55885453376</v>
      </c>
      <c r="G34" s="118">
        <f t="shared" si="24"/>
        <v>0.44839851480971737</v>
      </c>
      <c r="H34" s="89"/>
      <c r="I34" s="81" t="s">
        <v>144</v>
      </c>
      <c r="J34" s="84">
        <f t="shared" si="25"/>
        <v>0</v>
      </c>
      <c r="K34" s="84">
        <f t="shared" si="25"/>
        <v>0</v>
      </c>
      <c r="L34" s="84">
        <f t="shared" si="25"/>
        <v>138</v>
      </c>
      <c r="M34" s="84">
        <f t="shared" si="25"/>
        <v>230</v>
      </c>
      <c r="N34" s="84">
        <f t="shared" si="25"/>
        <v>0</v>
      </c>
      <c r="O34" s="84">
        <f t="shared" si="25"/>
        <v>184</v>
      </c>
      <c r="P34" s="84">
        <f t="shared" si="26"/>
        <v>192</v>
      </c>
      <c r="Q34" s="77"/>
      <c r="R34" s="68"/>
      <c r="S34" s="68"/>
      <c r="T34" s="68"/>
    </row>
    <row r="35" ht="18" customHeight="1">
      <c r="A35" s="113">
        <v>1.8500000000000001</v>
      </c>
      <c r="B35" s="114">
        <f t="shared" si="20"/>
        <v>369.08240000000001</v>
      </c>
      <c r="C35" s="115">
        <f t="shared" si="21"/>
        <v>394.91816800000004</v>
      </c>
      <c r="D35" s="116">
        <v>3032.846677564321</v>
      </c>
      <c r="E35" s="116">
        <f t="shared" si="22"/>
        <v>63747.588811817601</v>
      </c>
      <c r="F35" s="117">
        <f t="shared" si="23"/>
        <v>66780.435489381925</v>
      </c>
      <c r="G35" s="118">
        <f t="shared" si="24"/>
        <v>0.46330666305810342</v>
      </c>
      <c r="H35" s="89"/>
      <c r="I35" s="81" t="s">
        <v>145</v>
      </c>
      <c r="J35" s="84">
        <f t="shared" si="25"/>
        <v>0</v>
      </c>
      <c r="K35" s="84">
        <f t="shared" si="25"/>
        <v>0</v>
      </c>
      <c r="L35" s="84">
        <f t="shared" si="25"/>
        <v>132</v>
      </c>
      <c r="M35" s="84">
        <f t="shared" si="25"/>
        <v>220</v>
      </c>
      <c r="N35" s="84">
        <f t="shared" si="25"/>
        <v>0</v>
      </c>
      <c r="O35" s="84">
        <f t="shared" si="25"/>
        <v>176</v>
      </c>
      <c r="P35" s="84">
        <f t="shared" si="26"/>
        <v>192</v>
      </c>
      <c r="Q35" s="77"/>
      <c r="R35" s="68"/>
      <c r="S35" s="68"/>
      <c r="T35" s="68"/>
    </row>
    <row r="36" ht="18" customHeight="1">
      <c r="A36" s="113">
        <v>1.8999999999999999</v>
      </c>
      <c r="B36" s="114">
        <f t="shared" si="20"/>
        <v>379.05759999999998</v>
      </c>
      <c r="C36" s="115">
        <f t="shared" si="21"/>
        <v>405.591632</v>
      </c>
      <c r="D36" s="116">
        <v>3114.8155066876802</v>
      </c>
      <c r="E36" s="116">
        <f t="shared" si="22"/>
        <v>65470.496617542391</v>
      </c>
      <c r="F36" s="117">
        <f t="shared" si="23"/>
        <v>68585.312124230069</v>
      </c>
      <c r="G36" s="118">
        <f t="shared" si="24"/>
        <v>0.47743017192499537</v>
      </c>
      <c r="H36" s="89"/>
      <c r="I36" s="81" t="s">
        <v>146</v>
      </c>
      <c r="J36" s="84">
        <f t="shared" si="25"/>
        <v>138</v>
      </c>
      <c r="K36" s="84">
        <f t="shared" si="25"/>
        <v>230</v>
      </c>
      <c r="L36" s="84">
        <f t="shared" si="25"/>
        <v>0</v>
      </c>
      <c r="M36" s="84">
        <f t="shared" si="25"/>
        <v>0</v>
      </c>
      <c r="N36" s="84">
        <f t="shared" si="25"/>
        <v>0</v>
      </c>
      <c r="O36" s="84">
        <f t="shared" si="25"/>
        <v>184</v>
      </c>
      <c r="P36" s="84">
        <f t="shared" si="26"/>
        <v>168</v>
      </c>
      <c r="Q36" s="77"/>
      <c r="R36" s="68"/>
      <c r="S36" s="68"/>
      <c r="T36" s="68"/>
    </row>
    <row r="37" ht="19" customHeight="1">
      <c r="A37" s="113">
        <v>1.95</v>
      </c>
      <c r="B37" s="114">
        <f t="shared" si="20"/>
        <v>389.03279999999995</v>
      </c>
      <c r="C37" s="115">
        <f t="shared" si="21"/>
        <v>416.26509599999997</v>
      </c>
      <c r="D37" s="116">
        <v>3196.7843358110408</v>
      </c>
      <c r="E37" s="116">
        <f t="shared" si="22"/>
        <v>67193.404423267188</v>
      </c>
      <c r="F37" s="117">
        <f t="shared" si="23"/>
        <v>70390.188759078228</v>
      </c>
      <c r="G37" s="118">
        <f t="shared" si="24"/>
        <v>0.49082939828589289</v>
      </c>
      <c r="H37" s="89"/>
      <c r="I37" s="79"/>
      <c r="J37" s="79"/>
      <c r="K37" s="79"/>
      <c r="L37" s="79"/>
      <c r="M37" s="79"/>
      <c r="N37" s="79"/>
      <c r="O37" s="79"/>
      <c r="P37" s="79"/>
      <c r="Q37" s="77"/>
      <c r="R37" s="68"/>
      <c r="S37" s="68"/>
      <c r="T37" s="68"/>
    </row>
    <row r="38" ht="19" customHeight="1">
      <c r="A38" s="113">
        <v>2</v>
      </c>
      <c r="B38" s="114">
        <f t="shared" si="20"/>
        <v>399.00799999999998</v>
      </c>
      <c r="C38" s="115">
        <f t="shared" si="21"/>
        <v>426.93856</v>
      </c>
      <c r="D38" s="116">
        <v>3278.753164934401</v>
      </c>
      <c r="E38" s="116">
        <f t="shared" si="22"/>
        <v>68916.312228991999</v>
      </c>
      <c r="F38" s="117">
        <f t="shared" si="23"/>
        <v>72195.065393926401</v>
      </c>
      <c r="G38" s="118">
        <f t="shared" si="24"/>
        <v>0.50355866332874566</v>
      </c>
      <c r="H38" s="89"/>
      <c r="I38" s="81" t="s">
        <v>149</v>
      </c>
      <c r="J38" s="79">
        <f t="shared" ref="J38:P38" si="27">SUM(J24:J36)</f>
        <v>668</v>
      </c>
      <c r="K38" s="79">
        <f t="shared" si="27"/>
        <v>932</v>
      </c>
      <c r="L38" s="79">
        <f t="shared" si="27"/>
        <v>606</v>
      </c>
      <c r="M38" s="79">
        <f t="shared" si="27"/>
        <v>1010</v>
      </c>
      <c r="N38" s="79">
        <f t="shared" si="27"/>
        <v>720</v>
      </c>
      <c r="O38" s="79">
        <f t="shared" si="27"/>
        <v>2520</v>
      </c>
      <c r="P38" s="79">
        <f t="shared" si="27"/>
        <v>2280</v>
      </c>
      <c r="Q38" s="121">
        <f>SUM(J38:P38)</f>
        <v>8736</v>
      </c>
      <c r="R38" s="122"/>
      <c r="S38" s="68"/>
      <c r="T38" s="68"/>
    </row>
    <row r="39" ht="18.5" customHeight="1">
      <c r="A39" s="119"/>
      <c r="B39" s="119"/>
      <c r="C39" s="119"/>
      <c r="D39" s="119"/>
      <c r="E39" s="119"/>
      <c r="F39" s="119"/>
      <c r="G39" s="68"/>
      <c r="H39" s="68"/>
      <c r="I39" s="119"/>
      <c r="J39" s="119"/>
      <c r="K39" s="119"/>
      <c r="L39" s="119"/>
      <c r="M39" s="119"/>
      <c r="N39" s="119"/>
      <c r="O39" s="119"/>
      <c r="P39" s="119"/>
      <c r="Q39" s="68"/>
      <c r="R39" s="68"/>
      <c r="S39" s="68"/>
      <c r="T39" s="68"/>
    </row>
    <row r="40" ht="18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</row>
    <row r="41" ht="18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</row>
    <row r="42" ht="18" customHeight="1">
      <c r="A42" s="123"/>
      <c r="B42" s="124"/>
      <c r="C42" s="124"/>
      <c r="D42" s="124"/>
      <c r="E42" s="124"/>
      <c r="F42" s="125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</row>
    <row r="43" ht="18" customHeight="1">
      <c r="A43" s="126"/>
      <c r="B43" s="127"/>
      <c r="C43" s="127"/>
      <c r="D43" s="128"/>
      <c r="E43" s="128"/>
      <c r="F43" s="129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</row>
    <row r="44" ht="18" customHeight="1">
      <c r="A44" s="126"/>
      <c r="B44" s="127"/>
      <c r="C44" s="127"/>
      <c r="D44" s="128"/>
      <c r="E44" s="128"/>
      <c r="F44" s="129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</row>
    <row r="45" ht="18" customHeight="1">
      <c r="A45" s="126"/>
      <c r="B45" s="127"/>
      <c r="C45" s="127"/>
      <c r="D45" s="128"/>
      <c r="E45" s="128"/>
      <c r="F45" s="129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</row>
    <row r="46" ht="18" customHeight="1">
      <c r="A46" s="126"/>
      <c r="B46" s="127"/>
      <c r="C46" s="127"/>
      <c r="D46" s="128"/>
      <c r="E46" s="128"/>
      <c r="F46" s="129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</row>
    <row r="47" ht="18" customHeight="1">
      <c r="A47" s="126"/>
      <c r="B47" s="127"/>
      <c r="C47" s="127"/>
      <c r="D47" s="128"/>
      <c r="E47" s="128"/>
      <c r="F47" s="129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</row>
    <row r="48" ht="18" customHeight="1">
      <c r="A48" s="126"/>
      <c r="B48" s="127"/>
      <c r="C48" s="127"/>
      <c r="D48" s="128"/>
      <c r="E48" s="128"/>
      <c r="F48" s="129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</row>
  </sheetData>
  <mergeCells count="2">
    <mergeCell ref="A2:G2"/>
    <mergeCell ref="B4:G4"/>
  </mergeCells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G29" activeCellId="0" sqref="G29"/>
    </sheetView>
  </sheetViews>
  <sheetFormatPr baseColWidth="10" defaultColWidth="13.5" defaultRowHeight="12.75" customHeight="1"/>
  <cols>
    <col customWidth="1" min="1" max="1" style="42" width="36.5"/>
    <col customWidth="1" min="2" max="2" style="42" width="13.5"/>
    <col customWidth="1" min="3" max="3" style="42" width="3.5"/>
    <col customWidth="1" min="4" max="4" style="42" width="32.5"/>
    <col customWidth="1" min="5" max="5" style="42" width="12.83203125"/>
    <col customWidth="1" min="6" max="6" style="42" width="28.1640625"/>
    <col customWidth="1" min="7" max="7" style="42" width="13.5"/>
    <col customWidth="1" min="8" max="8" style="42" width="4.83203125"/>
    <col customWidth="1" min="9" max="9" style="42" width="6.5"/>
    <col customWidth="1" min="10" max="10" style="42" width="12.33203125"/>
    <col customWidth="1" min="11" max="11" style="42" width="15.83203125"/>
    <col customWidth="1" min="12" max="256" width="13.5"/>
  </cols>
  <sheetData>
    <row r="1" ht="19" customHeight="1">
      <c r="A1" s="43"/>
      <c r="B1" s="43"/>
      <c r="C1" s="43"/>
      <c r="D1" s="130"/>
      <c r="E1" s="130"/>
      <c r="F1" s="130"/>
      <c r="G1" s="130"/>
      <c r="H1" s="43"/>
      <c r="I1" s="130"/>
      <c r="J1" s="130"/>
      <c r="K1" s="130"/>
    </row>
    <row r="2" ht="19" customHeight="1">
      <c r="A2" s="131" t="s">
        <v>150</v>
      </c>
      <c r="B2" s="132"/>
      <c r="C2" s="133"/>
      <c r="D2" s="134" t="s">
        <v>151</v>
      </c>
      <c r="E2" s="135"/>
      <c r="F2" s="135"/>
      <c r="G2" s="135"/>
      <c r="H2" s="136"/>
      <c r="I2" s="137" t="s">
        <v>152</v>
      </c>
      <c r="J2" s="138"/>
      <c r="K2" s="138"/>
    </row>
    <row r="3" ht="19" customHeight="1">
      <c r="A3" s="139" t="s">
        <v>153</v>
      </c>
      <c r="B3" s="140">
        <f>B4+B5+B6</f>
        <v>218</v>
      </c>
      <c r="C3" s="136"/>
      <c r="D3" s="134" t="s">
        <v>154</v>
      </c>
      <c r="E3" s="135"/>
      <c r="F3" s="134" t="s">
        <v>155</v>
      </c>
      <c r="G3" s="135"/>
      <c r="H3" s="136"/>
      <c r="I3" s="141" t="s">
        <v>156</v>
      </c>
      <c r="J3" s="141" t="s">
        <v>157</v>
      </c>
      <c r="K3" s="141" t="s">
        <v>158</v>
      </c>
    </row>
    <row r="4" ht="19" customHeight="1">
      <c r="A4" s="142" t="s">
        <v>159</v>
      </c>
      <c r="B4" s="143">
        <f>'Cabina de discos'!M24</f>
        <v>44</v>
      </c>
      <c r="C4" s="136"/>
      <c r="D4" s="144" t="s">
        <v>160</v>
      </c>
      <c r="E4" s="145">
        <v>19</v>
      </c>
      <c r="F4" s="144" t="s">
        <v>161</v>
      </c>
      <c r="G4" s="146">
        <f>ROUND(B3/(E4*E5),0)+1</f>
        <v>1</v>
      </c>
      <c r="H4" s="136"/>
      <c r="I4" s="147">
        <v>1</v>
      </c>
      <c r="J4" s="148">
        <f>G9</f>
        <v>145752.18442956882</v>
      </c>
      <c r="K4" s="148">
        <f t="shared" ref="K4:K6" si="28">J4*5</f>
        <v>728760.9221478441</v>
      </c>
    </row>
    <row r="5" ht="19" customHeight="1">
      <c r="A5" s="139" t="s">
        <v>162</v>
      </c>
      <c r="B5" s="143">
        <f>Resum!B3</f>
        <v>134</v>
      </c>
      <c r="C5" s="136"/>
      <c r="D5" s="144" t="s">
        <v>163</v>
      </c>
      <c r="E5" s="149">
        <f>Resum!B4</f>
        <v>42</v>
      </c>
      <c r="F5" s="144" t="s">
        <v>164</v>
      </c>
      <c r="G5" s="150">
        <f>G4*E6</f>
        <v>115000</v>
      </c>
      <c r="H5" s="136"/>
      <c r="I5" s="147">
        <v>2</v>
      </c>
      <c r="J5" s="148">
        <f>G21</f>
        <v>97742.245906091775</v>
      </c>
      <c r="K5" s="148">
        <f t="shared" si="28"/>
        <v>488711.22953045886</v>
      </c>
    </row>
    <row r="6" ht="19" customHeight="1">
      <c r="A6" s="151" t="s">
        <v>165</v>
      </c>
      <c r="B6" s="143">
        <f>Backup!G29</f>
        <v>40</v>
      </c>
      <c r="C6" s="136"/>
      <c r="D6" s="144" t="s">
        <v>166</v>
      </c>
      <c r="E6" s="152">
        <v>115000</v>
      </c>
      <c r="F6" s="144" t="s">
        <v>167</v>
      </c>
      <c r="G6" s="150">
        <f>E7*G4*B8</f>
        <v>2000</v>
      </c>
      <c r="H6" s="136"/>
      <c r="I6" s="147">
        <v>3</v>
      </c>
      <c r="J6" s="148">
        <f>G30</f>
        <v>131376.09221478441</v>
      </c>
      <c r="K6" s="148">
        <f t="shared" si="28"/>
        <v>656880.46107392199</v>
      </c>
    </row>
    <row r="7" ht="19" customHeight="1">
      <c r="A7" s="151" t="s">
        <v>168</v>
      </c>
      <c r="B7" s="153">
        <f>Electricitat!F18</f>
        <v>35840.614765229438</v>
      </c>
      <c r="C7" s="136"/>
      <c r="D7" s="144" t="s">
        <v>169</v>
      </c>
      <c r="E7" s="152">
        <v>2000</v>
      </c>
      <c r="F7" s="144" t="s">
        <v>170</v>
      </c>
      <c r="G7" s="150">
        <f>1500*12*B9</f>
        <v>18000</v>
      </c>
      <c r="H7" s="154"/>
      <c r="I7" s="155"/>
      <c r="J7" s="155"/>
      <c r="K7" s="155"/>
    </row>
    <row r="8" ht="32.5" customHeight="1">
      <c r="A8" s="156" t="s">
        <v>171</v>
      </c>
      <c r="B8" s="157">
        <f>Resum!B22</f>
        <v>1</v>
      </c>
      <c r="C8" s="136"/>
      <c r="D8" s="145"/>
      <c r="E8" s="152"/>
      <c r="F8" s="158" t="s">
        <v>172</v>
      </c>
      <c r="G8" s="150">
        <f>B7*(E9-1)</f>
        <v>10752.184429568833</v>
      </c>
      <c r="H8" s="154"/>
      <c r="I8" s="43"/>
      <c r="J8" s="43"/>
      <c r="K8" s="43"/>
    </row>
    <row r="9" ht="19" customHeight="1">
      <c r="A9" s="159" t="s">
        <v>35</v>
      </c>
      <c r="B9" s="157">
        <f>Resum!B21</f>
        <v>1</v>
      </c>
      <c r="C9" s="136"/>
      <c r="D9" s="144" t="s">
        <v>137</v>
      </c>
      <c r="E9" s="145">
        <v>1.3</v>
      </c>
      <c r="F9" s="144" t="s">
        <v>173</v>
      </c>
      <c r="G9" s="150">
        <f>SUM(G5:G8)</f>
        <v>145752.18442956882</v>
      </c>
      <c r="H9" s="154"/>
      <c r="I9" s="43"/>
      <c r="J9" s="43"/>
      <c r="K9" s="43"/>
    </row>
    <row r="10" ht="19" customHeight="1">
      <c r="A10" s="43"/>
      <c r="B10" s="155"/>
      <c r="C10" s="133"/>
      <c r="D10" s="134" t="s">
        <v>174</v>
      </c>
      <c r="E10" s="135"/>
      <c r="F10" s="144" t="s">
        <v>175</v>
      </c>
      <c r="G10" s="160">
        <f>ROUND(B3/E5,0)+1</f>
        <v>6</v>
      </c>
      <c r="H10" s="154"/>
      <c r="I10" s="43"/>
      <c r="J10" s="43"/>
      <c r="K10" s="43"/>
    </row>
    <row r="11" ht="19" customHeight="1">
      <c r="A11" s="43"/>
      <c r="B11" s="43"/>
      <c r="C11" s="43"/>
      <c r="D11" s="155"/>
      <c r="E11" s="155"/>
      <c r="F11" s="155"/>
      <c r="G11" s="155"/>
      <c r="H11" s="43"/>
      <c r="I11" s="43"/>
      <c r="J11" s="43"/>
      <c r="K11" s="43"/>
    </row>
    <row r="12" ht="19" customHeight="1">
      <c r="A12" s="43"/>
      <c r="B12" s="43"/>
      <c r="C12" s="43"/>
      <c r="D12" s="161"/>
      <c r="E12" s="161"/>
      <c r="F12" s="43"/>
      <c r="G12" s="43"/>
      <c r="H12" s="43"/>
      <c r="I12" s="43"/>
      <c r="J12" s="43"/>
      <c r="K12" s="43"/>
    </row>
    <row r="13" ht="19" customHeight="1">
      <c r="A13" s="43"/>
      <c r="B13" s="43"/>
      <c r="C13" s="43"/>
      <c r="D13" s="162"/>
      <c r="E13" s="162"/>
      <c r="F13" s="130"/>
      <c r="G13" s="130"/>
      <c r="H13" s="43"/>
      <c r="I13" s="43"/>
      <c r="J13" s="43"/>
      <c r="K13" s="43"/>
    </row>
    <row r="14" ht="19" customHeight="1">
      <c r="A14" s="43"/>
      <c r="B14" s="43"/>
      <c r="C14" s="133"/>
      <c r="D14" s="134" t="s">
        <v>176</v>
      </c>
      <c r="E14" s="135"/>
      <c r="F14" s="135"/>
      <c r="G14" s="135"/>
      <c r="H14" s="154"/>
      <c r="I14" s="43"/>
      <c r="J14" s="43"/>
      <c r="K14" s="43"/>
    </row>
    <row r="15" ht="19" customHeight="1">
      <c r="A15" s="43"/>
      <c r="B15" s="43"/>
      <c r="C15" s="133"/>
      <c r="D15" s="134" t="s">
        <v>154</v>
      </c>
      <c r="E15" s="135"/>
      <c r="F15" s="134" t="s">
        <v>155</v>
      </c>
      <c r="G15" s="135"/>
      <c r="H15" s="154"/>
      <c r="I15" s="43"/>
      <c r="J15" s="43"/>
      <c r="K15" s="43"/>
    </row>
    <row r="16" ht="19" customHeight="1">
      <c r="A16" s="43"/>
      <c r="B16" s="43"/>
      <c r="C16" s="133"/>
      <c r="D16" s="144" t="s">
        <v>86</v>
      </c>
      <c r="E16" s="149">
        <f>Resum!B4</f>
        <v>42</v>
      </c>
      <c r="F16" s="144" t="s">
        <v>175</v>
      </c>
      <c r="G16" s="160">
        <f>ROUND(B3/E16,0)+1</f>
        <v>6</v>
      </c>
      <c r="H16" s="154"/>
      <c r="I16" s="43"/>
      <c r="J16" s="43"/>
      <c r="K16" s="43"/>
    </row>
    <row r="17" ht="19" customHeight="1">
      <c r="A17" s="43"/>
      <c r="B17" s="43"/>
      <c r="C17" s="133"/>
      <c r="D17" s="144" t="s">
        <v>177</v>
      </c>
      <c r="E17" s="152">
        <v>9000</v>
      </c>
      <c r="F17" s="144" t="s">
        <v>178</v>
      </c>
      <c r="G17" s="150">
        <f>G16*E17</f>
        <v>54000</v>
      </c>
      <c r="H17" s="154"/>
      <c r="I17" s="43"/>
      <c r="J17" s="43"/>
      <c r="K17" s="43"/>
    </row>
    <row r="18" ht="19" customHeight="1">
      <c r="A18" s="43"/>
      <c r="B18" s="43"/>
      <c r="C18" s="133"/>
      <c r="D18" s="144" t="s">
        <v>179</v>
      </c>
      <c r="E18" s="152">
        <v>900</v>
      </c>
      <c r="F18" s="144" t="s">
        <v>180</v>
      </c>
      <c r="G18" s="150">
        <f>B7*(E19-1)</f>
        <v>14336.245906091772</v>
      </c>
      <c r="H18" s="154"/>
      <c r="I18" s="43"/>
      <c r="J18" s="43"/>
      <c r="K18" s="43"/>
    </row>
    <row r="19" ht="19" customHeight="1">
      <c r="A19" s="43"/>
      <c r="B19" s="43"/>
      <c r="C19" s="133"/>
      <c r="D19" s="144" t="s">
        <v>137</v>
      </c>
      <c r="E19" s="145">
        <v>1.3999999999999999</v>
      </c>
      <c r="F19" s="144" t="s">
        <v>167</v>
      </c>
      <c r="G19" s="150">
        <f>B8*E18*G16</f>
        <v>5400</v>
      </c>
      <c r="H19" s="154"/>
      <c r="I19" s="43"/>
      <c r="J19" s="43"/>
      <c r="K19" s="43"/>
    </row>
    <row r="20" ht="19" customHeight="1">
      <c r="A20" s="43"/>
      <c r="B20" s="43"/>
      <c r="C20" s="43"/>
      <c r="D20" s="163"/>
      <c r="E20" s="164"/>
      <c r="F20" s="144" t="s">
        <v>170</v>
      </c>
      <c r="G20" s="150">
        <f>B9*2000*12</f>
        <v>24000</v>
      </c>
      <c r="H20" s="154"/>
      <c r="I20" s="43"/>
      <c r="J20" s="43"/>
      <c r="K20" s="43"/>
    </row>
    <row r="21" ht="19" customHeight="1">
      <c r="A21" s="43"/>
      <c r="B21" s="43"/>
      <c r="C21" s="43"/>
      <c r="D21" s="165"/>
      <c r="E21" s="166"/>
      <c r="F21" s="144" t="s">
        <v>173</v>
      </c>
      <c r="G21" s="150">
        <f>SUM(G16:G20)</f>
        <v>97742.245906091775</v>
      </c>
      <c r="H21" s="154"/>
      <c r="I21" s="43"/>
      <c r="J21" s="43"/>
      <c r="K21" s="43"/>
    </row>
    <row r="22" ht="19" customHeight="1">
      <c r="A22" s="43"/>
      <c r="B22" s="43"/>
      <c r="C22" s="43"/>
      <c r="D22" s="43"/>
      <c r="E22" s="43"/>
      <c r="F22" s="155"/>
      <c r="G22" s="155"/>
      <c r="H22" s="43"/>
      <c r="I22" s="43"/>
      <c r="J22" s="43"/>
      <c r="K22" s="43"/>
    </row>
    <row r="23" ht="19" customHeight="1">
      <c r="A23" s="43"/>
      <c r="B23" s="43"/>
      <c r="C23" s="43"/>
      <c r="D23" s="130"/>
      <c r="E23" s="130"/>
      <c r="F23" s="130"/>
      <c r="G23" s="130"/>
      <c r="H23" s="43"/>
      <c r="I23" s="43"/>
      <c r="J23" s="43"/>
      <c r="K23" s="43"/>
    </row>
    <row r="24" ht="19" customHeight="1">
      <c r="A24" s="43"/>
      <c r="B24" s="43"/>
      <c r="C24" s="133"/>
      <c r="D24" s="134" t="s">
        <v>181</v>
      </c>
      <c r="E24" s="135"/>
      <c r="F24" s="135"/>
      <c r="G24" s="135"/>
      <c r="H24" s="154"/>
      <c r="I24" s="43"/>
      <c r="J24" s="43"/>
      <c r="K24" s="43"/>
    </row>
    <row r="25" ht="19" customHeight="1">
      <c r="A25" s="43"/>
      <c r="B25" s="43"/>
      <c r="C25" s="133"/>
      <c r="D25" s="134" t="s">
        <v>154</v>
      </c>
      <c r="E25" s="135"/>
      <c r="F25" s="134" t="s">
        <v>155</v>
      </c>
      <c r="G25" s="135"/>
      <c r="H25" s="154"/>
      <c r="I25" s="43"/>
      <c r="J25" s="43"/>
      <c r="K25" s="43"/>
    </row>
    <row r="26" ht="19" customHeight="1">
      <c r="A26" s="43"/>
      <c r="B26" s="43"/>
      <c r="C26" s="133"/>
      <c r="D26" s="144" t="s">
        <v>86</v>
      </c>
      <c r="E26" s="149">
        <f>Resum!B4</f>
        <v>42</v>
      </c>
      <c r="F26" s="144" t="s">
        <v>175</v>
      </c>
      <c r="G26" s="160">
        <f>ROUND(B3/E26,0)+1</f>
        <v>6</v>
      </c>
      <c r="H26" s="154"/>
      <c r="I26" s="43"/>
      <c r="J26" s="43"/>
      <c r="K26" s="43"/>
    </row>
    <row r="27" ht="19" customHeight="1">
      <c r="A27" s="43"/>
      <c r="B27" s="43"/>
      <c r="C27" s="133"/>
      <c r="D27" s="144" t="s">
        <v>177</v>
      </c>
      <c r="E27" s="152">
        <v>14000</v>
      </c>
      <c r="F27" s="144" t="s">
        <v>178</v>
      </c>
      <c r="G27" s="150">
        <f>G26*E27</f>
        <v>84000</v>
      </c>
      <c r="H27" s="154"/>
      <c r="I27" s="43"/>
      <c r="J27" s="43"/>
      <c r="K27" s="43"/>
    </row>
    <row r="28" ht="19" customHeight="1">
      <c r="A28" s="43"/>
      <c r="B28" s="43"/>
      <c r="C28" s="133"/>
      <c r="D28" s="144" t="s">
        <v>137</v>
      </c>
      <c r="E28" s="145">
        <v>1.1499999999999999</v>
      </c>
      <c r="F28" s="144" t="s">
        <v>182</v>
      </c>
      <c r="G28" s="150">
        <f>B7*(E28-1)</f>
        <v>5376.0922147844121</v>
      </c>
      <c r="H28" s="154"/>
      <c r="I28" s="43"/>
      <c r="J28" s="43"/>
      <c r="K28" s="43"/>
    </row>
    <row r="29" ht="19" customHeight="1">
      <c r="A29" s="43"/>
      <c r="B29" s="43"/>
      <c r="C29" s="43"/>
      <c r="D29" s="167"/>
      <c r="E29" s="164"/>
      <c r="F29" s="144" t="s">
        <v>170</v>
      </c>
      <c r="G29" s="150">
        <f>B9*3500*12</f>
        <v>42000</v>
      </c>
      <c r="H29" s="154"/>
      <c r="I29" s="43"/>
      <c r="J29" s="43"/>
      <c r="K29" s="43"/>
    </row>
    <row r="30" ht="19" customHeight="1">
      <c r="A30" s="43"/>
      <c r="B30" s="43"/>
      <c r="C30" s="43"/>
      <c r="D30" s="168"/>
      <c r="E30" s="166"/>
      <c r="F30" s="144" t="s">
        <v>173</v>
      </c>
      <c r="G30" s="150">
        <f>SUM(G27:G29)</f>
        <v>131376.09221478441</v>
      </c>
      <c r="H30" s="154"/>
      <c r="I30" s="43"/>
      <c r="J30" s="43"/>
      <c r="K30" s="43"/>
    </row>
  </sheetData>
  <mergeCells count="12">
    <mergeCell ref="A2:B2"/>
    <mergeCell ref="D2:G2"/>
    <mergeCell ref="I2:K2"/>
    <mergeCell ref="D3:E3"/>
    <mergeCell ref="F3:G3"/>
    <mergeCell ref="D10:E10"/>
    <mergeCell ref="D14:G14"/>
    <mergeCell ref="D15:E15"/>
    <mergeCell ref="F15:G15"/>
    <mergeCell ref="D24:G24"/>
    <mergeCell ref="D25:E25"/>
    <mergeCell ref="F25:G25"/>
  </mergeCells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&amp;L&amp;"Calibri,Regular"&amp;12&amp;K000000Infrastructura</oddHeader>
    <oddFooter>&amp;L&amp;"Calibri,Regular"&amp;12&amp;K000000Página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C7" zoomScale="100" workbookViewId="0">
      <selection activeCell="M27" activeCellId="0" sqref="M27"/>
    </sheetView>
  </sheetViews>
  <sheetFormatPr baseColWidth="10" defaultColWidth="12.6640625" defaultRowHeight="14.25" customHeight="1"/>
  <cols>
    <col customWidth="1" min="1" max="1" style="42" width="35.6640625"/>
    <col customWidth="1" min="2" max="2" style="42" width="12.33203125"/>
    <col customWidth="1" min="3" max="3" style="42" width="4.33203125"/>
    <col customWidth="1" min="4" max="4" style="42" width="25.83203125"/>
    <col customWidth="1" min="5" max="5" style="42" width="8.83203125"/>
    <col customWidth="1" min="6" max="6" style="42" width="22.83203125"/>
    <col customWidth="1" min="7" max="7" style="42" width="35"/>
    <col customWidth="1" min="8" max="8" style="42" width="15.6640625"/>
    <col customWidth="1" min="9" max="9" style="42" width="12.33203125"/>
    <col customWidth="1" min="10" max="10" style="42" width="5.33203125"/>
    <col customWidth="1" min="11" max="11" style="42" width="14.33203125"/>
    <col customWidth="1" min="12" max="12" style="42" width="12.5"/>
    <col customWidth="1" min="13" max="13" style="42" width="20.5"/>
    <col customWidth="1" min="14" max="256" width="12.6640625"/>
  </cols>
  <sheetData>
    <row r="1" ht="19" customHeight="1">
      <c r="A1" s="169"/>
      <c r="B1" s="169"/>
      <c r="C1" s="43"/>
      <c r="D1" s="169"/>
      <c r="E1" s="169"/>
      <c r="F1" s="169"/>
      <c r="G1" s="169"/>
      <c r="H1" s="169"/>
      <c r="I1" s="43"/>
      <c r="J1" s="43"/>
      <c r="K1" s="43"/>
      <c r="L1" s="43"/>
      <c r="M1" s="43"/>
    </row>
    <row r="2" ht="19" customHeight="1">
      <c r="A2" s="170" t="s">
        <v>183</v>
      </c>
      <c r="B2" s="171"/>
      <c r="C2" s="172"/>
      <c r="D2" s="173" t="s">
        <v>184</v>
      </c>
      <c r="E2" s="174"/>
      <c r="F2" s="174"/>
      <c r="G2" s="174"/>
      <c r="H2" s="174"/>
      <c r="I2" s="175"/>
      <c r="J2" s="43"/>
      <c r="K2" s="43"/>
      <c r="L2" s="43"/>
      <c r="M2" s="43"/>
    </row>
    <row r="3" ht="15" customHeight="1">
      <c r="A3" s="176" t="s">
        <v>185</v>
      </c>
      <c r="B3" s="177">
        <f>Resum!B13</f>
        <v>500000</v>
      </c>
      <c r="C3" s="172"/>
      <c r="D3" s="173" t="s">
        <v>154</v>
      </c>
      <c r="E3" s="174"/>
      <c r="F3" s="178" t="s">
        <v>186</v>
      </c>
      <c r="G3" s="173" t="s">
        <v>155</v>
      </c>
      <c r="H3" s="174"/>
      <c r="I3" s="175"/>
      <c r="J3" s="169"/>
      <c r="K3" s="169"/>
      <c r="L3" s="169"/>
      <c r="M3" s="43"/>
    </row>
    <row r="4" ht="19" customHeight="1">
      <c r="A4" s="179" t="s">
        <v>25</v>
      </c>
      <c r="B4" s="180">
        <f>Resum!B14</f>
        <v>7</v>
      </c>
      <c r="C4" s="172"/>
      <c r="D4" s="181" t="s">
        <v>187</v>
      </c>
      <c r="E4" s="182">
        <v>0.089999999999999997</v>
      </c>
      <c r="F4" s="183">
        <f>IF($B$3&gt;1000,1000,MAX($B$3,0))</f>
        <v>1000</v>
      </c>
      <c r="G4" s="181" t="s">
        <v>188</v>
      </c>
      <c r="H4" s="183">
        <f>F4*E4+F5*E5+F6*E6+F7*E7+F8*E8</f>
        <v>33015</v>
      </c>
      <c r="I4" s="172"/>
      <c r="J4" s="184" t="s">
        <v>189</v>
      </c>
      <c r="K4" s="185"/>
      <c r="L4" s="185"/>
      <c r="M4" s="175"/>
    </row>
    <row r="5" ht="19" customHeight="1">
      <c r="A5" s="176" t="s">
        <v>27</v>
      </c>
      <c r="B5" s="180">
        <f>Resum!B15</f>
        <v>5</v>
      </c>
      <c r="C5" s="172"/>
      <c r="D5" s="181" t="s">
        <v>190</v>
      </c>
      <c r="E5" s="182">
        <v>0.074999999999999997</v>
      </c>
      <c r="F5" s="183">
        <f>IF($B$3&gt;50*1000,50*1000-F4,MAX($B$3-F4,0))</f>
        <v>49000</v>
      </c>
      <c r="G5" s="186"/>
      <c r="H5" s="187"/>
      <c r="I5" s="188"/>
      <c r="J5" s="189" t="s">
        <v>191</v>
      </c>
      <c r="K5" s="189" t="s">
        <v>156</v>
      </c>
      <c r="L5" s="189" t="s">
        <v>157</v>
      </c>
      <c r="M5" s="175"/>
    </row>
    <row r="6" ht="19" customHeight="1">
      <c r="A6" s="176" t="s">
        <v>192</v>
      </c>
      <c r="B6" s="177">
        <v>400</v>
      </c>
      <c r="C6" s="172"/>
      <c r="D6" s="181" t="s">
        <v>193</v>
      </c>
      <c r="E6" s="182">
        <v>0.065000000000000002</v>
      </c>
      <c r="F6" s="183">
        <f>IF($B$3&gt;500*1000,500*1000-F5-F4,MAX($B$3-F5-F4,0))</f>
        <v>450000</v>
      </c>
      <c r="G6" s="190"/>
      <c r="H6" s="191"/>
      <c r="I6" s="192" t="str">
        <f>IF(Resum!B16=1,"X","")</f>
        <v/>
      </c>
      <c r="J6" s="193">
        <v>1</v>
      </c>
      <c r="K6" s="194" t="s">
        <v>194</v>
      </c>
      <c r="L6" s="195">
        <f>H4*12</f>
        <v>396180</v>
      </c>
      <c r="M6" s="175"/>
    </row>
    <row r="7" ht="19" customHeight="1">
      <c r="A7" s="179" t="s">
        <v>30</v>
      </c>
      <c r="B7" s="196">
        <f>IF(Resum!B18=1,1,0)</f>
        <v>1</v>
      </c>
      <c r="C7" s="172"/>
      <c r="D7" s="181" t="s">
        <v>195</v>
      </c>
      <c r="E7" s="182">
        <v>0.055</v>
      </c>
      <c r="F7" s="183">
        <f>IF($B$3&gt;5000*1000,5000*1000-F6-F5-F4,MAX($B$3-F6-F5-F4,0))</f>
        <v>0</v>
      </c>
      <c r="G7" s="190"/>
      <c r="H7" s="191"/>
      <c r="I7" s="192" t="str">
        <f>IF(Resum!B16=2,"X","")</f>
        <v/>
      </c>
      <c r="J7" s="193">
        <v>2</v>
      </c>
      <c r="K7" s="194" t="s">
        <v>196</v>
      </c>
      <c r="L7" s="195">
        <f>H12*12</f>
        <v>425004</v>
      </c>
      <c r="M7" s="175"/>
    </row>
    <row r="8" ht="19" customHeight="1">
      <c r="A8" s="197" t="s">
        <v>197</v>
      </c>
      <c r="B8" s="85"/>
      <c r="C8" s="172"/>
      <c r="D8" s="181" t="s">
        <v>198</v>
      </c>
      <c r="E8" s="182">
        <v>0.050000000000000003</v>
      </c>
      <c r="F8" s="183">
        <f>IF($B$3&gt;5000*1000,$B$3-F7-F6-F5-F4,0)</f>
        <v>0</v>
      </c>
      <c r="G8" s="175"/>
      <c r="H8" s="198"/>
      <c r="I8" s="192" t="str">
        <f>IF(Resum!B16=3,"X","")</f>
        <v>X</v>
      </c>
      <c r="J8" s="193">
        <v>3</v>
      </c>
      <c r="K8" s="194" t="s">
        <v>199</v>
      </c>
      <c r="L8" s="193">
        <v>0</v>
      </c>
      <c r="M8" s="175"/>
    </row>
    <row r="9" ht="19" customHeight="1">
      <c r="A9" s="199" t="str">
        <f>IF(Resum!B16=1,"Microworks Azure M-A",IF(Resum!B16=2,"MonsoonS3 MS3",IF(Resum!B16=3,"Take the tapes and run","error")))</f>
        <v xml:space="preserve">Take the tapes and run</v>
      </c>
      <c r="B9" s="85"/>
      <c r="C9" s="172"/>
      <c r="D9" s="200"/>
      <c r="E9" s="201"/>
      <c r="F9" s="201"/>
      <c r="G9" s="202"/>
      <c r="H9" s="202"/>
      <c r="I9" s="43"/>
      <c r="J9" s="95"/>
      <c r="K9" s="95"/>
      <c r="L9" s="95"/>
      <c r="M9" s="43"/>
    </row>
    <row r="10" ht="19" customHeight="1">
      <c r="A10" s="197" t="s">
        <v>200</v>
      </c>
      <c r="B10" s="203">
        <f>Resum!B17</f>
        <v>0</v>
      </c>
      <c r="C10" s="172"/>
      <c r="D10" s="173" t="s">
        <v>201</v>
      </c>
      <c r="E10" s="174"/>
      <c r="F10" s="174"/>
      <c r="G10" s="174"/>
      <c r="H10" s="174"/>
      <c r="I10" s="175"/>
      <c r="J10" s="43"/>
      <c r="K10" s="43"/>
      <c r="L10" s="43"/>
      <c r="M10" s="43"/>
    </row>
    <row r="11" ht="19" customHeight="1">
      <c r="A11" s="197" t="s">
        <v>202</v>
      </c>
      <c r="B11" s="203">
        <f>Resum!B18</f>
        <v>1</v>
      </c>
      <c r="C11" s="172"/>
      <c r="D11" s="173" t="s">
        <v>154</v>
      </c>
      <c r="E11" s="174"/>
      <c r="F11" s="178" t="s">
        <v>186</v>
      </c>
      <c r="G11" s="173" t="s">
        <v>155</v>
      </c>
      <c r="H11" s="174"/>
      <c r="I11" s="175"/>
      <c r="J11" s="43"/>
      <c r="K11" s="43"/>
      <c r="L11" s="43"/>
      <c r="M11" s="43"/>
    </row>
    <row r="12" ht="19" customHeight="1">
      <c r="A12" s="95"/>
      <c r="B12" s="95"/>
      <c r="C12" s="188"/>
      <c r="D12" s="181" t="s">
        <v>187</v>
      </c>
      <c r="E12" s="182">
        <v>0.095000000000000001</v>
      </c>
      <c r="F12" s="183">
        <f>IF($B$3&gt;1000,1000,MAX($B$3,0))</f>
        <v>1000</v>
      </c>
      <c r="G12" s="181" t="s">
        <v>188</v>
      </c>
      <c r="H12" s="183">
        <f>F12*E12+F13*E13+F14*E14+F15*E15+F16*E16</f>
        <v>35417</v>
      </c>
      <c r="I12" s="175"/>
      <c r="J12" s="43"/>
      <c r="K12" s="43"/>
      <c r="L12" s="43"/>
      <c r="M12" s="43"/>
    </row>
    <row r="13" ht="19" customHeight="1">
      <c r="A13" s="43"/>
      <c r="B13" s="43"/>
      <c r="C13" s="188"/>
      <c r="D13" s="181" t="s">
        <v>190</v>
      </c>
      <c r="E13" s="182">
        <v>0.078</v>
      </c>
      <c r="F13" s="183">
        <f>IF($B$3&gt;50*1000,50*1000-F12,MAX($B$3-F12,0))</f>
        <v>49000</v>
      </c>
      <c r="G13" s="186"/>
      <c r="H13" s="187"/>
      <c r="I13" s="43"/>
      <c r="J13" s="43"/>
      <c r="K13" s="43"/>
      <c r="L13" s="43"/>
      <c r="M13" s="43"/>
    </row>
    <row r="14" ht="19" customHeight="1">
      <c r="A14" s="43"/>
      <c r="B14" s="43"/>
      <c r="C14" s="188"/>
      <c r="D14" s="181" t="s">
        <v>193</v>
      </c>
      <c r="E14" s="182">
        <v>0.070000000000000007</v>
      </c>
      <c r="F14" s="183">
        <f>IF($B$3&gt;500*1000,500*1000-F13-F12,MAX($B$3-F13-F12,0))</f>
        <v>450000</v>
      </c>
      <c r="G14" s="190"/>
      <c r="H14" s="191"/>
      <c r="I14" s="43"/>
      <c r="J14" s="43"/>
      <c r="K14" s="43"/>
      <c r="L14" s="43"/>
      <c r="M14" s="43"/>
    </row>
    <row r="15" ht="19" customHeight="1">
      <c r="A15" s="43"/>
      <c r="B15" s="43"/>
      <c r="C15" s="188"/>
      <c r="D15" s="181" t="s">
        <v>195</v>
      </c>
      <c r="E15" s="182">
        <v>0.065000000000000002</v>
      </c>
      <c r="F15" s="183">
        <f>IF($B$3&gt;5000*1000,5000*1000-F14-F13-F12,MAX($B$3-F14-F13-F12,0))</f>
        <v>0</v>
      </c>
      <c r="G15" s="190"/>
      <c r="H15" s="191"/>
      <c r="I15" s="43"/>
      <c r="J15" s="43"/>
      <c r="K15" s="43"/>
      <c r="L15" s="43"/>
      <c r="M15" s="43"/>
    </row>
    <row r="16" ht="19" customHeight="1">
      <c r="A16" s="43"/>
      <c r="B16" s="43"/>
      <c r="C16" s="188"/>
      <c r="D16" s="181" t="s">
        <v>198</v>
      </c>
      <c r="E16" s="182">
        <v>0.055</v>
      </c>
      <c r="F16" s="183">
        <f>IF($B$3&gt;5000*1000,$B$3-F15-F14-F13-F12,0)</f>
        <v>0</v>
      </c>
      <c r="G16" s="190"/>
      <c r="H16" s="198"/>
      <c r="I16" s="43"/>
      <c r="J16" s="43"/>
      <c r="K16" s="43"/>
      <c r="L16" s="43"/>
      <c r="M16" s="43"/>
    </row>
    <row r="17" ht="19" customHeight="1">
      <c r="A17" s="43"/>
      <c r="B17" s="43"/>
      <c r="C17" s="188"/>
      <c r="D17" s="200"/>
      <c r="E17" s="201"/>
      <c r="F17" s="201"/>
      <c r="G17" s="202"/>
      <c r="H17" s="204"/>
      <c r="I17" s="43"/>
      <c r="J17" s="43"/>
      <c r="K17" s="43"/>
      <c r="L17" s="43"/>
      <c r="M17" s="43"/>
    </row>
    <row r="18" ht="19" customHeight="1">
      <c r="A18" s="43"/>
      <c r="B18" s="43"/>
      <c r="C18" s="188"/>
      <c r="D18" s="173" t="s">
        <v>203</v>
      </c>
      <c r="E18" s="174"/>
      <c r="F18" s="174"/>
      <c r="G18" s="174"/>
      <c r="H18" s="205"/>
      <c r="I18" s="206"/>
      <c r="J18" s="43"/>
      <c r="K18" s="169"/>
      <c r="L18" s="169"/>
      <c r="M18" s="43"/>
    </row>
    <row r="19" ht="19" customHeight="1">
      <c r="A19" s="43"/>
      <c r="B19" s="43"/>
      <c r="C19" s="188"/>
      <c r="D19" s="178" t="s">
        <v>203</v>
      </c>
      <c r="E19" s="178" t="s">
        <v>204</v>
      </c>
      <c r="F19" s="178" t="s">
        <v>205</v>
      </c>
      <c r="G19" s="178" t="s">
        <v>206</v>
      </c>
      <c r="H19" s="207" t="s">
        <v>207</v>
      </c>
      <c r="I19" s="178" t="s">
        <v>79</v>
      </c>
      <c r="J19" s="172"/>
      <c r="K19" s="184" t="s">
        <v>208</v>
      </c>
      <c r="L19" s="208"/>
      <c r="M19" s="175"/>
    </row>
    <row r="20" ht="19" customHeight="1">
      <c r="A20" s="43"/>
      <c r="B20" s="43"/>
      <c r="C20" s="188"/>
      <c r="D20" s="181" t="s">
        <v>209</v>
      </c>
      <c r="E20" s="182">
        <v>0.010999999999999999</v>
      </c>
      <c r="F20" s="183">
        <f t="shared" ref="F20:F25" si="29">365/$B$4</f>
        <v>52.142857142857146</v>
      </c>
      <c r="G20" s="183">
        <f t="shared" ref="G20:G23" si="30">$B$3*E20*F20</f>
        <v>286785.71428571432</v>
      </c>
      <c r="H20" s="183">
        <f t="shared" ref="H20:H21" si="31">100*$B$5*12</f>
        <v>6000</v>
      </c>
      <c r="I20" s="183">
        <f t="shared" ref="I20:I23" si="32">H20+G20</f>
        <v>292785.71428571432</v>
      </c>
      <c r="J20" s="172"/>
      <c r="K20" s="209" t="s">
        <v>156</v>
      </c>
      <c r="L20" s="189" t="s">
        <v>157</v>
      </c>
      <c r="M20" s="210" t="s">
        <v>210</v>
      </c>
    </row>
    <row r="21" ht="19" customHeight="1">
      <c r="A21" s="43"/>
      <c r="B21" s="43"/>
      <c r="C21" s="188"/>
      <c r="D21" s="181" t="s">
        <v>211</v>
      </c>
      <c r="E21" s="182">
        <v>0.02</v>
      </c>
      <c r="F21" s="183">
        <f t="shared" si="29"/>
        <v>52.142857142857146</v>
      </c>
      <c r="G21" s="183">
        <f t="shared" si="30"/>
        <v>521428.57142857148</v>
      </c>
      <c r="H21" s="183">
        <f t="shared" si="31"/>
        <v>6000</v>
      </c>
      <c r="I21" s="183">
        <f t="shared" si="32"/>
        <v>527428.57142857148</v>
      </c>
      <c r="J21" s="172"/>
      <c r="K21" s="194" t="s">
        <v>212</v>
      </c>
      <c r="L21" s="195">
        <f t="shared" ref="L21:L24" si="33">I20</f>
        <v>292785.71428571432</v>
      </c>
      <c r="M21" s="175">
        <f>IF(AND(Resum!B16=1,Resum!B17=1),L21,0)</f>
        <v>0</v>
      </c>
    </row>
    <row r="22" ht="19" customHeight="1">
      <c r="A22" s="43"/>
      <c r="B22" s="43"/>
      <c r="C22" s="188"/>
      <c r="D22" s="181" t="s">
        <v>213</v>
      </c>
      <c r="E22" s="182">
        <v>0.0089999999999999993</v>
      </c>
      <c r="F22" s="183">
        <f t="shared" si="29"/>
        <v>52.142857142857146</v>
      </c>
      <c r="G22" s="183">
        <f t="shared" si="30"/>
        <v>234642.85714285716</v>
      </c>
      <c r="H22" s="183">
        <f t="shared" ref="H22:H23" si="34">90*$B$5*12</f>
        <v>5400</v>
      </c>
      <c r="I22" s="183">
        <f t="shared" si="32"/>
        <v>240042.85714285716</v>
      </c>
      <c r="J22" s="172"/>
      <c r="K22" s="194" t="s">
        <v>214</v>
      </c>
      <c r="L22" s="195">
        <f t="shared" si="33"/>
        <v>527428.57142857148</v>
      </c>
      <c r="M22" s="175">
        <f>IF(AND(Resum!B16=1,Resum!B17=0),L22,0)</f>
        <v>0</v>
      </c>
    </row>
    <row r="23" ht="19" customHeight="1">
      <c r="A23" s="43"/>
      <c r="B23" s="43"/>
      <c r="C23" s="188"/>
      <c r="D23" s="181" t="s">
        <v>215</v>
      </c>
      <c r="E23" s="182">
        <v>0.019</v>
      </c>
      <c r="F23" s="183">
        <f t="shared" si="29"/>
        <v>52.142857142857146</v>
      </c>
      <c r="G23" s="183">
        <f t="shared" si="30"/>
        <v>495357.1428571429</v>
      </c>
      <c r="H23" s="183">
        <f t="shared" si="34"/>
        <v>5400</v>
      </c>
      <c r="I23" s="183">
        <f t="shared" si="32"/>
        <v>500757.1428571429</v>
      </c>
      <c r="J23" s="172"/>
      <c r="K23" s="194" t="s">
        <v>216</v>
      </c>
      <c r="L23" s="195">
        <f t="shared" si="33"/>
        <v>240042.85714285716</v>
      </c>
      <c r="M23" s="211">
        <f>IF(AND(Resum!B16=2,Resum!B17=1),L23,0)</f>
        <v>0</v>
      </c>
    </row>
    <row r="24" ht="19" customHeight="1">
      <c r="A24" s="43"/>
      <c r="B24" s="43"/>
      <c r="C24" s="188"/>
      <c r="D24" s="212"/>
      <c r="E24" s="213" t="s">
        <v>217</v>
      </c>
      <c r="F24" s="213" t="s">
        <v>218</v>
      </c>
      <c r="G24" s="213" t="s">
        <v>219</v>
      </c>
      <c r="H24" s="213" t="s">
        <v>220</v>
      </c>
      <c r="I24" s="213" t="s">
        <v>79</v>
      </c>
      <c r="J24" s="214"/>
      <c r="K24" s="194" t="s">
        <v>221</v>
      </c>
      <c r="L24" s="195">
        <f t="shared" si="33"/>
        <v>500757.1428571429</v>
      </c>
      <c r="M24" s="175">
        <f>IF(AND(Resum!B16=2,Resum!B17=0),L24,0)</f>
        <v>0</v>
      </c>
    </row>
    <row r="25" ht="19" customHeight="1">
      <c r="A25" s="43"/>
      <c r="B25" s="43"/>
      <c r="C25" s="188"/>
      <c r="D25" s="181" t="s">
        <v>222</v>
      </c>
      <c r="E25" s="183">
        <f>ROUNDUP($B$3/$B$6,0)</f>
        <v>1250</v>
      </c>
      <c r="F25" s="183">
        <f t="shared" si="29"/>
        <v>52.142857142857146</v>
      </c>
      <c r="G25" s="183">
        <f>120*F25*2</f>
        <v>12514.285714285716</v>
      </c>
      <c r="H25" s="183">
        <f>ROUNDUP(E25*$B$5/20,0)*100</f>
        <v>31300</v>
      </c>
      <c r="I25" s="183">
        <f>G25+H25</f>
        <v>43814.285714285717</v>
      </c>
      <c r="J25" s="172"/>
      <c r="K25" s="194" t="s">
        <v>223</v>
      </c>
      <c r="L25" s="195">
        <f>I25</f>
        <v>43814.285714285717</v>
      </c>
      <c r="M25" s="175">
        <f>IF(Resum!B16=3,L25,0)</f>
        <v>43814.285714285717</v>
      </c>
    </row>
    <row r="26" ht="19" customHeight="1">
      <c r="A26" s="43"/>
      <c r="B26" s="43"/>
      <c r="C26" s="43"/>
      <c r="D26" s="215" t="s">
        <v>224</v>
      </c>
      <c r="E26" s="215" t="s">
        <v>225</v>
      </c>
      <c r="F26" s="215" t="s">
        <v>226</v>
      </c>
      <c r="G26" s="215" t="s">
        <v>227</v>
      </c>
      <c r="H26" s="216"/>
      <c r="I26" s="215" t="s">
        <v>79</v>
      </c>
      <c r="J26" s="43"/>
      <c r="K26" s="95"/>
      <c r="L26" s="95"/>
      <c r="M26" s="43"/>
    </row>
    <row r="27" ht="19" customHeight="1">
      <c r="A27" s="43"/>
      <c r="B27" s="43"/>
      <c r="C27" s="43"/>
      <c r="D27" s="217"/>
      <c r="E27" s="217">
        <f>E25*B5</f>
        <v>6250</v>
      </c>
      <c r="F27" s="217">
        <f>IF($E$25&lt;24,2500,IF($E$25&lt;48,3800,IF($E$25&lt;96,12000,70000)))</f>
        <v>70000</v>
      </c>
      <c r="G27" s="217">
        <f>E27*100</f>
        <v>625000</v>
      </c>
      <c r="H27" s="217"/>
      <c r="I27" s="217">
        <f>(F27+G27)*B11</f>
        <v>695000</v>
      </c>
      <c r="J27" s="43"/>
      <c r="K27" s="43"/>
      <c r="L27" s="43"/>
      <c r="M27" s="49">
        <f>SUM(M21:M26)</f>
        <v>43814.285714285717</v>
      </c>
    </row>
    <row r="28" ht="19" customHeight="1">
      <c r="A28" s="43"/>
      <c r="B28" s="43"/>
      <c r="C28" s="43"/>
      <c r="D28" s="218" t="s">
        <v>228</v>
      </c>
      <c r="E28" s="219"/>
      <c r="F28" s="218" t="s">
        <v>229</v>
      </c>
      <c r="G28" s="220" t="s">
        <v>230</v>
      </c>
      <c r="H28" s="220" t="s">
        <v>231</v>
      </c>
      <c r="I28" s="217"/>
      <c r="J28" s="43"/>
      <c r="K28" s="43"/>
      <c r="L28" s="43"/>
      <c r="M28" s="49"/>
    </row>
    <row r="29" ht="19" customHeight="1">
      <c r="A29" s="43"/>
      <c r="B29" s="43"/>
      <c r="C29" s="43"/>
      <c r="D29" s="221">
        <f>IF($E$25&lt;24,168,IF($E$25&lt;48,312,IF($E$25&lt;96,560,1500)))/1000</f>
        <v>1.5</v>
      </c>
      <c r="E29" s="217"/>
      <c r="F29" s="222">
        <f>IF($E$25&lt;24,2,IF($E$25&lt;48,4,IF($E$25&lt;96,8,40)))</f>
        <v>40</v>
      </c>
      <c r="G29" s="223">
        <f>F29*B7</f>
        <v>40</v>
      </c>
      <c r="H29" s="224">
        <f>D29*B7</f>
        <v>1.5</v>
      </c>
      <c r="I29" s="217"/>
      <c r="J29" s="43"/>
      <c r="K29" s="220" t="s">
        <v>232</v>
      </c>
      <c r="L29" s="225">
        <f>$I$27</f>
        <v>695000</v>
      </c>
      <c r="M29" s="49">
        <f>L29*B11</f>
        <v>695000</v>
      </c>
    </row>
  </sheetData>
  <mergeCells count="13">
    <mergeCell ref="A2:B2"/>
    <mergeCell ref="D2:H2"/>
    <mergeCell ref="D3:E3"/>
    <mergeCell ref="G3:H3"/>
    <mergeCell ref="J3:K3"/>
    <mergeCell ref="J4:L4"/>
    <mergeCell ref="A8:B8"/>
    <mergeCell ref="A9:B9"/>
    <mergeCell ref="D10:H10"/>
    <mergeCell ref="D11:E11"/>
    <mergeCell ref="G11:H11"/>
    <mergeCell ref="D18:H18"/>
    <mergeCell ref="K19:L19"/>
  </mergeCells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&amp;L&amp;"Calibri,Regular"&amp;12&amp;K000000Backup</oddHeader>
    <oddFooter>&amp;L&amp;"Calibri,Regular"&amp;12&amp;K000000Página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E21" activeCellId="0" sqref="E21"/>
    </sheetView>
  </sheetViews>
  <sheetFormatPr baseColWidth="10" defaultColWidth="12.83203125" defaultRowHeight="15.75" customHeight="1"/>
  <cols>
    <col customWidth="1" min="1" max="1" style="42" width="14.5"/>
    <col customWidth="1" min="2" max="2" style="42" width="14.6640625"/>
    <col customWidth="1" min="3" max="3" style="42" width="13.5"/>
    <col customWidth="1" min="4" max="4" style="42" width="16.1640625"/>
    <col customWidth="1" min="5" max="5" style="42" width="18.33203125"/>
    <col customWidth="1" min="6" max="6" style="42" width="13.33203125"/>
    <col customWidth="1" min="7" max="7" style="42" width="15.1640625"/>
    <col customWidth="1" min="8" max="8" style="42" width="12.83203125"/>
    <col customWidth="1" min="9" max="9" style="42" width="5.33203125"/>
    <col customWidth="1" min="10" max="10" style="42" width="9.5"/>
    <col customWidth="1" min="11" max="11" style="42" width="12.33203125"/>
    <col customWidth="1" min="12" max="256" width="12.83203125"/>
  </cols>
  <sheetData>
    <row r="1" ht="19" customHeight="1">
      <c r="A1" s="226" t="s">
        <v>233</v>
      </c>
      <c r="B1" s="226" t="s">
        <v>234</v>
      </c>
      <c r="C1" s="226" t="s">
        <v>235</v>
      </c>
      <c r="D1" s="226" t="s">
        <v>236</v>
      </c>
      <c r="E1" s="226" t="s">
        <v>237</v>
      </c>
      <c r="F1" s="226" t="s">
        <v>238</v>
      </c>
      <c r="G1" s="227" t="s">
        <v>239</v>
      </c>
      <c r="H1" s="43"/>
      <c r="I1" s="43"/>
      <c r="J1" s="43"/>
      <c r="K1" s="43"/>
    </row>
    <row r="2" ht="19.5" customHeight="1">
      <c r="A2" s="85">
        <v>1</v>
      </c>
      <c r="B2" s="228">
        <v>10</v>
      </c>
      <c r="C2" s="229" t="s">
        <v>240</v>
      </c>
      <c r="D2" s="230">
        <v>0.63</v>
      </c>
      <c r="E2" s="203">
        <f>IF(Resum!$B$24=1,Resum!B25,0)</f>
        <v>0</v>
      </c>
      <c r="F2" s="231">
        <f t="shared" ref="F2:F6" si="35">D2*E2*12</f>
        <v>0</v>
      </c>
      <c r="G2" s="231">
        <f t="shared" ref="G2:G6" si="36">F2*0.4</f>
        <v>0</v>
      </c>
      <c r="H2" s="232"/>
      <c r="I2" s="161"/>
      <c r="J2" s="161"/>
      <c r="K2" s="161"/>
    </row>
    <row r="3" ht="19.5" customHeight="1">
      <c r="A3" s="85">
        <v>2</v>
      </c>
      <c r="B3" s="228">
        <v>100</v>
      </c>
      <c r="C3" s="229" t="s">
        <v>240</v>
      </c>
      <c r="D3" s="230">
        <v>6.2999999999999998</v>
      </c>
      <c r="E3" s="203">
        <f>IF(Resum!$B$24=2,Resum!B25,0)</f>
        <v>0</v>
      </c>
      <c r="F3" s="231">
        <f t="shared" si="35"/>
        <v>0</v>
      </c>
      <c r="G3" s="231">
        <f t="shared" si="36"/>
        <v>0</v>
      </c>
      <c r="H3" s="190"/>
      <c r="I3" s="191"/>
      <c r="J3" s="191"/>
      <c r="K3" s="191"/>
    </row>
    <row r="4" ht="19.5" customHeight="1">
      <c r="A4" s="85">
        <v>3</v>
      </c>
      <c r="B4" s="228">
        <v>1000</v>
      </c>
      <c r="C4" s="229" t="s">
        <v>240</v>
      </c>
      <c r="D4" s="230">
        <v>63</v>
      </c>
      <c r="E4" s="203">
        <f>IF(Resum!$B$24=3,Resum!B25,0)</f>
        <v>1</v>
      </c>
      <c r="F4" s="231">
        <f t="shared" si="35"/>
        <v>756</v>
      </c>
      <c r="G4" s="231">
        <f t="shared" si="36"/>
        <v>302.40000000000003</v>
      </c>
      <c r="H4" s="190"/>
      <c r="I4" s="191"/>
      <c r="J4" s="191"/>
      <c r="K4" s="191"/>
    </row>
    <row r="5" ht="19.5" customHeight="1">
      <c r="A5" s="85">
        <v>4</v>
      </c>
      <c r="B5" s="228">
        <v>10000</v>
      </c>
      <c r="C5" s="229" t="s">
        <v>241</v>
      </c>
      <c r="D5" s="230">
        <v>630</v>
      </c>
      <c r="E5" s="203">
        <f>IF(Resum!$B$24=4,Resum!B25,0)</f>
        <v>0</v>
      </c>
      <c r="F5" s="231">
        <f t="shared" si="35"/>
        <v>0</v>
      </c>
      <c r="G5" s="231">
        <f t="shared" si="36"/>
        <v>0</v>
      </c>
      <c r="H5" s="190"/>
      <c r="I5" s="191"/>
      <c r="J5" s="191"/>
      <c r="K5" s="191"/>
    </row>
    <row r="6" ht="31.5" customHeight="1">
      <c r="A6" s="85">
        <v>5</v>
      </c>
      <c r="B6" s="228">
        <v>100000</v>
      </c>
      <c r="C6" s="229" t="s">
        <v>242</v>
      </c>
      <c r="D6" s="230">
        <v>6300</v>
      </c>
      <c r="E6" s="203">
        <f>IF(Resum!$B$24=5,Resum!B25,0)</f>
        <v>0</v>
      </c>
      <c r="F6" s="231">
        <f t="shared" si="35"/>
        <v>0</v>
      </c>
      <c r="G6" s="231">
        <f t="shared" si="36"/>
        <v>0</v>
      </c>
      <c r="H6" s="190"/>
      <c r="I6" s="191"/>
      <c r="J6" s="191"/>
      <c r="K6" s="191"/>
    </row>
    <row r="7" ht="17" customHeight="1">
      <c r="A7" s="233"/>
      <c r="B7" s="187"/>
      <c r="C7" s="187"/>
      <c r="D7" s="187"/>
      <c r="E7" s="234" t="s">
        <v>102</v>
      </c>
      <c r="F7" s="235">
        <f>SUM(F2:F6)</f>
        <v>756</v>
      </c>
      <c r="G7" s="235">
        <f>IF(Resum!B20=3,SUM(G2:G6),0)</f>
        <v>302.40000000000003</v>
      </c>
      <c r="H7" s="191"/>
      <c r="I7" s="191"/>
      <c r="J7" s="191"/>
      <c r="K7" s="191"/>
    </row>
    <row r="8" ht="17" customHeight="1">
      <c r="A8" s="191"/>
      <c r="B8" s="191"/>
      <c r="C8" s="191"/>
      <c r="D8" s="191"/>
      <c r="E8" s="191"/>
      <c r="F8" s="202"/>
      <c r="G8" s="191"/>
      <c r="H8" s="191"/>
      <c r="I8" s="191"/>
      <c r="J8" s="191"/>
      <c r="K8" s="191"/>
    </row>
    <row r="9" ht="17" customHeight="1">
      <c r="A9" s="191"/>
      <c r="B9" s="191"/>
      <c r="C9" s="191"/>
      <c r="D9" s="191"/>
      <c r="E9" s="191"/>
      <c r="F9" s="235">
        <f>IF(Resum!B26=0,F7,F7+G7)</f>
        <v>1058.4000000000001</v>
      </c>
      <c r="G9" s="191"/>
      <c r="H9" s="191"/>
      <c r="I9" s="191"/>
      <c r="J9" s="191"/>
      <c r="K9" s="191"/>
    </row>
    <row r="10" ht="19" customHeight="1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</row>
    <row r="11" ht="19" customHeight="1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</row>
    <row r="12" ht="19" customHeight="1">
      <c r="A12" s="161"/>
      <c r="B12" s="161"/>
      <c r="C12" s="161"/>
      <c r="D12" s="161"/>
      <c r="E12" s="161"/>
      <c r="F12" s="161"/>
      <c r="G12" s="161"/>
      <c r="H12" s="161"/>
      <c r="I12" s="161"/>
      <c r="J12" s="161"/>
      <c r="K12" s="161"/>
    </row>
    <row r="13" ht="19" customHeight="1">
      <c r="A13" s="161"/>
      <c r="B13" s="161"/>
      <c r="C13" s="161"/>
      <c r="D13" s="161"/>
      <c r="E13" s="161"/>
      <c r="F13" s="161"/>
      <c r="G13" s="161"/>
      <c r="H13" s="161"/>
      <c r="I13" s="161"/>
      <c r="J13" s="161"/>
      <c r="K13" s="161"/>
    </row>
  </sheetData>
  <printOptions headings="0" gridLines="0"/>
  <pageMargins left="1" right="1" top="1" bottom="1" header="0.25" footer="0.2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2021-02-18T22:25:20Z</dcterms:created>
  <dcterms:modified xsi:type="dcterms:W3CDTF">2023-10-11T09:43:21Z</dcterms:modified>
</cp:coreProperties>
</file>