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04"/>
  <workbookPr/>
  <mc:AlternateContent xmlns:mc="http://schemas.openxmlformats.org/markup-compatibility/2006">
    <mc:Choice Requires="x15">
      <x15ac:absPath xmlns:x15ac="http://schemas.microsoft.com/office/spreadsheetml/2010/11/ac" url="/Users/david/Documents/CPD/2022-23-Q1-tardor/EBH/"/>
    </mc:Choice>
  </mc:AlternateContent>
  <xr:revisionPtr revIDLastSave="45" documentId="13_ncr:1_{E0F2873B-5575-CB4E-9757-A1BCC6A54172}" xr6:coauthVersionLast="47" xr6:coauthVersionMax="47" xr10:uidLastSave="{A25199CE-21E5-4F3B-A3FE-C4C761B645EC}"/>
  <bookViews>
    <workbookView xWindow="0" yWindow="500" windowWidth="28420" windowHeight="16260" xr2:uid="{00000000-000D-0000-FFFF-FFFF00000000}"/>
  </bookViews>
  <sheets>
    <sheet name="Resum" sheetId="1" r:id="rId1"/>
    <sheet name="Cabina de discos" sheetId="2" r:id="rId2"/>
    <sheet name="SAN" sheetId="3" r:id="rId3"/>
    <sheet name="Electricitat" sheetId="4" r:id="rId4"/>
    <sheet name="Infraestructura" sheetId="5" r:id="rId5"/>
    <sheet name="Backup" sheetId="6" r:id="rId6"/>
    <sheet name="Bandwidth provider" sheetId="7" r:id="rId7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6" l="1"/>
  <c r="B5" i="3"/>
  <c r="B13" i="2"/>
  <c r="G21" i="2"/>
  <c r="G20" i="2"/>
  <c r="G19" i="2"/>
  <c r="G18" i="2"/>
  <c r="G17" i="2"/>
  <c r="G16" i="2"/>
  <c r="F21" i="2"/>
  <c r="F20" i="2"/>
  <c r="F19" i="2"/>
  <c r="F18" i="2"/>
  <c r="F17" i="2"/>
  <c r="F16" i="2"/>
  <c r="E21" i="2"/>
  <c r="E20" i="2"/>
  <c r="E19" i="2"/>
  <c r="E18" i="2"/>
  <c r="E17" i="2"/>
  <c r="E16" i="2"/>
  <c r="G14" i="2"/>
  <c r="G13" i="2"/>
  <c r="G12" i="2"/>
  <c r="G11" i="2"/>
  <c r="G10" i="2"/>
  <c r="G9" i="2"/>
  <c r="G8" i="2"/>
  <c r="G7" i="2"/>
  <c r="G6" i="2"/>
  <c r="G5" i="2"/>
  <c r="F14" i="2"/>
  <c r="F13" i="2"/>
  <c r="F12" i="2"/>
  <c r="F11" i="2"/>
  <c r="F10" i="2"/>
  <c r="F9" i="2"/>
  <c r="F8" i="2"/>
  <c r="F7" i="2"/>
  <c r="F6" i="2"/>
  <c r="F5" i="2"/>
  <c r="E14" i="2"/>
  <c r="E13" i="2"/>
  <c r="E12" i="2"/>
  <c r="E11" i="2"/>
  <c r="E10" i="2"/>
  <c r="E9" i="2"/>
  <c r="E8" i="2"/>
  <c r="E7" i="2"/>
  <c r="E6" i="2"/>
  <c r="E5" i="2"/>
  <c r="E2" i="7" l="1"/>
  <c r="F2" i="7" s="1"/>
  <c r="E3" i="7"/>
  <c r="F3" i="7" s="1"/>
  <c r="E4" i="7"/>
  <c r="F4" i="7" s="1"/>
  <c r="G4" i="7" s="1"/>
  <c r="E5" i="7"/>
  <c r="F5" i="7" s="1"/>
  <c r="G5" i="7" s="1"/>
  <c r="E6" i="7"/>
  <c r="F6" i="7" s="1"/>
  <c r="G6" i="7" s="1"/>
  <c r="G3" i="7"/>
  <c r="B3" i="6"/>
  <c r="B5" i="6"/>
  <c r="B10" i="6"/>
  <c r="B7" i="6"/>
  <c r="M22" i="6"/>
  <c r="H22" i="6"/>
  <c r="B4" i="6"/>
  <c r="F20" i="6" s="1"/>
  <c r="G20" i="6" s="1"/>
  <c r="F22" i="6"/>
  <c r="G22" i="6" s="1"/>
  <c r="I22" i="6" s="1"/>
  <c r="L23" i="6" s="1"/>
  <c r="M23" i="6" s="1"/>
  <c r="M24" i="6"/>
  <c r="F25" i="6"/>
  <c r="G25" i="6" s="1"/>
  <c r="H23" i="6"/>
  <c r="F23" i="6"/>
  <c r="H21" i="6"/>
  <c r="F21" i="6"/>
  <c r="G21" i="6"/>
  <c r="H20" i="6"/>
  <c r="A9" i="6"/>
  <c r="I8" i="6"/>
  <c r="I7" i="6"/>
  <c r="I6" i="6"/>
  <c r="B16" i="2"/>
  <c r="C16" i="2"/>
  <c r="D16" i="2"/>
  <c r="B17" i="2"/>
  <c r="C17" i="2"/>
  <c r="D17" i="2"/>
  <c r="B18" i="2"/>
  <c r="C18" i="2"/>
  <c r="D18" i="2"/>
  <c r="K18" i="2" s="1"/>
  <c r="B19" i="2"/>
  <c r="C19" i="2"/>
  <c r="D19" i="2"/>
  <c r="B20" i="2"/>
  <c r="C20" i="2"/>
  <c r="D20" i="2"/>
  <c r="B21" i="2"/>
  <c r="C21" i="2"/>
  <c r="D21" i="2"/>
  <c r="B5" i="5"/>
  <c r="E26" i="5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C13" i="2"/>
  <c r="D13" i="2"/>
  <c r="B14" i="2"/>
  <c r="C14" i="2"/>
  <c r="D14" i="2"/>
  <c r="B6" i="3"/>
  <c r="B3" i="3"/>
  <c r="E12" i="3" s="1"/>
  <c r="B4" i="3"/>
  <c r="B9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B9" i="5"/>
  <c r="G7" i="5" s="1"/>
  <c r="E16" i="5"/>
  <c r="B8" i="5"/>
  <c r="E5" i="5"/>
  <c r="R7" i="4"/>
  <c r="S7" i="4" s="1"/>
  <c r="R8" i="4"/>
  <c r="S8" i="4"/>
  <c r="R9" i="4"/>
  <c r="S9" i="4" s="1"/>
  <c r="R10" i="4"/>
  <c r="S10" i="4" s="1"/>
  <c r="R11" i="4"/>
  <c r="S11" i="4" s="1"/>
  <c r="R12" i="4"/>
  <c r="S12" i="4" s="1"/>
  <c r="R13" i="4"/>
  <c r="S13" i="4" s="1"/>
  <c r="R14" i="4"/>
  <c r="S14" i="4" s="1"/>
  <c r="R15" i="4"/>
  <c r="S15" i="4" s="1"/>
  <c r="R16" i="4"/>
  <c r="S16" i="4" s="1"/>
  <c r="R17" i="4"/>
  <c r="S17" i="4" s="1"/>
  <c r="R18" i="4"/>
  <c r="S18" i="4" s="1"/>
  <c r="R19" i="4"/>
  <c r="S19" i="4" s="1"/>
  <c r="P20" i="4"/>
  <c r="Q20" i="4"/>
  <c r="M25" i="2"/>
  <c r="K14" i="2"/>
  <c r="K15" i="2"/>
  <c r="K19" i="2"/>
  <c r="K20" i="2"/>
  <c r="K22" i="2"/>
  <c r="E12" i="1"/>
  <c r="E6" i="1"/>
  <c r="E4" i="1"/>
  <c r="N38" i="4" l="1"/>
  <c r="K12" i="2"/>
  <c r="K8" i="2"/>
  <c r="F16" i="6"/>
  <c r="F12" i="6"/>
  <c r="F13" i="6" s="1"/>
  <c r="F14" i="6" s="1"/>
  <c r="F15" i="6" s="1"/>
  <c r="F8" i="6"/>
  <c r="F4" i="6"/>
  <c r="F5" i="6" s="1"/>
  <c r="F6" i="6" s="1"/>
  <c r="F7" i="6" s="1"/>
  <c r="I20" i="6"/>
  <c r="L21" i="6" s="1"/>
  <c r="M21" i="6" s="1"/>
  <c r="R20" i="4"/>
  <c r="J38" i="4"/>
  <c r="P38" i="4"/>
  <c r="L38" i="4"/>
  <c r="J13" i="2"/>
  <c r="J16" i="2"/>
  <c r="C15" i="3"/>
  <c r="C14" i="3"/>
  <c r="C13" i="3"/>
  <c r="C12" i="3"/>
  <c r="C6" i="3"/>
  <c r="E8" i="3"/>
  <c r="E14" i="3"/>
  <c r="H14" i="3" s="1"/>
  <c r="C10" i="3"/>
  <c r="C4" i="3"/>
  <c r="E10" i="3"/>
  <c r="E6" i="3"/>
  <c r="H6" i="3" s="1"/>
  <c r="C7" i="3"/>
  <c r="C9" i="3"/>
  <c r="C8" i="3"/>
  <c r="H8" i="3" s="1"/>
  <c r="C5" i="3"/>
  <c r="C3" i="3"/>
  <c r="I3" i="3" s="1"/>
  <c r="J18" i="2"/>
  <c r="J11" i="2"/>
  <c r="J7" i="2"/>
  <c r="K21" i="2"/>
  <c r="M18" i="2"/>
  <c r="K11" i="2"/>
  <c r="K7" i="2"/>
  <c r="J5" i="2"/>
  <c r="J20" i="2"/>
  <c r="K16" i="2"/>
  <c r="J12" i="2"/>
  <c r="M16" i="2"/>
  <c r="K6" i="2"/>
  <c r="S20" i="4"/>
  <c r="J10" i="2"/>
  <c r="K9" i="2"/>
  <c r="G23" i="6"/>
  <c r="I23" i="6" s="1"/>
  <c r="L24" i="6" s="1"/>
  <c r="G29" i="5"/>
  <c r="G20" i="5"/>
  <c r="K38" i="4"/>
  <c r="E19" i="3"/>
  <c r="M21" i="2"/>
  <c r="M19" i="2"/>
  <c r="J19" i="2"/>
  <c r="M38" i="4"/>
  <c r="J14" i="2"/>
  <c r="K13" i="2"/>
  <c r="J9" i="2"/>
  <c r="J8" i="2"/>
  <c r="J6" i="2"/>
  <c r="K5" i="2"/>
  <c r="M20" i="2"/>
  <c r="K17" i="2"/>
  <c r="I21" i="6"/>
  <c r="L22" i="6" s="1"/>
  <c r="K10" i="2"/>
  <c r="O38" i="4"/>
  <c r="M17" i="2"/>
  <c r="F7" i="7"/>
  <c r="G2" i="7"/>
  <c r="G7" i="7" s="1"/>
  <c r="E25" i="6"/>
  <c r="C11" i="3"/>
  <c r="J21" i="2"/>
  <c r="J17" i="2"/>
  <c r="I12" i="3" l="1"/>
  <c r="H12" i="3"/>
  <c r="I10" i="3"/>
  <c r="I13" i="3"/>
  <c r="H13" i="3"/>
  <c r="I15" i="3"/>
  <c r="H15" i="3"/>
  <c r="I14" i="3"/>
  <c r="I8" i="3"/>
  <c r="H10" i="3"/>
  <c r="H3" i="3"/>
  <c r="I6" i="3"/>
  <c r="I9" i="3"/>
  <c r="H9" i="3"/>
  <c r="H7" i="3"/>
  <c r="I7" i="3"/>
  <c r="M24" i="2"/>
  <c r="J24" i="2"/>
  <c r="K24" i="2"/>
  <c r="D29" i="6"/>
  <c r="H29" i="6" s="1"/>
  <c r="E27" i="6"/>
  <c r="G27" i="6" s="1"/>
  <c r="F27" i="6"/>
  <c r="I27" i="6" s="1"/>
  <c r="L29" i="6" s="1"/>
  <c r="M29" i="6" s="1"/>
  <c r="H25" i="6"/>
  <c r="I25" i="6" s="1"/>
  <c r="L25" i="6" s="1"/>
  <c r="M25" i="6" s="1"/>
  <c r="M27" i="6" s="1"/>
  <c r="E8" i="1" s="1"/>
  <c r="F8" i="1" s="1"/>
  <c r="F29" i="6"/>
  <c r="G29" i="6" s="1"/>
  <c r="B6" i="5" s="1"/>
  <c r="H4" i="6"/>
  <c r="L6" i="6" s="1"/>
  <c r="H12" i="6"/>
  <c r="L7" i="6" s="1"/>
  <c r="E7" i="1" s="1"/>
  <c r="F7" i="1" s="1"/>
  <c r="Q38" i="4"/>
  <c r="H11" i="3"/>
  <c r="I11" i="3"/>
  <c r="E5" i="3"/>
  <c r="F9" i="7"/>
  <c r="E9" i="1" s="1"/>
  <c r="F9" i="1" s="1"/>
  <c r="E4" i="3" l="1"/>
  <c r="B4" i="5"/>
  <c r="B3" i="5" s="1"/>
  <c r="E14" i="1"/>
  <c r="H4" i="3"/>
  <c r="I4" i="3"/>
  <c r="H5" i="3"/>
  <c r="I5" i="3"/>
  <c r="I17" i="3" l="1"/>
  <c r="B19" i="3" s="1"/>
  <c r="G4" i="5"/>
  <c r="G26" i="5"/>
  <c r="G27" i="5" s="1"/>
  <c r="G16" i="5"/>
  <c r="G10" i="5"/>
  <c r="H17" i="3"/>
  <c r="B18" i="3" s="1"/>
  <c r="E13" i="1" s="1"/>
  <c r="E21" i="1" s="1"/>
  <c r="B10" i="4" l="1"/>
  <c r="B30" i="4"/>
  <c r="B35" i="4"/>
  <c r="B20" i="4"/>
  <c r="B24" i="4"/>
  <c r="C24" i="4" s="1"/>
  <c r="B22" i="4"/>
  <c r="B18" i="4"/>
  <c r="C18" i="4" s="1"/>
  <c r="D18" i="4" s="1"/>
  <c r="B23" i="4"/>
  <c r="E23" i="4" s="1"/>
  <c r="F23" i="4" s="1"/>
  <c r="B28" i="4"/>
  <c r="C28" i="4" s="1"/>
  <c r="B25" i="4"/>
  <c r="B36" i="4"/>
  <c r="C36" i="4" s="1"/>
  <c r="B32" i="4"/>
  <c r="C32" i="4" s="1"/>
  <c r="B27" i="4"/>
  <c r="C27" i="4" s="1"/>
  <c r="B29" i="4"/>
  <c r="B26" i="4"/>
  <c r="B37" i="4"/>
  <c r="B33" i="4"/>
  <c r="C33" i="4" s="1"/>
  <c r="G17" i="5"/>
  <c r="G19" i="5"/>
  <c r="C20" i="4"/>
  <c r="E20" i="4"/>
  <c r="F20" i="4" s="1"/>
  <c r="C22" i="4"/>
  <c r="E22" i="4"/>
  <c r="F22" i="4" s="1"/>
  <c r="E18" i="4"/>
  <c r="C23" i="4"/>
  <c r="C25" i="4"/>
  <c r="E25" i="4"/>
  <c r="F25" i="4" s="1"/>
  <c r="E36" i="4"/>
  <c r="F36" i="4" s="1"/>
  <c r="G5" i="5"/>
  <c r="G6" i="5"/>
  <c r="C29" i="4"/>
  <c r="E29" i="4"/>
  <c r="F29" i="4" s="1"/>
  <c r="C26" i="4"/>
  <c r="E26" i="4"/>
  <c r="F26" i="4" s="1"/>
  <c r="C37" i="4"/>
  <c r="E37" i="4"/>
  <c r="F37" i="4" s="1"/>
  <c r="C30" i="4"/>
  <c r="E30" i="4"/>
  <c r="F30" i="4" s="1"/>
  <c r="C35" i="4"/>
  <c r="E35" i="4"/>
  <c r="F35" i="4" s="1"/>
  <c r="B34" i="4" l="1"/>
  <c r="B38" i="4"/>
  <c r="B21" i="4"/>
  <c r="B19" i="4"/>
  <c r="B31" i="4"/>
  <c r="E32" i="4"/>
  <c r="F32" i="4" s="1"/>
  <c r="E24" i="4"/>
  <c r="F24" i="4" s="1"/>
  <c r="E33" i="4"/>
  <c r="F33" i="4" s="1"/>
  <c r="E27" i="4"/>
  <c r="F27" i="4" s="1"/>
  <c r="E28" i="4"/>
  <c r="F28" i="4" s="1"/>
  <c r="F18" i="4"/>
  <c r="C31" i="4" l="1"/>
  <c r="E31" i="4"/>
  <c r="F31" i="4" s="1"/>
  <c r="C19" i="4"/>
  <c r="E19" i="4"/>
  <c r="F19" i="4" s="1"/>
  <c r="C21" i="4"/>
  <c r="E21" i="4"/>
  <c r="F21" i="4" s="1"/>
  <c r="C38" i="4"/>
  <c r="E38" i="4"/>
  <c r="F38" i="4" s="1"/>
  <c r="G38" i="4" s="1"/>
  <c r="C34" i="4"/>
  <c r="E34" i="4"/>
  <c r="F34" i="4" s="1"/>
  <c r="G25" i="4"/>
  <c r="B7" i="5"/>
  <c r="G18" i="5" s="1"/>
  <c r="G21" i="5" s="1"/>
  <c r="J5" i="5" s="1"/>
  <c r="K5" i="5" s="1"/>
  <c r="G18" i="4"/>
  <c r="G37" i="4"/>
  <c r="G19" i="4"/>
  <c r="G23" i="4"/>
  <c r="G21" i="4"/>
  <c r="G31" i="4"/>
  <c r="G27" i="4"/>
  <c r="G35" i="4"/>
  <c r="G32" i="4"/>
  <c r="G28" i="4"/>
  <c r="E3" i="1"/>
  <c r="F3" i="1" s="1"/>
  <c r="G36" i="4"/>
  <c r="G33" i="4"/>
  <c r="G29" i="4"/>
  <c r="G20" i="4"/>
  <c r="G26" i="4"/>
  <c r="G30" i="4"/>
  <c r="G34" i="4"/>
  <c r="G24" i="4"/>
  <c r="G22" i="4"/>
  <c r="G28" i="5" l="1"/>
  <c r="G30" i="5" s="1"/>
  <c r="J6" i="5" s="1"/>
  <c r="K6" i="5" s="1"/>
  <c r="G8" i="5"/>
  <c r="G9" i="5" s="1"/>
  <c r="J4" i="5" s="1"/>
  <c r="K4" i="5" s="1"/>
  <c r="E5" i="1" l="1"/>
  <c r="F5" i="1" s="1"/>
  <c r="E20" i="1" s="1"/>
  <c r="E22" i="1" s="1"/>
  <c r="E23" i="1" s="1"/>
</calcChain>
</file>

<file path=xl/sharedStrings.xml><?xml version="1.0" encoding="utf-8"?>
<sst xmlns="http://schemas.openxmlformats.org/spreadsheetml/2006/main" count="332" uniqueCount="243">
  <si>
    <t>TAULA 1: ESCENARI ORIGINAL: EXTRET DE L’ENUNCIAT. OMPLIU EL QUE HI HA EN GRIS.</t>
  </si>
  <si>
    <t>TAULA 3: OPEX</t>
  </si>
  <si>
    <t>anual</t>
  </si>
  <si>
    <t>cinc anys</t>
  </si>
  <si>
    <t>Nombre de Us</t>
  </si>
  <si>
    <t>Consum energètic (hardware només)</t>
  </si>
  <si>
    <t>Alçada Rack (en Us)</t>
  </si>
  <si>
    <t>Empresa de Housing escollida</t>
  </si>
  <si>
    <t>Consum</t>
  </si>
  <si>
    <t>Cost Housing (inclou electricitat addicional)</t>
  </si>
  <si>
    <t>Sobreprovisionament d’electricitat</t>
  </si>
  <si>
    <t>Off-site: empresa escollida</t>
  </si>
  <si>
    <t>Nombre de servidors</t>
  </si>
  <si>
    <t>Cost mirror</t>
  </si>
  <si>
    <t>Diners Totals</t>
  </si>
  <si>
    <t>Cost backup</t>
  </si>
  <si>
    <t>Diners gastats</t>
  </si>
  <si>
    <t>Cost Bandwidth provider</t>
  </si>
  <si>
    <r>
      <rPr>
        <b/>
        <sz val="10"/>
        <color indexed="8"/>
        <rFont val="Helvetica"/>
        <family val="2"/>
      </rPr>
      <t xml:space="preserve">taula 2: Elements que escolliu </t>
    </r>
    <r>
      <rPr>
        <b/>
        <sz val="12"/>
        <color indexed="8"/>
        <rFont val="Helvetica"/>
        <family val="2"/>
      </rPr>
      <t>vosaltres</t>
    </r>
  </si>
  <si>
    <t>TAULA 4: CAPEX</t>
  </si>
  <si>
    <t>Cost</t>
  </si>
  <si>
    <t>Elements de mirror i backup</t>
  </si>
  <si>
    <t>Diners gastats en servers, xarxa, etc</t>
  </si>
  <si>
    <t>GB a emmagatzemar al backup</t>
  </si>
  <si>
    <t>SAN</t>
  </si>
  <si>
    <t>Dies entre 2 backups</t>
  </si>
  <si>
    <t>Sistema emmagatzematge</t>
  </si>
  <si>
    <t>Còpies senceres a mantenir</t>
  </si>
  <si>
    <t>Opció Backup (1=M-A; 2=MS3; 3=Cintes)</t>
  </si>
  <si>
    <t>Opció Mirror (0=NO; 1=SI)</t>
  </si>
  <si>
    <t>Sistema de backup on-site? (0=N=; 1=SI)</t>
  </si>
  <si>
    <t>Elements de housing</t>
  </si>
  <si>
    <t>TAULA 5: AJUST AL PRESSUPOST</t>
  </si>
  <si>
    <t>Opció escollida (1:MOCOSA, 2: CPDs Céspedes, 3: Mordor)</t>
  </si>
  <si>
    <t>Opex a 5 anys, total</t>
  </si>
  <si>
    <r>
      <rPr>
        <sz val="12"/>
        <color indexed="8"/>
        <rFont val="Calibri"/>
        <family val="2"/>
      </rPr>
      <t xml:space="preserve">Gestió local de </t>
    </r>
    <r>
      <rPr>
        <i/>
        <sz val="12"/>
        <color indexed="8"/>
        <rFont val="Calibri"/>
        <family val="2"/>
      </rPr>
      <t>backup</t>
    </r>
    <r>
      <rPr>
        <sz val="12"/>
        <color indexed="8"/>
        <rFont val="Calibri"/>
        <family val="2"/>
      </rPr>
      <t>? (0=No, 1=Si)</t>
    </r>
  </si>
  <si>
    <t>Capex a 5 anys, total</t>
  </si>
  <si>
    <t>Monitorització? (0=NO; 1=SI)</t>
  </si>
  <si>
    <t>Despeses totals a 5 anys</t>
  </si>
  <si>
    <t>Bandwidth provider</t>
  </si>
  <si>
    <t>Diferència respecte al pressupost</t>
  </si>
  <si>
    <t>Tipus de línia (1:10Mbps; 2:100Mbps; 3:1Gbps; 4:10Gbps; 5:100Gbps)</t>
  </si>
  <si>
    <t>Número de línies agregades</t>
  </si>
  <si>
    <t>Segon proveïdor? (0=NO, 1=SI)</t>
  </si>
  <si>
    <t>SAN? (0=no, 1=8Gbps, 2=16Gbps, 3=32Gbps, 4=64Gbps, 5=128Gbps)</t>
  </si>
  <si>
    <t>Cabina de discos</t>
  </si>
  <si>
    <t>Opció Disc principal (Entre 1 i 10)</t>
  </si>
  <si>
    <t>Nombre de discos a comprar</t>
  </si>
  <si>
    <t>Opció cabina de discos (Entre 1 i 6)</t>
  </si>
  <si>
    <t>Nombre de Cabines</t>
  </si>
  <si>
    <t>Cabina de discos 2 (cas de fer servir dos tipus)</t>
  </si>
  <si>
    <t>Opció Disc (Entre 1 i 10)</t>
  </si>
  <si>
    <t>Cabina de discos 3 (cas de fer servir tres tipus)</t>
  </si>
  <si>
    <t>Discos</t>
  </si>
  <si>
    <t>És principal?</t>
  </si>
  <si>
    <t>Cabina 2?</t>
  </si>
  <si>
    <t>Cabina 3?</t>
  </si>
  <si>
    <t># pral</t>
  </si>
  <si>
    <t>#2</t>
  </si>
  <si>
    <t>#3</t>
  </si>
  <si>
    <t>Preu</t>
  </si>
  <si>
    <t>Consum Total</t>
  </si>
  <si>
    <t>Preu Total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</si>
  <si>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</si>
  <si>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</si>
  <si>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</si>
  <si>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</si>
  <si>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</si>
  <si>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</si>
  <si>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</si>
  <si>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</si>
  <si>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</si>
  <si>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</si>
  <si>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Cabines</t>
  </si>
  <si>
    <t>#U per cabina</t>
  </si>
  <si>
    <t>#U Total</t>
  </si>
  <si>
    <t>TOTAL</t>
  </si>
  <si>
    <t>U’s</t>
  </si>
  <si>
    <t>Individual</t>
  </si>
  <si>
    <t>Total</t>
  </si>
  <si>
    <t>INFORMACIÓ A INTRODUIR</t>
  </si>
  <si>
    <t>ACTIU?</t>
  </si>
  <si>
    <t>Pels càlculs</t>
  </si>
  <si>
    <t>Quantitat</t>
  </si>
  <si>
    <t>Número de servers</t>
  </si>
  <si>
    <t>SPF</t>
  </si>
  <si>
    <t>Us per rack</t>
  </si>
  <si>
    <t>Switch rack</t>
  </si>
  <si>
    <t>Número de racks d’emmagatzematge</t>
  </si>
  <si>
    <t>Cablejat</t>
  </si>
  <si>
    <t>OPCIÓ ESCOLLIDA</t>
  </si>
  <si>
    <t>HBA 8Gbps</t>
  </si>
  <si>
    <t>Switch core 8GBPS</t>
  </si>
  <si>
    <t>HBA 16Gbps</t>
  </si>
  <si>
    <t>Switch core 16GBPS</t>
  </si>
  <si>
    <t>HBA 32Gbps</t>
  </si>
  <si>
    <t>Switch core 32GBPS</t>
  </si>
  <si>
    <t>HBA 64Gbps</t>
  </si>
  <si>
    <t>Switch core 64GBPS</t>
  </si>
  <si>
    <t>HBA 128Gbps</t>
  </si>
  <si>
    <t>Switch core 128GBPS</t>
  </si>
  <si>
    <t>RESULTATS</t>
  </si>
  <si>
    <t>Total=</t>
  </si>
  <si>
    <t>Cost económic</t>
  </si>
  <si>
    <t>Racks=</t>
  </si>
  <si>
    <t>DADES DE CONSUM DELS EQUIPS DE COMPUTACIÓ I COMUNICACIÓ</t>
  </si>
  <si>
    <t>Càlcul aproximat de factura, per una línia d'alta tensió (20kV) en mode tarifari 6.1A</t>
  </si>
  <si>
    <t>Períodes</t>
  </si>
  <si>
    <t>P1</t>
  </si>
  <si>
    <t>P2</t>
  </si>
  <si>
    <t>P3</t>
  </si>
  <si>
    <t>P4</t>
  </si>
  <si>
    <t>P5</t>
  </si>
  <si>
    <t>P6</t>
  </si>
  <si>
    <t>Month / Hours in period per day</t>
  </si>
  <si>
    <t>Cost €/kW contractat i any</t>
  </si>
  <si>
    <t>Week Days</t>
  </si>
  <si>
    <t>Weekend Days</t>
  </si>
  <si>
    <t>Days</t>
  </si>
  <si>
    <t>Total Hours</t>
  </si>
  <si>
    <t>Cost €/kWh consumit</t>
  </si>
  <si>
    <t>January</t>
  </si>
  <si>
    <t>february</t>
  </si>
  <si>
    <t>Sobreprovisionament de potència</t>
  </si>
  <si>
    <t xml:space="preserve">  -&gt; Contracto potència per sobre del màxim consum esperat per seguretat</t>
  </si>
  <si>
    <t>March</t>
  </si>
  <si>
    <t>kW consumits per computació i comunicació</t>
  </si>
  <si>
    <t xml:space="preserve">  -&gt; Potència màxima que espero consumir basat en HW</t>
  </si>
  <si>
    <t>April</t>
  </si>
  <si>
    <t>May</t>
  </si>
  <si>
    <t xml:space="preserve">Tarifas vigentes de electricidad a partir del 1 de enero de 2013, publicadas en el BOE de 27 de diciembre de 2012. </t>
  </si>
  <si>
    <t>June H1</t>
  </si>
  <si>
    <t>June H2</t>
  </si>
  <si>
    <t>Caselles que es modifiquen</t>
  </si>
  <si>
    <t>July</t>
  </si>
  <si>
    <t>August</t>
  </si>
  <si>
    <t>September</t>
  </si>
  <si>
    <t>PUE</t>
  </si>
  <si>
    <t>Consum Elèctric Total               (kW)</t>
  </si>
  <si>
    <t>kW contractats necessaris</t>
  </si>
  <si>
    <t>Cost "Término Potencia"</t>
  </si>
  <si>
    <t>Cost "Término Energía"</t>
  </si>
  <si>
    <t>Cost Total Energia Anual</t>
  </si>
  <si>
    <t>Sobrecost</t>
  </si>
  <si>
    <t>October</t>
  </si>
  <si>
    <t>November</t>
  </si>
  <si>
    <t>December</t>
  </si>
  <si>
    <t>Month / Hours in period per month</t>
  </si>
  <si>
    <t>Weekend (P6)</t>
  </si>
  <si>
    <t>Yearly</t>
  </si>
  <si>
    <t>INFORMACIÓ PROVINENT D’ALTRES FULLS</t>
  </si>
  <si>
    <t>Opció 1: containers (Modular Containers S.A.)</t>
  </si>
  <si>
    <t>Finals</t>
  </si>
  <si>
    <t>Nombre de Us Total</t>
  </si>
  <si>
    <t>Especificacions</t>
  </si>
  <si>
    <t>Resultats</t>
  </si>
  <si>
    <t>Opció</t>
  </si>
  <si>
    <t>Cost anual</t>
  </si>
  <si>
    <t>Cost cinc anys</t>
  </si>
  <si>
    <t>- sistema emmagatzematge</t>
  </si>
  <si>
    <t xml:space="preserve">Racks / container </t>
  </si>
  <si>
    <t>Nombre de containers</t>
  </si>
  <si>
    <t>- només màquines</t>
  </si>
  <si>
    <t>Us / Rack</t>
  </si>
  <si>
    <t>Lloguer containers (e/any)</t>
  </si>
  <si>
    <t>- backup propi</t>
  </si>
  <si>
    <t>Lloguer d'un container (e/any)</t>
  </si>
  <si>
    <t>Monitorització</t>
  </si>
  <si>
    <t>Cost energia (euros/any)</t>
  </si>
  <si>
    <t>Preu Monitorització (e/container)</t>
  </si>
  <si>
    <t>Gestió local backup</t>
  </si>
  <si>
    <t>Monitorització? (0=no; 1=si)</t>
  </si>
  <si>
    <r>
      <rPr>
        <sz val="12"/>
        <color indexed="8"/>
        <rFont val="Calibri"/>
        <family val="2"/>
      </rPr>
      <t>Electricitat addicional</t>
    </r>
    <r>
      <rPr>
        <sz val="12"/>
        <color indexed="8"/>
        <rFont val="Calibri"/>
        <family val="2"/>
      </rPr>
      <t xml:space="preserve">
</t>
    </r>
    <r>
      <rPr>
        <sz val="12"/>
        <color indexed="8"/>
        <rFont val="Calibri"/>
        <family val="2"/>
      </rPr>
      <t>(30%)</t>
    </r>
  </si>
  <si>
    <t>Total any</t>
  </si>
  <si>
    <t>Informació addicional</t>
  </si>
  <si>
    <t>Nombre de racks</t>
  </si>
  <si>
    <t>Opció 2: Colocation tier 2 (CPDs Céspedes S.L.)</t>
  </si>
  <si>
    <t>Preu (euros/rack)</t>
  </si>
  <si>
    <t>Lloguer espai (e/any)</t>
  </si>
  <si>
    <t>Monitorització (e/rack)</t>
  </si>
  <si>
    <t>Electricitat addicional (40%)</t>
  </si>
  <si>
    <t>Opció 3: Colocation tier 3 (Mordor)</t>
  </si>
  <si>
    <t>Electricitat addicional (15%)</t>
  </si>
  <si>
    <t>Informació provinent d’altres fulls</t>
  </si>
  <si>
    <t>Mirroring opció 1: Microworks Apure</t>
  </si>
  <si>
    <t>GB a emmagatzemar</t>
  </si>
  <si>
    <t>GB a aquest preu</t>
  </si>
  <si>
    <t>Preu 1TB (euros per GB i mes)</t>
  </si>
  <si>
    <t>Preu (e/mes)</t>
  </si>
  <si>
    <t>OPCIÓ MIRRORING</t>
  </si>
  <si>
    <t>Preu 1-50 TB</t>
  </si>
  <si>
    <t>Codi</t>
  </si>
  <si>
    <t>Mida cintes (GB comprimit)</t>
  </si>
  <si>
    <t>Preu 51-500 TB</t>
  </si>
  <si>
    <t>M-A</t>
  </si>
  <si>
    <t>Preu 501-5000 TB</t>
  </si>
  <si>
    <t>M S3</t>
  </si>
  <si>
    <t>Empresa escollida</t>
  </si>
  <si>
    <t>Preu &gt;5000 TB TB</t>
  </si>
  <si>
    <t>Sense</t>
  </si>
  <si>
    <t>Amb mirror? (0=no; 1 =si)</t>
  </si>
  <si>
    <t>Mirroring opció 2: Monsoon S3</t>
  </si>
  <si>
    <t>Backup on-site? (0=no; 1 =si)</t>
  </si>
  <si>
    <t>Backup</t>
  </si>
  <si>
    <t>e/GB</t>
  </si>
  <si>
    <t>mitja backups any</t>
  </si>
  <si>
    <t>Cost anual fer backups (e/any)</t>
  </si>
  <si>
    <t>Còpies (e/any)</t>
  </si>
  <si>
    <t>OPCIÓ BACKUP</t>
  </si>
  <si>
    <t>Microworks Apure amb mirror</t>
  </si>
  <si>
    <t>Auxiliar per càlculs</t>
  </si>
  <si>
    <t>Microworks Apure sense mirror</t>
  </si>
  <si>
    <t>M-A amb</t>
  </si>
  <si>
    <t>Monsoon S3 amb mirror</t>
  </si>
  <si>
    <t>M-A sense</t>
  </si>
  <si>
    <t>Monsoon S3 sense mirror</t>
  </si>
  <si>
    <t>M S3 amb</t>
  </si>
  <si>
    <t>N. cintes</t>
  </si>
  <si>
    <t>Numero transports any</t>
  </si>
  <si>
    <t>Cost / transport (viatge+personal)</t>
  </si>
  <si>
    <t>cost mant. copies</t>
  </si>
  <si>
    <t>M S3 sense</t>
  </si>
  <si>
    <t>Take the tapes and run</t>
  </si>
  <si>
    <t>TTTAR</t>
  </si>
  <si>
    <t>Robot de cintes</t>
  </si>
  <si>
    <t>N. Cintes</t>
  </si>
  <si>
    <t>Cost robot</t>
  </si>
  <si>
    <t>cost cintes</t>
  </si>
  <si>
    <t>Consum robot</t>
  </si>
  <si>
    <t>U’s Robot</t>
  </si>
  <si>
    <t>U’s total</t>
  </si>
  <si>
    <t>Consum total</t>
  </si>
  <si>
    <t>Backup on-site</t>
  </si>
  <si>
    <t>OPCIÓ</t>
  </si>
  <si>
    <t>BW</t>
  </si>
  <si>
    <t>CONNECTOR</t>
  </si>
  <si>
    <t>PREU MENSUAL</t>
  </si>
  <si>
    <t>Linies contractades</t>
  </si>
  <si>
    <t>PREU ANUAL</t>
  </si>
  <si>
    <t>Línia addicional</t>
  </si>
  <si>
    <t>1GbE RJ45</t>
  </si>
  <si>
    <t>SFP-10G-SR</t>
  </si>
  <si>
    <t>CFP-100G-SR10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</si>
</sst>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&quot;U&quot;"/>
    <numFmt numFmtId="165" formatCode="&quot;€&quot;#,##0.00"/>
    <numFmt numFmtId="166" formatCode="#.##&quot;kW&quot;"/>
    <numFmt numFmtId="167" formatCode="0.##&quot;W&quot;"/>
    <numFmt numFmtId="168" formatCode="[$€-2]\ 0.00"/>
    <numFmt numFmtId="169" formatCode="&quot;€&quot;#,##0.000000"/>
    <numFmt numFmtId="170" formatCode="0&quot;kW&quot;"/>
    <numFmt numFmtId="171" formatCode="#,##0.00&quot; €&quot;"/>
    <numFmt numFmtId="172" formatCode="0&quot;Mbps&quot;"/>
  </numFmts>
  <fonts count="21">
    <font>
      <sz val="12"/>
      <color indexed="8"/>
      <name val="Calibri"/>
    </font>
    <font>
      <b/>
      <sz val="10"/>
      <color indexed="8"/>
      <name val="Calibri"/>
      <family val="2"/>
    </font>
    <font>
      <b/>
      <sz val="10"/>
      <color indexed="8"/>
      <name val="Helvetica"/>
      <family val="2"/>
    </font>
    <font>
      <sz val="11"/>
      <color indexed="8"/>
      <name val="Calibri"/>
      <family val="2"/>
    </font>
    <font>
      <b/>
      <sz val="12"/>
      <color indexed="8"/>
      <name val="Helvetica"/>
      <family val="2"/>
    </font>
    <font>
      <b/>
      <sz val="12"/>
      <color indexed="8"/>
      <name val="Calibri"/>
      <family val="2"/>
    </font>
    <font>
      <i/>
      <sz val="12"/>
      <color indexed="8"/>
      <name val="Calibri"/>
      <family val="2"/>
    </font>
    <font>
      <i/>
      <sz val="12"/>
      <color indexed="26"/>
      <name val="Calibri"/>
      <family val="2"/>
    </font>
    <font>
      <sz val="12"/>
      <color indexed="27"/>
      <name val="Calibri"/>
      <family val="2"/>
    </font>
    <font>
      <b/>
      <sz val="12"/>
      <color indexed="28"/>
      <name val="Calibri"/>
      <family val="2"/>
    </font>
    <font>
      <sz val="12"/>
      <color indexed="9"/>
      <name val="Calibri"/>
      <family val="2"/>
    </font>
    <font>
      <b/>
      <sz val="12"/>
      <color indexed="30"/>
      <name val="Calibri"/>
      <family val="2"/>
    </font>
    <font>
      <b/>
      <sz val="12"/>
      <color indexed="25"/>
      <name val="Calibri"/>
      <family val="2"/>
    </font>
    <font>
      <b/>
      <sz val="12"/>
      <color indexed="24"/>
      <name val="Calibri"/>
      <family val="2"/>
    </font>
    <font>
      <sz val="12"/>
      <color indexed="30"/>
      <name val="Calibri"/>
      <family val="2"/>
    </font>
    <font>
      <b/>
      <sz val="12"/>
      <color indexed="31"/>
      <name val="Calibri"/>
      <family val="2"/>
    </font>
    <font>
      <sz val="12"/>
      <color indexed="25"/>
      <name val="Calibri"/>
      <family val="2"/>
    </font>
    <font>
      <sz val="11"/>
      <color indexed="8"/>
      <name val="Liberation Sans"/>
    </font>
    <font>
      <sz val="12"/>
      <color indexed="8"/>
      <name val="Liberation Sans"/>
    </font>
    <font>
      <sz val="12"/>
      <color indexed="8"/>
      <name val="Cambria"/>
      <family val="1"/>
    </font>
    <font>
      <sz val="12"/>
      <color indexed="8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9"/>
        <bgColor auto="1"/>
      </patternFill>
    </fill>
    <fill>
      <patternFill patternType="solid">
        <fgColor indexed="31"/>
        <bgColor auto="1"/>
      </patternFill>
    </fill>
    <fill>
      <patternFill patternType="solid">
        <fgColor indexed="32"/>
        <bgColor auto="1"/>
      </patternFill>
    </fill>
    <fill>
      <patternFill patternType="solid">
        <fgColor indexed="33"/>
        <bgColor auto="1"/>
      </patternFill>
    </fill>
    <fill>
      <patternFill patternType="solid">
        <fgColor indexed="30"/>
        <bgColor auto="1"/>
      </patternFill>
    </fill>
    <fill>
      <patternFill patternType="solid">
        <fgColor indexed="34"/>
        <bgColor auto="1"/>
      </patternFill>
    </fill>
    <fill>
      <patternFill patternType="solid">
        <fgColor indexed="35"/>
        <bgColor auto="1"/>
      </patternFill>
    </fill>
    <fill>
      <patternFill patternType="solid">
        <fgColor indexed="36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37"/>
        <bgColor auto="1"/>
      </patternFill>
    </fill>
    <fill>
      <patternFill patternType="solid">
        <fgColor indexed="38"/>
        <bgColor auto="1"/>
      </patternFill>
    </fill>
    <fill>
      <patternFill patternType="solid">
        <fgColor indexed="39"/>
        <bgColor auto="1"/>
      </patternFill>
    </fill>
    <fill>
      <patternFill patternType="solid">
        <fgColor indexed="40"/>
        <bgColor auto="1"/>
      </patternFill>
    </fill>
    <fill>
      <patternFill patternType="solid">
        <fgColor indexed="41"/>
        <bgColor auto="1"/>
      </patternFill>
    </fill>
    <fill>
      <patternFill patternType="solid">
        <fgColor indexed="42"/>
        <bgColor auto="1"/>
      </patternFill>
    </fill>
  </fills>
  <borders count="64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ck">
        <color indexed="10"/>
      </bottom>
      <diagonal/>
    </border>
    <border>
      <left style="thick">
        <color indexed="8"/>
      </left>
      <right style="thin">
        <color indexed="9"/>
      </right>
      <top style="thick">
        <color indexed="8"/>
      </top>
      <bottom style="thick">
        <color indexed="8"/>
      </bottom>
      <diagonal/>
    </border>
    <border>
      <left style="thin">
        <color indexed="9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n">
        <color indexed="9"/>
      </top>
      <bottom style="thin">
        <color indexed="9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ck">
        <color indexed="8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8"/>
      </left>
      <right style="thick">
        <color indexed="10"/>
      </right>
      <top style="thin">
        <color indexed="9"/>
      </top>
      <bottom style="thin">
        <color indexed="9"/>
      </bottom>
      <diagonal/>
    </border>
    <border>
      <left style="thick">
        <color indexed="10"/>
      </left>
      <right style="thick">
        <color indexed="10"/>
      </right>
      <top style="thick">
        <color indexed="8"/>
      </top>
      <bottom style="thick">
        <color indexed="10"/>
      </bottom>
      <diagonal/>
    </border>
    <border>
      <left style="thick">
        <color indexed="10"/>
      </left>
      <right style="thin">
        <color indexed="9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n">
        <color indexed="8"/>
      </bottom>
      <diagonal/>
    </border>
    <border>
      <left style="thick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10"/>
      </left>
      <right style="thick">
        <color indexed="10"/>
      </right>
      <top style="thin">
        <color indexed="8"/>
      </top>
      <bottom style="thick">
        <color indexed="10"/>
      </bottom>
      <diagonal/>
    </border>
    <border>
      <left style="thin">
        <color indexed="9"/>
      </left>
      <right style="thin">
        <color indexed="9"/>
      </right>
      <top style="thick">
        <color indexed="8"/>
      </top>
      <bottom style="thick">
        <color indexed="8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ck">
        <color indexed="8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ck">
        <color indexed="10"/>
      </bottom>
      <diagonal/>
    </border>
    <border>
      <left style="thin">
        <color indexed="9"/>
      </left>
      <right style="thin">
        <color indexed="9"/>
      </right>
      <top style="thick">
        <color indexed="10"/>
      </top>
      <bottom style="thin">
        <color indexed="9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10"/>
      </bottom>
      <diagonal/>
    </border>
    <border>
      <left style="thick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ck">
        <color indexed="8"/>
      </left>
      <right style="thin">
        <color indexed="9"/>
      </right>
      <top style="thin">
        <color indexed="9"/>
      </top>
      <bottom style="thick">
        <color indexed="10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/>
      <right/>
      <top/>
      <bottom/>
      <diagonal/>
    </border>
    <border>
      <left style="thin">
        <color indexed="16"/>
      </left>
      <right style="thin">
        <color indexed="16"/>
      </right>
      <top/>
      <bottom style="thin">
        <color indexed="16"/>
      </bottom>
      <diagonal/>
    </border>
    <border>
      <left style="thin">
        <color indexed="16"/>
      </left>
      <right style="thin">
        <color indexed="16"/>
      </right>
      <top/>
      <bottom style="thin">
        <color indexed="8"/>
      </bottom>
      <diagonal/>
    </border>
    <border>
      <left style="thin">
        <color indexed="16"/>
      </left>
      <right/>
      <top/>
      <bottom style="thin">
        <color indexed="8"/>
      </bottom>
      <diagonal/>
    </border>
    <border>
      <left style="thin">
        <color indexed="16"/>
      </left>
      <right style="thin">
        <color indexed="8"/>
      </right>
      <top style="thin">
        <color indexed="16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8"/>
      </top>
      <bottom style="thin">
        <color indexed="8"/>
      </bottom>
      <diagonal/>
    </border>
    <border>
      <left style="thin">
        <color indexed="16"/>
      </left>
      <right/>
      <top style="thin">
        <color indexed="8"/>
      </top>
      <bottom style="thin">
        <color indexed="16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/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/>
      <diagonal/>
    </border>
    <border>
      <left style="thin">
        <color indexed="16"/>
      </left>
      <right/>
      <top style="thin">
        <color indexed="16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6"/>
      </left>
      <right style="thin">
        <color indexed="16"/>
      </right>
      <top style="thin">
        <color indexed="16"/>
      </top>
      <bottom style="hair">
        <color indexed="8"/>
      </bottom>
      <diagonal/>
    </border>
    <border>
      <left style="thin">
        <color indexed="16"/>
      </left>
      <right style="hair">
        <color indexed="8"/>
      </right>
      <top style="thin">
        <color indexed="16"/>
      </top>
      <bottom style="thin">
        <color indexed="16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16"/>
      </right>
      <top style="thin">
        <color indexed="16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hair">
        <color indexed="8"/>
      </top>
      <bottom style="thin">
        <color indexed="16"/>
      </bottom>
      <diagonal/>
    </border>
    <border>
      <left style="thin">
        <color indexed="16"/>
      </left>
      <right style="hair">
        <color indexed="8"/>
      </right>
      <top style="hair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16"/>
      </right>
      <top style="hair">
        <color indexed="8"/>
      </top>
      <bottom style="hair">
        <color indexed="8"/>
      </bottom>
      <diagonal/>
    </border>
    <border>
      <left style="thin">
        <color indexed="16"/>
      </left>
      <right style="thin">
        <color indexed="16"/>
      </right>
      <top style="thin">
        <color indexed="16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16"/>
      </right>
      <top style="thin">
        <color indexed="8"/>
      </top>
      <bottom style="thin">
        <color indexed="16"/>
      </bottom>
      <diagonal/>
    </border>
    <border>
      <left style="thin">
        <color indexed="16"/>
      </left>
      <right style="thin">
        <color indexed="8"/>
      </right>
      <top style="thin">
        <color indexed="16"/>
      </top>
      <bottom style="thin">
        <color indexed="16"/>
      </bottom>
      <diagonal/>
    </border>
    <border>
      <left style="thin">
        <color indexed="8"/>
      </left>
      <right style="thin">
        <color indexed="16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6"/>
      </right>
      <top style="thin">
        <color indexed="16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16"/>
      </top>
      <bottom style="thin">
        <color indexed="16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49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0" fillId="0" borderId="1" xfId="0" applyBorder="1">
      <alignment vertical="top" wrapText="1"/>
    </xf>
    <xf numFmtId="0" fontId="0" fillId="0" borderId="2" xfId="0" applyBorder="1">
      <alignment vertical="top" wrapText="1"/>
    </xf>
    <xf numFmtId="0" fontId="0" fillId="0" borderId="3" xfId="0" applyBorder="1">
      <alignment vertical="top" wrapText="1"/>
    </xf>
    <xf numFmtId="0" fontId="0" fillId="0" borderId="6" xfId="0" applyBorder="1">
      <alignment vertical="top" wrapText="1"/>
    </xf>
    <xf numFmtId="49" fontId="2" fillId="2" borderId="7" xfId="0" applyNumberFormat="1" applyFont="1" applyFill="1" applyBorder="1" applyAlignment="1">
      <alignment horizontal="left" vertical="top" wrapText="1"/>
    </xf>
    <xf numFmtId="49" fontId="0" fillId="3" borderId="8" xfId="0" applyNumberFormat="1" applyFill="1" applyBorder="1">
      <alignment vertical="top" wrapText="1"/>
    </xf>
    <xf numFmtId="49" fontId="0" fillId="3" borderId="9" xfId="0" applyNumberFormat="1" applyFill="1" applyBorder="1">
      <alignment vertical="top" wrapText="1"/>
    </xf>
    <xf numFmtId="0" fontId="0" fillId="0" borderId="10" xfId="0" applyBorder="1">
      <alignment vertical="top" wrapText="1"/>
    </xf>
    <xf numFmtId="49" fontId="0" fillId="3" borderId="7" xfId="0" applyNumberFormat="1" applyFill="1" applyBorder="1">
      <alignment vertical="top" wrapText="1"/>
    </xf>
    <xf numFmtId="164" fontId="0" fillId="4" borderId="7" xfId="0" applyNumberFormat="1" applyFill="1" applyBorder="1">
      <alignment vertical="top" wrapText="1"/>
    </xf>
    <xf numFmtId="0" fontId="0" fillId="0" borderId="11" xfId="0" applyBorder="1">
      <alignment vertical="top" wrapText="1"/>
    </xf>
    <xf numFmtId="49" fontId="0" fillId="3" borderId="12" xfId="0" applyNumberFormat="1" applyFill="1" applyBorder="1">
      <alignment vertical="top" wrapText="1"/>
    </xf>
    <xf numFmtId="165" fontId="0" fillId="5" borderId="9" xfId="0" applyNumberFormat="1" applyFill="1" applyBorder="1">
      <alignment vertical="top" wrapText="1"/>
    </xf>
    <xf numFmtId="49" fontId="0" fillId="5" borderId="9" xfId="0" applyNumberFormat="1" applyFill="1" applyBorder="1" applyAlignment="1">
      <alignment horizontal="center" vertical="top" wrapText="1"/>
    </xf>
    <xf numFmtId="0" fontId="0" fillId="0" borderId="13" xfId="0" applyBorder="1">
      <alignment vertical="top" wrapText="1"/>
    </xf>
    <xf numFmtId="166" fontId="0" fillId="4" borderId="7" xfId="0" applyNumberFormat="1" applyFill="1" applyBorder="1">
      <alignment vertical="top" wrapText="1"/>
    </xf>
    <xf numFmtId="165" fontId="0" fillId="5" borderId="14" xfId="0" applyNumberFormat="1" applyFill="1" applyBorder="1">
      <alignment vertical="top" wrapText="1"/>
    </xf>
    <xf numFmtId="9" fontId="0" fillId="4" borderId="7" xfId="0" applyNumberFormat="1" applyFill="1" applyBorder="1">
      <alignment vertical="top" wrapText="1"/>
    </xf>
    <xf numFmtId="49" fontId="0" fillId="5" borderId="9" xfId="0" applyNumberFormat="1" applyFill="1" applyBorder="1" applyAlignment="1">
      <alignment horizontal="center"/>
    </xf>
    <xf numFmtId="0" fontId="0" fillId="0" borderId="15" xfId="0" applyNumberFormat="1" applyBorder="1" applyAlignment="1"/>
    <xf numFmtId="0" fontId="0" fillId="0" borderId="16" xfId="0" applyBorder="1">
      <alignment vertical="top" wrapText="1"/>
    </xf>
    <xf numFmtId="0" fontId="0" fillId="4" borderId="7" xfId="0" applyNumberFormat="1" applyFill="1" applyBorder="1">
      <alignment vertical="top" wrapText="1"/>
    </xf>
    <xf numFmtId="165" fontId="0" fillId="5" borderId="17" xfId="0" applyNumberFormat="1" applyFill="1" applyBorder="1">
      <alignment vertical="top" wrapText="1"/>
    </xf>
    <xf numFmtId="165" fontId="0" fillId="4" borderId="7" xfId="0" applyNumberFormat="1" applyFill="1" applyBorder="1">
      <alignment vertical="top" wrapText="1"/>
    </xf>
    <xf numFmtId="0" fontId="0" fillId="0" borderId="18" xfId="0" applyBorder="1">
      <alignment vertical="top" wrapText="1"/>
    </xf>
    <xf numFmtId="0" fontId="0" fillId="0" borderId="19" xfId="0" applyBorder="1">
      <alignment vertical="top" wrapText="1"/>
    </xf>
    <xf numFmtId="0" fontId="0" fillId="0" borderId="20" xfId="0" applyBorder="1">
      <alignment vertical="top" wrapText="1"/>
    </xf>
    <xf numFmtId="0" fontId="0" fillId="0" borderId="21" xfId="0" applyBorder="1">
      <alignment vertical="top" wrapText="1"/>
    </xf>
    <xf numFmtId="49" fontId="1" fillId="2" borderId="22" xfId="0" applyNumberFormat="1" applyFont="1" applyFill="1" applyBorder="1" applyAlignment="1">
      <alignment horizontal="left" vertical="top" wrapText="1"/>
    </xf>
    <xf numFmtId="0" fontId="0" fillId="0" borderId="23" xfId="0" applyBorder="1">
      <alignment vertical="top" wrapText="1"/>
    </xf>
    <xf numFmtId="0" fontId="0" fillId="0" borderId="24" xfId="0" applyBorder="1">
      <alignment vertical="top" wrapText="1"/>
    </xf>
    <xf numFmtId="49" fontId="0" fillId="6" borderId="9" xfId="0" applyNumberFormat="1" applyFill="1" applyBorder="1">
      <alignment vertical="top" wrapText="1"/>
    </xf>
    <xf numFmtId="165" fontId="0" fillId="6" borderId="9" xfId="0" applyNumberFormat="1" applyFill="1" applyBorder="1">
      <alignment vertical="top" wrapText="1"/>
    </xf>
    <xf numFmtId="0" fontId="0" fillId="0" borderId="0" xfId="0" applyNumberFormat="1" applyAlignment="1"/>
    <xf numFmtId="0" fontId="0" fillId="0" borderId="25" xfId="0" applyBorder="1" applyAlignment="1"/>
    <xf numFmtId="0" fontId="5" fillId="0" borderId="25" xfId="0" applyNumberFormat="1" applyFont="1" applyBorder="1" applyAlignment="1"/>
    <xf numFmtId="1" fontId="5" fillId="0" borderId="25" xfId="0" applyNumberFormat="1" applyFont="1" applyBorder="1" applyAlignment="1"/>
    <xf numFmtId="49" fontId="5" fillId="3" borderId="25" xfId="0" applyNumberFormat="1" applyFont="1" applyFill="1" applyBorder="1" applyAlignment="1"/>
    <xf numFmtId="49" fontId="0" fillId="0" borderId="25" xfId="0" applyNumberFormat="1" applyBorder="1" applyAlignment="1"/>
    <xf numFmtId="0" fontId="0" fillId="0" borderId="25" xfId="0" applyNumberFormat="1" applyBorder="1" applyAlignment="1"/>
    <xf numFmtId="167" fontId="0" fillId="0" borderId="25" xfId="0" applyNumberFormat="1" applyBorder="1" applyAlignment="1"/>
    <xf numFmtId="165" fontId="0" fillId="0" borderId="25" xfId="0" applyNumberFormat="1" applyBorder="1" applyAlignment="1"/>
    <xf numFmtId="49" fontId="5" fillId="0" borderId="25" xfId="0" applyNumberFormat="1" applyFont="1" applyBorder="1" applyAlignment="1"/>
    <xf numFmtId="165" fontId="5" fillId="0" borderId="25" xfId="0" applyNumberFormat="1" applyFont="1" applyBorder="1" applyAlignment="1"/>
    <xf numFmtId="166" fontId="5" fillId="6" borderId="25" xfId="0" applyNumberFormat="1" applyFont="1" applyFill="1" applyBorder="1" applyAlignment="1"/>
    <xf numFmtId="165" fontId="5" fillId="6" borderId="25" xfId="0" applyNumberFormat="1" applyFont="1" applyFill="1" applyBorder="1" applyAlignment="1"/>
    <xf numFmtId="0" fontId="5" fillId="6" borderId="25" xfId="0" applyNumberFormat="1" applyFont="1" applyFill="1" applyBorder="1" applyAlignment="1"/>
    <xf numFmtId="167" fontId="5" fillId="0" borderId="25" xfId="0" applyNumberFormat="1" applyFont="1" applyBorder="1" applyAlignment="1"/>
    <xf numFmtId="0" fontId="0" fillId="6" borderId="25" xfId="0" applyNumberFormat="1" applyFill="1" applyBorder="1" applyAlignment="1"/>
    <xf numFmtId="49" fontId="0" fillId="3" borderId="2" xfId="0" applyNumberFormat="1" applyFill="1" applyBorder="1">
      <alignment vertical="top" wrapText="1"/>
    </xf>
    <xf numFmtId="49" fontId="0" fillId="0" borderId="2" xfId="0" applyNumberFormat="1" applyBorder="1">
      <alignment vertical="top" wrapText="1"/>
    </xf>
    <xf numFmtId="0" fontId="0" fillId="4" borderId="2" xfId="0" applyNumberFormat="1" applyFill="1" applyBorder="1">
      <alignment vertical="top" wrapText="1"/>
    </xf>
    <xf numFmtId="0" fontId="0" fillId="0" borderId="2" xfId="0" applyNumberFormat="1" applyBorder="1">
      <alignment vertical="top" wrapText="1"/>
    </xf>
    <xf numFmtId="165" fontId="0" fillId="0" borderId="2" xfId="0" applyNumberFormat="1" applyBorder="1">
      <alignment vertical="top" wrapText="1"/>
    </xf>
    <xf numFmtId="167" fontId="0" fillId="0" borderId="2" xfId="0" applyNumberFormat="1" applyBorder="1">
      <alignment vertical="top" wrapText="1"/>
    </xf>
    <xf numFmtId="164" fontId="0" fillId="4" borderId="2" xfId="0" applyNumberFormat="1" applyFill="1" applyBorder="1">
      <alignment vertical="top" wrapText="1"/>
    </xf>
    <xf numFmtId="165" fontId="0" fillId="7" borderId="2" xfId="0" applyNumberFormat="1" applyFill="1" applyBorder="1">
      <alignment vertical="top" wrapText="1"/>
    </xf>
    <xf numFmtId="168" fontId="0" fillId="0" borderId="2" xfId="0" applyNumberFormat="1" applyBorder="1">
      <alignment vertical="top" wrapText="1"/>
    </xf>
    <xf numFmtId="166" fontId="0" fillId="7" borderId="2" xfId="0" applyNumberFormat="1" applyFill="1" applyBorder="1">
      <alignment vertical="top" wrapText="1"/>
    </xf>
    <xf numFmtId="1" fontId="0" fillId="8" borderId="26" xfId="0" applyNumberFormat="1" applyFill="1" applyBorder="1" applyAlignment="1"/>
    <xf numFmtId="49" fontId="7" fillId="0" borderId="27" xfId="0" applyNumberFormat="1" applyFont="1" applyBorder="1" applyAlignment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/>
    <xf numFmtId="49" fontId="5" fillId="0" borderId="31" xfId="0" applyNumberFormat="1" applyFont="1" applyBorder="1" applyAlignment="1">
      <alignment horizontal="center"/>
    </xf>
    <xf numFmtId="1" fontId="0" fillId="8" borderId="32" xfId="0" applyNumberFormat="1" applyFill="1" applyBorder="1" applyAlignment="1"/>
    <xf numFmtId="1" fontId="0" fillId="8" borderId="33" xfId="0" applyNumberFormat="1" applyFill="1" applyBorder="1" applyAlignment="1"/>
    <xf numFmtId="1" fontId="0" fillId="0" borderId="31" xfId="0" applyNumberFormat="1" applyBorder="1" applyAlignment="1"/>
    <xf numFmtId="1" fontId="0" fillId="8" borderId="34" xfId="0" applyNumberFormat="1" applyFill="1" applyBorder="1" applyAlignment="1"/>
    <xf numFmtId="49" fontId="0" fillId="0" borderId="31" xfId="0" applyNumberFormat="1" applyBorder="1" applyAlignment="1">
      <alignment horizontal="right"/>
    </xf>
    <xf numFmtId="49" fontId="0" fillId="0" borderId="31" xfId="0" applyNumberFormat="1" applyBorder="1" applyAlignment="1"/>
    <xf numFmtId="169" fontId="8" fillId="0" borderId="31" xfId="0" applyNumberFormat="1" applyFont="1" applyBorder="1" applyAlignment="1"/>
    <xf numFmtId="1" fontId="8" fillId="0" borderId="31" xfId="0" applyNumberFormat="1" applyFont="1" applyBorder="1" applyAlignment="1"/>
    <xf numFmtId="0" fontId="0" fillId="0" borderId="31" xfId="0" applyNumberFormat="1" applyBorder="1" applyAlignment="1"/>
    <xf numFmtId="1" fontId="0" fillId="0" borderId="35" xfId="0" applyNumberFormat="1" applyBorder="1" applyAlignment="1"/>
    <xf numFmtId="1" fontId="0" fillId="0" borderId="36" xfId="0" applyNumberFormat="1" applyBorder="1" applyAlignment="1"/>
    <xf numFmtId="1" fontId="0" fillId="0" borderId="37" xfId="0" applyNumberFormat="1" applyBorder="1" applyAlignment="1"/>
    <xf numFmtId="1" fontId="0" fillId="8" borderId="38" xfId="0" applyNumberFormat="1" applyFill="1" applyBorder="1" applyAlignment="1"/>
    <xf numFmtId="49" fontId="0" fillId="0" borderId="30" xfId="0" applyNumberFormat="1" applyBorder="1" applyAlignment="1"/>
    <xf numFmtId="9" fontId="9" fillId="9" borderId="31" xfId="0" applyNumberFormat="1" applyFont="1" applyFill="1" applyBorder="1" applyAlignment="1"/>
    <xf numFmtId="49" fontId="10" fillId="0" borderId="39" xfId="0" applyNumberFormat="1" applyFont="1" applyBorder="1" applyAlignment="1"/>
    <xf numFmtId="0" fontId="0" fillId="0" borderId="40" xfId="0" applyBorder="1" applyAlignment="1"/>
    <xf numFmtId="170" fontId="9" fillId="9" borderId="31" xfId="0" applyNumberFormat="1" applyFont="1" applyFill="1" applyBorder="1" applyAlignment="1"/>
    <xf numFmtId="0" fontId="0" fillId="0" borderId="35" xfId="0" applyBorder="1" applyAlignment="1"/>
    <xf numFmtId="49" fontId="11" fillId="0" borderId="25" xfId="0" applyNumberFormat="1" applyFont="1" applyBorder="1" applyAlignment="1"/>
    <xf numFmtId="0" fontId="0" fillId="0" borderId="41" xfId="0" applyBorder="1" applyAlignment="1"/>
    <xf numFmtId="165" fontId="0" fillId="0" borderId="41" xfId="0" applyNumberFormat="1" applyBorder="1" applyAlignment="1"/>
    <xf numFmtId="0" fontId="0" fillId="0" borderId="42" xfId="0" applyBorder="1" applyAlignment="1"/>
    <xf numFmtId="49" fontId="9" fillId="9" borderId="26" xfId="0" applyNumberFormat="1" applyFont="1" applyFill="1" applyBorder="1" applyAlignment="1"/>
    <xf numFmtId="165" fontId="0" fillId="8" borderId="26" xfId="0" applyNumberFormat="1" applyFill="1" applyBorder="1" applyAlignment="1"/>
    <xf numFmtId="49" fontId="5" fillId="0" borderId="31" xfId="0" applyNumberFormat="1" applyFont="1" applyBorder="1" applyAlignment="1">
      <alignment horizontal="center" vertical="center"/>
    </xf>
    <xf numFmtId="49" fontId="5" fillId="0" borderId="31" xfId="0" applyNumberFormat="1" applyFont="1" applyBorder="1" applyAlignment="1">
      <alignment horizontal="center" vertical="center" wrapText="1"/>
    </xf>
    <xf numFmtId="49" fontId="11" fillId="0" borderId="31" xfId="0" applyNumberFormat="1" applyFont="1" applyBorder="1" applyAlignment="1">
      <alignment horizontal="center" vertical="center" wrapText="1"/>
    </xf>
    <xf numFmtId="49" fontId="12" fillId="10" borderId="31" xfId="0" applyNumberFormat="1" applyFont="1" applyFill="1" applyBorder="1" applyAlignment="1">
      <alignment horizontal="center" vertical="center" wrapText="1"/>
    </xf>
    <xf numFmtId="49" fontId="5" fillId="8" borderId="32" xfId="0" applyNumberFormat="1" applyFont="1" applyFill="1" applyBorder="1" applyAlignment="1">
      <alignment horizontal="right" vertical="center" wrapText="1"/>
    </xf>
    <xf numFmtId="2" fontId="13" fillId="0" borderId="31" xfId="0" applyNumberFormat="1" applyFont="1" applyBorder="1" applyAlignment="1">
      <alignment horizontal="center"/>
    </xf>
    <xf numFmtId="0" fontId="0" fillId="0" borderId="31" xfId="0" applyNumberFormat="1" applyBorder="1" applyAlignment="1">
      <alignment horizontal="center"/>
    </xf>
    <xf numFmtId="1" fontId="14" fillId="0" borderId="31" xfId="0" applyNumberFormat="1" applyFont="1" applyBorder="1" applyAlignment="1">
      <alignment horizontal="center"/>
    </xf>
    <xf numFmtId="165" fontId="0" fillId="0" borderId="31" xfId="0" applyNumberFormat="1" applyBorder="1" applyAlignment="1">
      <alignment horizontal="center"/>
    </xf>
    <xf numFmtId="165" fontId="15" fillId="0" borderId="31" xfId="0" applyNumberFormat="1" applyFont="1" applyBorder="1" applyAlignment="1">
      <alignment horizontal="center"/>
    </xf>
    <xf numFmtId="10" fontId="0" fillId="8" borderId="32" xfId="0" applyNumberFormat="1" applyFill="1" applyBorder="1" applyAlignment="1"/>
    <xf numFmtId="2" fontId="12" fillId="0" borderId="31" xfId="0" applyNumberFormat="1" applyFont="1" applyBorder="1" applyAlignment="1">
      <alignment horizontal="center"/>
    </xf>
    <xf numFmtId="0" fontId="16" fillId="0" borderId="31" xfId="0" applyNumberFormat="1" applyFont="1" applyBorder="1" applyAlignment="1">
      <alignment horizontal="center"/>
    </xf>
    <xf numFmtId="1" fontId="16" fillId="0" borderId="31" xfId="0" applyNumberFormat="1" applyFont="1" applyBorder="1" applyAlignment="1">
      <alignment horizontal="center"/>
    </xf>
    <xf numFmtId="165" fontId="16" fillId="0" borderId="31" xfId="0" applyNumberFormat="1" applyFont="1" applyBorder="1" applyAlignment="1">
      <alignment horizontal="center"/>
    </xf>
    <xf numFmtId="165" fontId="12" fillId="0" borderId="31" xfId="0" applyNumberFormat="1" applyFont="1" applyBorder="1" applyAlignment="1">
      <alignment horizontal="center"/>
    </xf>
    <xf numFmtId="10" fontId="10" fillId="8" borderId="32" xfId="0" applyNumberFormat="1" applyFont="1" applyFill="1" applyBorder="1" applyAlignment="1"/>
    <xf numFmtId="1" fontId="0" fillId="8" borderId="43" xfId="0" applyNumberFormat="1" applyFill="1" applyBorder="1" applyAlignment="1"/>
    <xf numFmtId="1" fontId="10" fillId="8" borderId="43" xfId="0" applyNumberFormat="1" applyFont="1" applyFill="1" applyBorder="1" applyAlignment="1"/>
    <xf numFmtId="1" fontId="10" fillId="8" borderId="32" xfId="0" applyNumberFormat="1" applyFont="1" applyFill="1" applyBorder="1" applyAlignment="1">
      <alignment horizontal="center"/>
    </xf>
    <xf numFmtId="1" fontId="10" fillId="8" borderId="26" xfId="0" applyNumberFormat="1" applyFont="1" applyFill="1" applyBorder="1" applyAlignment="1"/>
    <xf numFmtId="1" fontId="5" fillId="8" borderId="26" xfId="0" applyNumberFormat="1" applyFont="1" applyFill="1" applyBorder="1" applyAlignment="1">
      <alignment horizontal="center" vertical="center"/>
    </xf>
    <xf numFmtId="1" fontId="5" fillId="8" borderId="26" xfId="0" applyNumberFormat="1" applyFont="1" applyFill="1" applyBorder="1" applyAlignment="1">
      <alignment horizontal="center" vertical="center" wrapText="1"/>
    </xf>
    <xf numFmtId="1" fontId="12" fillId="8" borderId="26" xfId="0" applyNumberFormat="1" applyFont="1" applyFill="1" applyBorder="1" applyAlignment="1">
      <alignment horizontal="center" vertical="center" wrapText="1"/>
    </xf>
    <xf numFmtId="2" fontId="0" fillId="8" borderId="26" xfId="0" applyNumberFormat="1" applyFill="1" applyBorder="1" applyAlignment="1">
      <alignment horizontal="center"/>
    </xf>
    <xf numFmtId="1" fontId="0" fillId="8" borderId="26" xfId="0" applyNumberFormat="1" applyFill="1" applyBorder="1" applyAlignment="1">
      <alignment horizontal="center"/>
    </xf>
    <xf numFmtId="165" fontId="0" fillId="8" borderId="26" xfId="0" applyNumberFormat="1" applyFill="1" applyBorder="1" applyAlignment="1">
      <alignment horizontal="center"/>
    </xf>
    <xf numFmtId="165" fontId="15" fillId="8" borderId="26" xfId="0" applyNumberFormat="1" applyFont="1" applyFill="1" applyBorder="1" applyAlignment="1">
      <alignment horizontal="center"/>
    </xf>
    <xf numFmtId="0" fontId="0" fillId="0" borderId="44" xfId="0" applyBorder="1" applyAlignment="1"/>
    <xf numFmtId="0" fontId="0" fillId="0" borderId="45" xfId="0" applyBorder="1" applyAlignment="1"/>
    <xf numFmtId="0" fontId="0" fillId="0" borderId="47" xfId="0" applyBorder="1" applyAlignment="1"/>
    <xf numFmtId="49" fontId="0" fillId="0" borderId="46" xfId="0" applyNumberFormat="1" applyBorder="1" applyAlignment="1"/>
    <xf numFmtId="164" fontId="0" fillId="13" borderId="46" xfId="0" applyNumberFormat="1" applyFill="1" applyBorder="1" applyAlignment="1"/>
    <xf numFmtId="49" fontId="0" fillId="12" borderId="46" xfId="0" applyNumberFormat="1" applyFill="1" applyBorder="1" applyAlignment="1"/>
    <xf numFmtId="49" fontId="0" fillId="0" borderId="48" xfId="0" applyNumberFormat="1" applyBorder="1" applyAlignment="1">
      <alignment horizontal="left"/>
    </xf>
    <xf numFmtId="164" fontId="0" fillId="13" borderId="46" xfId="0" applyNumberFormat="1" applyFill="1" applyBorder="1" applyAlignment="1">
      <alignment horizontal="right" vertical="center"/>
    </xf>
    <xf numFmtId="49" fontId="0" fillId="14" borderId="46" xfId="0" applyNumberFormat="1" applyFill="1" applyBorder="1" applyAlignment="1"/>
    <xf numFmtId="0" fontId="0" fillId="14" borderId="46" xfId="0" applyNumberFormat="1" applyFill="1" applyBorder="1" applyAlignment="1"/>
    <xf numFmtId="0" fontId="0" fillId="15" borderId="46" xfId="0" applyNumberFormat="1" applyFill="1" applyBorder="1" applyAlignment="1"/>
    <xf numFmtId="0" fontId="0" fillId="16" borderId="46" xfId="0" applyNumberFormat="1" applyFill="1" applyBorder="1" applyAlignment="1"/>
    <xf numFmtId="165" fontId="0" fillId="16" borderId="46" xfId="0" applyNumberFormat="1" applyFill="1" applyBorder="1" applyAlignment="1"/>
    <xf numFmtId="164" fontId="0" fillId="14" borderId="46" xfId="0" applyNumberFormat="1" applyFill="1" applyBorder="1" applyAlignment="1"/>
    <xf numFmtId="171" fontId="0" fillId="15" borderId="46" xfId="0" applyNumberFormat="1" applyFill="1" applyBorder="1" applyAlignment="1"/>
    <xf numFmtId="49" fontId="0" fillId="0" borderId="46" xfId="0" applyNumberFormat="1" applyBorder="1" applyAlignment="1">
      <alignment horizontal="left" vertical="center"/>
    </xf>
    <xf numFmtId="171" fontId="0" fillId="14" borderId="46" xfId="0" applyNumberFormat="1" applyFill="1" applyBorder="1" applyAlignment="1"/>
    <xf numFmtId="165" fontId="0" fillId="13" borderId="46" xfId="0" applyNumberFormat="1" applyFill="1" applyBorder="1" applyAlignment="1">
      <alignment horizontal="right" vertical="center"/>
    </xf>
    <xf numFmtId="0" fontId="0" fillId="0" borderId="49" xfId="0" applyBorder="1" applyAlignment="1"/>
    <xf numFmtId="0" fontId="0" fillId="0" borderId="50" xfId="0" applyBorder="1" applyAlignment="1"/>
    <xf numFmtId="49" fontId="0" fillId="0" borderId="51" xfId="0" applyNumberFormat="1" applyBorder="1" applyAlignment="1"/>
    <xf numFmtId="0" fontId="0" fillId="13" borderId="46" xfId="0" applyNumberFormat="1" applyFill="1" applyBorder="1" applyAlignment="1">
      <alignment horizontal="right" vertical="center"/>
    </xf>
    <xf numFmtId="0" fontId="0" fillId="14" borderId="46" xfId="0" applyFill="1" applyBorder="1" applyAlignment="1"/>
    <xf numFmtId="49" fontId="0" fillId="14" borderId="46" xfId="0" applyNumberFormat="1" applyFill="1" applyBorder="1" applyAlignment="1">
      <alignment wrapText="1"/>
    </xf>
    <xf numFmtId="49" fontId="0" fillId="0" borderId="45" xfId="0" applyNumberFormat="1" applyBorder="1" applyAlignment="1"/>
    <xf numFmtId="164" fontId="0" fillId="15" borderId="46" xfId="0" applyNumberFormat="1" applyFill="1" applyBorder="1" applyAlignment="1"/>
    <xf numFmtId="1" fontId="0" fillId="0" borderId="25" xfId="0" applyNumberFormat="1" applyBorder="1" applyAlignment="1"/>
    <xf numFmtId="1" fontId="0" fillId="0" borderId="44" xfId="0" applyNumberFormat="1" applyBorder="1" applyAlignment="1"/>
    <xf numFmtId="1" fontId="0" fillId="0" borderId="52" xfId="0" applyNumberFormat="1" applyBorder="1" applyAlignment="1"/>
    <xf numFmtId="1" fontId="0" fillId="0" borderId="48" xfId="0" applyNumberFormat="1" applyBorder="1" applyAlignment="1"/>
    <xf numFmtId="1" fontId="0" fillId="0" borderId="50" xfId="0" applyNumberFormat="1" applyBorder="1" applyAlignment="1"/>
    <xf numFmtId="1" fontId="0" fillId="0" borderId="51" xfId="0" applyNumberFormat="1" applyBorder="1" applyAlignment="1"/>
    <xf numFmtId="1" fontId="0" fillId="0" borderId="52" xfId="0" applyNumberFormat="1" applyBorder="1" applyAlignment="1">
      <alignment horizontal="center" vertical="center"/>
    </xf>
    <xf numFmtId="1" fontId="0" fillId="0" borderId="50" xfId="0" applyNumberFormat="1" applyBorder="1" applyAlignment="1">
      <alignment horizontal="center" vertical="center"/>
    </xf>
    <xf numFmtId="0" fontId="0" fillId="0" borderId="53" xfId="0" applyBorder="1" applyAlignment="1"/>
    <xf numFmtId="0" fontId="0" fillId="0" borderId="54" xfId="0" applyBorder="1" applyAlignment="1"/>
    <xf numFmtId="0" fontId="0" fillId="0" borderId="39" xfId="0" applyBorder="1" applyAlignment="1"/>
    <xf numFmtId="49" fontId="17" fillId="6" borderId="31" xfId="0" applyNumberFormat="1" applyFont="1" applyFill="1" applyBorder="1" applyAlignment="1"/>
    <xf numFmtId="0" fontId="17" fillId="4" borderId="31" xfId="0" applyNumberFormat="1" applyFont="1" applyFill="1" applyBorder="1" applyAlignment="1"/>
    <xf numFmtId="49" fontId="17" fillId="18" borderId="31" xfId="0" applyNumberFormat="1" applyFont="1" applyFill="1" applyBorder="1" applyAlignment="1"/>
    <xf numFmtId="49" fontId="17" fillId="6" borderId="31" xfId="0" applyNumberFormat="1" applyFont="1" applyFill="1" applyBorder="1" applyAlignment="1">
      <alignment horizontal="left" vertical="center"/>
    </xf>
    <xf numFmtId="0" fontId="17" fillId="4" borderId="31" xfId="0" applyNumberFormat="1" applyFont="1" applyFill="1" applyBorder="1" applyAlignment="1">
      <alignment horizontal="right" vertical="center"/>
    </xf>
    <xf numFmtId="49" fontId="17" fillId="19" borderId="31" xfId="0" applyNumberFormat="1" applyFont="1" applyFill="1" applyBorder="1" applyAlignment="1"/>
    <xf numFmtId="0" fontId="17" fillId="19" borderId="31" xfId="0" applyNumberFormat="1" applyFont="1" applyFill="1" applyBorder="1" applyAlignment="1"/>
    <xf numFmtId="0" fontId="17" fillId="20" borderId="31" xfId="0" applyNumberFormat="1" applyFont="1" applyFill="1" applyBorder="1" applyAlignment="1"/>
    <xf numFmtId="1" fontId="17" fillId="0" borderId="55" xfId="0" applyNumberFormat="1" applyFont="1" applyBorder="1" applyAlignment="1"/>
    <xf numFmtId="1" fontId="17" fillId="0" borderId="35" xfId="0" applyNumberFormat="1" applyFont="1" applyBorder="1" applyAlignment="1"/>
    <xf numFmtId="0" fontId="0" fillId="0" borderId="56" xfId="0" applyBorder="1" applyAlignment="1"/>
    <xf numFmtId="49" fontId="17" fillId="21" borderId="31" xfId="0" applyNumberFormat="1" applyFont="1" applyFill="1" applyBorder="1" applyAlignment="1"/>
    <xf numFmtId="1" fontId="17" fillId="0" borderId="39" xfId="0" applyNumberFormat="1" applyFont="1" applyBorder="1" applyAlignment="1"/>
    <xf numFmtId="1" fontId="17" fillId="0" borderId="25" xfId="0" applyNumberFormat="1" applyFont="1" applyBorder="1" applyAlignment="1"/>
    <xf numFmtId="49" fontId="18" fillId="0" borderId="56" xfId="0" applyNumberFormat="1" applyFont="1" applyBorder="1" applyAlignment="1">
      <alignment horizontal="right"/>
    </xf>
    <xf numFmtId="0" fontId="17" fillId="22" borderId="31" xfId="0" applyNumberFormat="1" applyFont="1" applyFill="1" applyBorder="1" applyAlignment="1"/>
    <xf numFmtId="49" fontId="17" fillId="22" borderId="31" xfId="0" applyNumberFormat="1" applyFont="1" applyFill="1" applyBorder="1" applyAlignment="1"/>
    <xf numFmtId="171" fontId="17" fillId="22" borderId="31" xfId="0" applyNumberFormat="1" applyFont="1" applyFill="1" applyBorder="1" applyAlignment="1"/>
    <xf numFmtId="1" fontId="17" fillId="4" borderId="31" xfId="0" applyNumberFormat="1" applyFont="1" applyFill="1" applyBorder="1" applyAlignment="1">
      <alignment horizontal="right" vertical="center"/>
    </xf>
    <xf numFmtId="49" fontId="0" fillId="6" borderId="31" xfId="0" applyNumberFormat="1" applyFill="1" applyBorder="1" applyAlignment="1"/>
    <xf numFmtId="1" fontId="17" fillId="0" borderId="25" xfId="0" applyNumberFormat="1" applyFont="1" applyBorder="1" applyAlignment="1">
      <alignment horizontal="right" vertical="center"/>
    </xf>
    <xf numFmtId="1" fontId="17" fillId="0" borderId="57" xfId="0" applyNumberFormat="1" applyFont="1" applyBorder="1" applyAlignment="1"/>
    <xf numFmtId="1" fontId="17" fillId="0" borderId="36" xfId="0" applyNumberFormat="1" applyFont="1" applyBorder="1" applyAlignment="1"/>
    <xf numFmtId="1" fontId="17" fillId="0" borderId="53" xfId="0" applyNumberFormat="1" applyFont="1" applyBorder="1" applyAlignment="1"/>
    <xf numFmtId="0" fontId="0" fillId="0" borderId="35" xfId="0" applyNumberFormat="1" applyBorder="1" applyAlignment="1"/>
    <xf numFmtId="0" fontId="0" fillId="4" borderId="31" xfId="0" applyNumberFormat="1" applyFill="1" applyBorder="1" applyAlignment="1"/>
    <xf numFmtId="1" fontId="17" fillId="0" borderId="53" xfId="0" applyNumberFormat="1" applyFont="1" applyBorder="1" applyAlignment="1">
      <alignment horizontal="right" vertical="center"/>
    </xf>
    <xf numFmtId="0" fontId="0" fillId="0" borderId="59" xfId="0" applyBorder="1" applyAlignment="1"/>
    <xf numFmtId="49" fontId="17" fillId="18" borderId="60" xfId="0" applyNumberFormat="1" applyFont="1" applyFill="1" applyBorder="1" applyAlignment="1"/>
    <xf numFmtId="49" fontId="17" fillId="21" borderId="31" xfId="0" applyNumberFormat="1" applyFont="1" applyFill="1" applyBorder="1" applyAlignment="1">
      <alignment horizontal="center"/>
    </xf>
    <xf numFmtId="49" fontId="0" fillId="0" borderId="39" xfId="0" applyNumberFormat="1" applyBorder="1" applyAlignment="1"/>
    <xf numFmtId="0" fontId="0" fillId="0" borderId="39" xfId="0" applyNumberFormat="1" applyBorder="1" applyAlignment="1"/>
    <xf numFmtId="171" fontId="0" fillId="0" borderId="39" xfId="0" applyNumberFormat="1" applyBorder="1" applyAlignment="1"/>
    <xf numFmtId="1" fontId="17" fillId="18" borderId="61" xfId="0" applyNumberFormat="1" applyFont="1" applyFill="1" applyBorder="1" applyAlignment="1"/>
    <xf numFmtId="49" fontId="17" fillId="18" borderId="62" xfId="0" applyNumberFormat="1" applyFont="1" applyFill="1" applyBorder="1" applyAlignment="1"/>
    <xf numFmtId="0" fontId="0" fillId="0" borderId="63" xfId="0" applyBorder="1" applyAlignment="1"/>
    <xf numFmtId="49" fontId="0" fillId="23" borderId="35" xfId="0" applyNumberFormat="1" applyFill="1" applyBorder="1" applyAlignment="1"/>
    <xf numFmtId="0" fontId="0" fillId="23" borderId="35" xfId="0" applyFill="1" applyBorder="1" applyAlignment="1"/>
    <xf numFmtId="0" fontId="0" fillId="5" borderId="25" xfId="0" applyFill="1" applyBorder="1" applyAlignment="1"/>
    <xf numFmtId="0" fontId="0" fillId="5" borderId="25" xfId="0" applyNumberFormat="1" applyFill="1" applyBorder="1" applyAlignment="1"/>
    <xf numFmtId="49" fontId="0" fillId="23" borderId="25" xfId="0" applyNumberFormat="1" applyFill="1" applyBorder="1" applyAlignment="1"/>
    <xf numFmtId="0" fontId="0" fillId="23" borderId="25" xfId="0" applyNumberFormat="1" applyFill="1" applyBorder="1" applyAlignment="1"/>
    <xf numFmtId="49" fontId="0" fillId="3" borderId="25" xfId="0" applyNumberFormat="1" applyFill="1" applyBorder="1" applyAlignment="1"/>
    <xf numFmtId="166" fontId="0" fillId="5" borderId="25" xfId="0" applyNumberFormat="1" applyFill="1" applyBorder="1" applyAlignment="1"/>
    <xf numFmtId="164" fontId="0" fillId="5" borderId="25" xfId="0" applyNumberFormat="1" applyFill="1" applyBorder="1" applyAlignment="1"/>
    <xf numFmtId="164" fontId="0" fillId="7" borderId="25" xfId="0" applyNumberFormat="1" applyFill="1" applyBorder="1" applyAlignment="1"/>
    <xf numFmtId="166" fontId="0" fillId="7" borderId="25" xfId="0" applyNumberFormat="1" applyFill="1" applyBorder="1" applyAlignment="1"/>
    <xf numFmtId="0" fontId="0" fillId="3" borderId="25" xfId="0" applyNumberFormat="1" applyFill="1" applyBorder="1" applyAlignment="1"/>
    <xf numFmtId="49" fontId="0" fillId="0" borderId="31" xfId="0" applyNumberFormat="1" applyBorder="1" applyAlignment="1">
      <alignment horizontal="center"/>
    </xf>
    <xf numFmtId="49" fontId="0" fillId="0" borderId="59" xfId="0" applyNumberFormat="1" applyBorder="1" applyAlignment="1"/>
    <xf numFmtId="172" fontId="19" fillId="0" borderId="31" xfId="0" applyNumberFormat="1" applyFont="1" applyBorder="1" applyAlignment="1">
      <alignment horizontal="center" vertical="center" wrapText="1"/>
    </xf>
    <xf numFmtId="49" fontId="19" fillId="0" borderId="31" xfId="0" applyNumberFormat="1" applyFont="1" applyBorder="1" applyAlignment="1">
      <alignment horizontal="center" vertical="center" wrapText="1"/>
    </xf>
    <xf numFmtId="165" fontId="19" fillId="0" borderId="31" xfId="0" applyNumberFormat="1" applyFont="1" applyBorder="1" applyAlignment="1">
      <alignment horizontal="center" vertical="center" wrapText="1"/>
    </xf>
    <xf numFmtId="165" fontId="0" fillId="6" borderId="31" xfId="0" applyNumberFormat="1" applyFill="1" applyBorder="1" applyAlignment="1"/>
    <xf numFmtId="1" fontId="0" fillId="0" borderId="39" xfId="0" applyNumberFormat="1" applyBorder="1" applyAlignment="1"/>
    <xf numFmtId="1" fontId="17" fillId="0" borderId="35" xfId="0" applyNumberFormat="1" applyFont="1" applyBorder="1" applyAlignment="1">
      <alignment horizontal="left" vertical="center"/>
    </xf>
    <xf numFmtId="49" fontId="17" fillId="0" borderId="35" xfId="0" applyNumberFormat="1" applyFont="1" applyBorder="1" applyAlignment="1"/>
    <xf numFmtId="1" fontId="17" fillId="3" borderId="35" xfId="0" applyNumberFormat="1" applyFont="1" applyFill="1" applyBorder="1" applyAlignment="1"/>
    <xf numFmtId="49" fontId="20" fillId="0" borderId="2" xfId="0" applyNumberFormat="1" applyFont="1" applyBorder="1">
      <alignment vertical="top" wrapText="1"/>
    </xf>
    <xf numFmtId="49" fontId="5" fillId="3" borderId="7" xfId="0" applyNumberFormat="1" applyFont="1" applyFill="1" applyBorder="1" applyAlignment="1">
      <alignment vertical="top" wrapText="1" shrinkToFit="1"/>
    </xf>
    <xf numFmtId="0" fontId="2" fillId="0" borderId="5" xfId="0" applyFont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49" fontId="0" fillId="0" borderId="2" xfId="0" applyNumberFormat="1" applyBorder="1" applyAlignment="1">
      <alignment horizontal="right" vertical="top" wrapText="1"/>
    </xf>
    <xf numFmtId="49" fontId="2" fillId="2" borderId="2" xfId="0" applyNumberFormat="1" applyFont="1" applyFill="1" applyBorder="1" applyAlignment="1">
      <alignment horizontal="left" vertical="top" wrapText="1"/>
    </xf>
    <xf numFmtId="49" fontId="5" fillId="0" borderId="31" xfId="0" applyNumberFormat="1" applyFont="1" applyBorder="1" applyAlignment="1">
      <alignment horizontal="center"/>
    </xf>
    <xf numFmtId="1" fontId="5" fillId="0" borderId="31" xfId="0" applyNumberFormat="1" applyFont="1" applyBorder="1" applyAlignment="1">
      <alignment horizontal="center"/>
    </xf>
    <xf numFmtId="49" fontId="5" fillId="8" borderId="26" xfId="0" applyNumberFormat="1" applyFont="1" applyFill="1" applyBorder="1" applyAlignment="1">
      <alignment horizontal="center"/>
    </xf>
    <xf numFmtId="1" fontId="5" fillId="8" borderId="26" xfId="0" applyNumberFormat="1" applyFont="1" applyFill="1" applyBorder="1" applyAlignment="1">
      <alignment horizontal="center"/>
    </xf>
    <xf numFmtId="49" fontId="2" fillId="2" borderId="44" xfId="0" applyNumberFormat="1" applyFont="1" applyFill="1" applyBorder="1" applyAlignment="1">
      <alignment horizontal="left"/>
    </xf>
    <xf numFmtId="0" fontId="2" fillId="0" borderId="44" xfId="0" applyFont="1" applyBorder="1" applyAlignment="1">
      <alignment horizontal="left"/>
    </xf>
    <xf numFmtId="49" fontId="0" fillId="11" borderId="46" xfId="0" applyNumberFormat="1" applyFill="1" applyBorder="1" applyAlignment="1">
      <alignment horizontal="center" vertical="center"/>
    </xf>
    <xf numFmtId="1" fontId="0" fillId="11" borderId="46" xfId="0" applyNumberFormat="1" applyFill="1" applyBorder="1" applyAlignment="1">
      <alignment horizontal="center" vertical="center"/>
    </xf>
    <xf numFmtId="49" fontId="0" fillId="12" borderId="46" xfId="0" applyNumberFormat="1" applyFill="1" applyBorder="1" applyAlignment="1">
      <alignment horizontal="center" vertical="center"/>
    </xf>
    <xf numFmtId="1" fontId="0" fillId="12" borderId="46" xfId="0" applyNumberFormat="1" applyFill="1" applyBorder="1" applyAlignment="1">
      <alignment horizontal="center" vertical="center"/>
    </xf>
    <xf numFmtId="49" fontId="17" fillId="18" borderId="31" xfId="0" applyNumberFormat="1" applyFont="1" applyFill="1" applyBorder="1" applyAlignment="1">
      <alignment horizontal="center" vertical="center"/>
    </xf>
    <xf numFmtId="1" fontId="17" fillId="18" borderId="31" xfId="0" applyNumberFormat="1" applyFont="1" applyFill="1" applyBorder="1" applyAlignment="1">
      <alignment horizontal="center" vertical="center"/>
    </xf>
    <xf numFmtId="49" fontId="1" fillId="21" borderId="31" xfId="0" applyNumberFormat="1" applyFont="1" applyFill="1" applyBorder="1" applyAlignment="1">
      <alignment horizontal="left" vertical="center"/>
    </xf>
    <xf numFmtId="0" fontId="17" fillId="0" borderId="31" xfId="0" applyFont="1" applyBorder="1" applyAlignment="1">
      <alignment horizontal="center" vertical="center"/>
    </xf>
    <xf numFmtId="49" fontId="17" fillId="2" borderId="31" xfId="0" applyNumberFormat="1" applyFont="1" applyFill="1" applyBorder="1" applyAlignment="1">
      <alignment horizontal="left" vertical="center"/>
    </xf>
    <xf numFmtId="1" fontId="17" fillId="17" borderId="31" xfId="0" applyNumberFormat="1" applyFont="1" applyFill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1" fontId="17" fillId="18" borderId="58" xfId="0" applyNumberFormat="1" applyFont="1" applyFill="1" applyBorder="1" applyAlignment="1">
      <alignment horizontal="center" vertical="center"/>
    </xf>
    <xf numFmtId="49" fontId="0" fillId="6" borderId="31" xfId="0" applyNumberFormat="1" applyFill="1" applyBorder="1" applyAlignment="1"/>
    <xf numFmtId="0" fontId="0" fillId="0" borderId="31" xfId="0" applyBorder="1" applyAlignment="1"/>
    <xf numFmtId="0" fontId="0" fillId="0" borderId="53" xfId="0" applyBorder="1" applyAlignment="1"/>
    <xf numFmtId="49" fontId="0" fillId="4" borderId="31" xfId="0" applyNumberFormat="1" applyFill="1" applyBorder="1" applyAlignment="1"/>
    <xf numFmtId="49" fontId="3" fillId="2" borderId="4" xfId="0" applyNumberFormat="1" applyFont="1" applyFill="1" applyBorder="1" applyAlignment="1">
      <alignment vertical="top" wrapText="1"/>
    </xf>
    <xf numFmtId="49" fontId="5" fillId="3" borderId="7" xfId="0" applyNumberFormat="1" applyFont="1" applyFill="1" applyBorder="1" applyAlignment="1">
      <alignment vertical="top" wrapText="1"/>
    </xf>
    <xf numFmtId="0" fontId="0" fillId="0" borderId="7" xfId="0" applyBorder="1" applyAlignment="1">
      <alignment vertical="top" wrapText="1"/>
    </xf>
    <xf numFmtId="49" fontId="0" fillId="3" borderId="2" xfId="0" applyNumberFormat="1" applyFill="1" applyBorder="1" applyAlignment="1">
      <alignment vertical="top" wrapText="1"/>
    </xf>
    <xf numFmtId="0" fontId="0" fillId="0" borderId="2" xfId="0" applyBorder="1" applyAlignment="1">
      <alignment vertical="top" wrapText="1"/>
    </xf>
  </cellXfs>
  <cellStyles count="1"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515151"/>
      <rgbColor rgb="FFFF2C21"/>
      <rgbColor rgb="FF9CE159"/>
      <rgbColor rgb="FFBFBFBF"/>
      <rgbColor rgb="FF63B2DE"/>
      <rgbColor rgb="FFF1D030"/>
      <rgbColor rgb="FFAAAAAA"/>
      <rgbColor rgb="FFFFE061"/>
      <rgbColor rgb="FFFFFFFF"/>
      <rgbColor rgb="FF878787"/>
      <rgbColor rgb="FFBABABA"/>
      <rgbColor rgb="FF4BACC6"/>
      <rgbColor rgb="FF8064A2"/>
      <rgbColor rgb="FF395E89"/>
      <rgbColor rgb="FFC0504D"/>
      <rgbColor rgb="FFD8D8D8"/>
      <rgbColor rgb="FF595959"/>
      <rgbColor rgb="FF707070"/>
      <rgbColor rgb="FF903C39"/>
      <rgbColor rgb="FFB2B1A8"/>
      <rgbColor rgb="FF7F7F7F"/>
      <rgbColor rgb="FFFF0000"/>
      <rgbColor rgb="FF0066CC"/>
      <rgbColor rgb="FF339966"/>
      <rgbColor rgb="FF00CCFF"/>
      <rgbColor rgb="FF33CCCC"/>
      <rgbColor rgb="FF00FF00"/>
      <rgbColor rgb="FF0099FF"/>
      <rgbColor rgb="FF00DCFF"/>
      <rgbColor rgb="FF00CCCC"/>
      <rgbColor rgb="FF33CC66"/>
      <rgbColor rgb="FF3DEB3D"/>
      <rgbColor rgb="FF357CA2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18"/>
  <c:chart>
    <c:autoTitleDeleted val="1"/>
    <c:plotArea>
      <c:layout>
        <c:manualLayout>
          <c:layoutTarget val="inner"/>
          <c:xMode val="edge"/>
          <c:yMode val="edge"/>
          <c:x val="5.9399800000000003E-2"/>
          <c:y val="2.9887500000000001E-2"/>
          <c:w val="0.92961899999999997"/>
          <c:h val="0.79808000000000001"/>
        </c:manualLayout>
      </c:layout>
      <c:scatterChart>
        <c:scatterStyle val="lineMarker"/>
        <c:varyColors val="0"/>
        <c:ser>
          <c:idx val="0"/>
          <c:order val="0"/>
          <c:tx>
            <c:v>Termino Potencia</c:v>
          </c:tx>
          <c:spPr>
            <a:ln w="25400" cap="flat">
              <a:solidFill>
                <a:srgbClr val="4BACC6"/>
              </a:solidFill>
              <a:prstDash val="solid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Electricitat!$D$18:$D$38</c:f>
              <c:numCache>
                <c:formatCode>"€"#,##0.00</c:formatCode>
                <c:ptCount val="21"/>
                <c:pt idx="0">
                  <c:v>1229.8022424626402</c:v>
                </c:pt>
                <c:pt idx="1">
                  <c:v>1721.3454115905599</c:v>
                </c:pt>
                <c:pt idx="2">
                  <c:v>1803.314240713921</c:v>
                </c:pt>
                <c:pt idx="3">
                  <c:v>1885.28306983728</c:v>
                </c:pt>
                <c:pt idx="4">
                  <c:v>1967.2518989606399</c:v>
                </c:pt>
                <c:pt idx="5">
                  <c:v>2049.2207280839998</c:v>
                </c:pt>
                <c:pt idx="6">
                  <c:v>2131.1895572073599</c:v>
                </c:pt>
                <c:pt idx="7">
                  <c:v>2213.158386330721</c:v>
                </c:pt>
                <c:pt idx="8">
                  <c:v>2295.1272154540811</c:v>
                </c:pt>
                <c:pt idx="9">
                  <c:v>2377.0960445774399</c:v>
                </c:pt>
                <c:pt idx="10">
                  <c:v>2459.0648737008</c:v>
                </c:pt>
                <c:pt idx="11">
                  <c:v>2541.0337028241611</c:v>
                </c:pt>
                <c:pt idx="12">
                  <c:v>2623.0025319475199</c:v>
                </c:pt>
                <c:pt idx="13">
                  <c:v>2704.97136107088</c:v>
                </c:pt>
                <c:pt idx="14">
                  <c:v>2786.940190194241</c:v>
                </c:pt>
                <c:pt idx="15">
                  <c:v>2868.9090193176012</c:v>
                </c:pt>
                <c:pt idx="16">
                  <c:v>2950.87784844096</c:v>
                </c:pt>
                <c:pt idx="17">
                  <c:v>3032.846677564321</c:v>
                </c:pt>
                <c:pt idx="18">
                  <c:v>3114.8155066876802</c:v>
                </c:pt>
                <c:pt idx="19">
                  <c:v>3196.7843358110408</c:v>
                </c:pt>
                <c:pt idx="20">
                  <c:v>3278.753164934401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F8-8D48-936B-103025CF80C7}"/>
            </c:ext>
          </c:extLst>
        </c:ser>
        <c:ser>
          <c:idx val="1"/>
          <c:order val="1"/>
          <c:tx>
            <c:v>KW Consumits</c:v>
          </c:tx>
          <c:spPr>
            <a:ln w="25400" cap="flat">
              <a:solidFill>
                <a:srgbClr val="000000"/>
              </a:solidFill>
              <a:prstDash val="dash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Electricitat!$B$18:$B$38</c:f>
              <c:numCache>
                <c:formatCode>General</c:formatCode>
                <c:ptCount val="21"/>
                <c:pt idx="0">
                  <c:v>177.47400000000002</c:v>
                </c:pt>
                <c:pt idx="1">
                  <c:v>186.34770000000003</c:v>
                </c:pt>
                <c:pt idx="2">
                  <c:v>195.22140000000005</c:v>
                </c:pt>
                <c:pt idx="3">
                  <c:v>204.0951</c:v>
                </c:pt>
                <c:pt idx="4">
                  <c:v>212.96880000000002</c:v>
                </c:pt>
                <c:pt idx="5">
                  <c:v>221.84250000000003</c:v>
                </c:pt>
                <c:pt idx="6">
                  <c:v>230.71620000000004</c:v>
                </c:pt>
                <c:pt idx="7">
                  <c:v>239.58990000000003</c:v>
                </c:pt>
                <c:pt idx="8">
                  <c:v>248.46360000000001</c:v>
                </c:pt>
                <c:pt idx="9">
                  <c:v>257.33730000000003</c:v>
                </c:pt>
                <c:pt idx="10">
                  <c:v>266.21100000000001</c:v>
                </c:pt>
                <c:pt idx="11">
                  <c:v>275.08470000000005</c:v>
                </c:pt>
                <c:pt idx="12">
                  <c:v>283.95840000000004</c:v>
                </c:pt>
                <c:pt idx="13">
                  <c:v>292.83210000000003</c:v>
                </c:pt>
                <c:pt idx="14">
                  <c:v>301.70580000000001</c:v>
                </c:pt>
                <c:pt idx="15">
                  <c:v>310.57950000000005</c:v>
                </c:pt>
                <c:pt idx="16">
                  <c:v>319.45320000000004</c:v>
                </c:pt>
                <c:pt idx="17">
                  <c:v>328.32690000000002</c:v>
                </c:pt>
                <c:pt idx="18">
                  <c:v>337.20060000000001</c:v>
                </c:pt>
                <c:pt idx="19">
                  <c:v>346.07430000000005</c:v>
                </c:pt>
                <c:pt idx="20">
                  <c:v>354.94800000000004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F8-8D48-936B-103025CF80C7}"/>
            </c:ext>
          </c:extLst>
        </c:ser>
        <c:ser>
          <c:idx val="2"/>
          <c:order val="2"/>
          <c:tx>
            <c:v>Termino Energia</c:v>
          </c:tx>
          <c:spPr>
            <a:ln w="25400" cap="flat">
              <a:solidFill>
                <a:srgbClr val="8064A2"/>
              </a:solidFill>
              <a:prstDash val="solid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Electricitat!$E$18:$E$38</c:f>
              <c:numCache>
                <c:formatCode>"€"#,##0.00</c:formatCode>
                <c:ptCount val="21"/>
                <c:pt idx="0">
                  <c:v>30653.153812776003</c:v>
                </c:pt>
                <c:pt idx="1">
                  <c:v>32185.811503414803</c:v>
                </c:pt>
                <c:pt idx="2">
                  <c:v>33718.469194053607</c:v>
                </c:pt>
                <c:pt idx="3">
                  <c:v>35251.126884692399</c:v>
                </c:pt>
                <c:pt idx="4">
                  <c:v>36783.784575331199</c:v>
                </c:pt>
                <c:pt idx="5">
                  <c:v>38316.442265970007</c:v>
                </c:pt>
                <c:pt idx="6">
                  <c:v>39849.099956608807</c:v>
                </c:pt>
                <c:pt idx="7">
                  <c:v>41381.757647247607</c:v>
                </c:pt>
                <c:pt idx="8">
                  <c:v>42914.415337886399</c:v>
                </c:pt>
                <c:pt idx="9">
                  <c:v>44447.073028525207</c:v>
                </c:pt>
                <c:pt idx="10">
                  <c:v>45979.730719163999</c:v>
                </c:pt>
                <c:pt idx="11">
                  <c:v>47512.388409802807</c:v>
                </c:pt>
                <c:pt idx="12">
                  <c:v>49045.046100441607</c:v>
                </c:pt>
                <c:pt idx="13">
                  <c:v>50577.703791080399</c:v>
                </c:pt>
                <c:pt idx="14">
                  <c:v>52110.361481719199</c:v>
                </c:pt>
                <c:pt idx="15">
                  <c:v>53643.019172358006</c:v>
                </c:pt>
                <c:pt idx="16">
                  <c:v>55175.676862996806</c:v>
                </c:pt>
                <c:pt idx="17">
                  <c:v>56708.334553635599</c:v>
                </c:pt>
                <c:pt idx="18">
                  <c:v>58240.992244274399</c:v>
                </c:pt>
                <c:pt idx="19">
                  <c:v>59773.649934913206</c:v>
                </c:pt>
                <c:pt idx="20">
                  <c:v>61306.307625552006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F8-8D48-936B-103025CF80C7}"/>
            </c:ext>
          </c:extLst>
        </c:ser>
        <c:ser>
          <c:idx val="3"/>
          <c:order val="3"/>
          <c:tx>
            <c:v>KW Contractats</c:v>
          </c:tx>
          <c:spPr>
            <a:ln w="25400" cap="flat">
              <a:solidFill>
                <a:srgbClr val="3A5E8A"/>
              </a:solidFill>
              <a:prstDash val="dash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Electricitat!$C$18:$C$38</c:f>
              <c:numCache>
                <c:formatCode>0</c:formatCode>
                <c:ptCount val="21"/>
                <c:pt idx="0">
                  <c:v>189.89718000000002</c:v>
                </c:pt>
                <c:pt idx="1">
                  <c:v>199.39203900000004</c:v>
                </c:pt>
                <c:pt idx="2">
                  <c:v>208.88689800000006</c:v>
                </c:pt>
                <c:pt idx="3">
                  <c:v>218.38175700000002</c:v>
                </c:pt>
                <c:pt idx="4">
                  <c:v>227.87661600000004</c:v>
                </c:pt>
                <c:pt idx="5">
                  <c:v>237.37147500000003</c:v>
                </c:pt>
                <c:pt idx="6">
                  <c:v>246.86633400000005</c:v>
                </c:pt>
                <c:pt idx="7">
                  <c:v>256.36119300000007</c:v>
                </c:pt>
                <c:pt idx="8">
                  <c:v>265.85605200000003</c:v>
                </c:pt>
                <c:pt idx="9">
                  <c:v>275.35091100000005</c:v>
                </c:pt>
                <c:pt idx="10">
                  <c:v>284.84577000000002</c:v>
                </c:pt>
                <c:pt idx="11">
                  <c:v>294.34062900000009</c:v>
                </c:pt>
                <c:pt idx="12">
                  <c:v>303.83548800000005</c:v>
                </c:pt>
                <c:pt idx="13">
                  <c:v>313.33034700000002</c:v>
                </c:pt>
                <c:pt idx="14">
                  <c:v>322.82520600000004</c:v>
                </c:pt>
                <c:pt idx="15">
                  <c:v>332.32006500000006</c:v>
                </c:pt>
                <c:pt idx="16">
                  <c:v>341.81492400000008</c:v>
                </c:pt>
                <c:pt idx="17">
                  <c:v>351.30978300000004</c:v>
                </c:pt>
                <c:pt idx="18">
                  <c:v>360.80464200000006</c:v>
                </c:pt>
                <c:pt idx="19">
                  <c:v>370.29950100000008</c:v>
                </c:pt>
                <c:pt idx="20">
                  <c:v>379.79436000000004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F8-8D48-936B-103025CF80C7}"/>
            </c:ext>
          </c:extLst>
        </c:ser>
        <c:ser>
          <c:idx val="4"/>
          <c:order val="4"/>
          <c:tx>
            <c:v>Factura</c:v>
          </c:tx>
          <c:spPr>
            <a:ln w="25400" cap="flat">
              <a:solidFill>
                <a:srgbClr val="C0504D"/>
              </a:solidFill>
              <a:prstDash val="solid"/>
              <a:bevel/>
            </a:ln>
            <a:effectLst/>
          </c:spPr>
          <c:marker>
            <c:symbol val="none"/>
          </c:marker>
          <c:xVal>
            <c:numRef>
              <c:f>Electricitat!$A$18:$A$38</c:f>
              <c:numCache>
                <c:formatCode>0.00</c:formatCode>
                <c:ptCount val="21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  <c:pt idx="13">
                  <c:v>1.65</c:v>
                </c:pt>
                <c:pt idx="14">
                  <c:v>1.7</c:v>
                </c:pt>
                <c:pt idx="15">
                  <c:v>1.75</c:v>
                </c:pt>
                <c:pt idx="16">
                  <c:v>1.8</c:v>
                </c:pt>
                <c:pt idx="17">
                  <c:v>1.85</c:v>
                </c:pt>
                <c:pt idx="18">
                  <c:v>1.9</c:v>
                </c:pt>
                <c:pt idx="19">
                  <c:v>1.95</c:v>
                </c:pt>
                <c:pt idx="20">
                  <c:v>2</c:v>
                </c:pt>
              </c:numCache>
            </c:numRef>
          </c:xVal>
          <c:yVal>
            <c:numRef>
              <c:f>Electricitat!$F$18:$F$38</c:f>
              <c:numCache>
                <c:formatCode>"€"#,##0.00</c:formatCode>
                <c:ptCount val="21"/>
                <c:pt idx="0">
                  <c:v>31882.956055238643</c:v>
                </c:pt>
                <c:pt idx="1">
                  <c:v>33907.156915005362</c:v>
                </c:pt>
                <c:pt idx="2">
                  <c:v>35521.783434767531</c:v>
                </c:pt>
                <c:pt idx="3">
                  <c:v>37136.409954529678</c:v>
                </c:pt>
                <c:pt idx="4">
                  <c:v>38751.036474291839</c:v>
                </c:pt>
                <c:pt idx="5">
                  <c:v>40365.662994054008</c:v>
                </c:pt>
                <c:pt idx="6">
                  <c:v>41980.289513816169</c:v>
                </c:pt>
                <c:pt idx="7">
                  <c:v>43594.916033578331</c:v>
                </c:pt>
                <c:pt idx="8">
                  <c:v>45209.542553340478</c:v>
                </c:pt>
                <c:pt idx="9">
                  <c:v>46824.169073102647</c:v>
                </c:pt>
                <c:pt idx="10">
                  <c:v>48438.795592864801</c:v>
                </c:pt>
                <c:pt idx="11">
                  <c:v>50053.422112626969</c:v>
                </c:pt>
                <c:pt idx="12">
                  <c:v>51668.048632389124</c:v>
                </c:pt>
                <c:pt idx="13">
                  <c:v>53282.675152151278</c:v>
                </c:pt>
                <c:pt idx="14">
                  <c:v>54897.301671913439</c:v>
                </c:pt>
                <c:pt idx="15">
                  <c:v>56511.928191675608</c:v>
                </c:pt>
                <c:pt idx="16">
                  <c:v>58126.55471143777</c:v>
                </c:pt>
                <c:pt idx="17">
                  <c:v>59741.181231199924</c:v>
                </c:pt>
                <c:pt idx="18">
                  <c:v>61355.807750962078</c:v>
                </c:pt>
                <c:pt idx="19">
                  <c:v>62970.434270724247</c:v>
                </c:pt>
                <c:pt idx="20">
                  <c:v>64585.060790486408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F8-8D48-936B-103025CF8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557936"/>
        <c:axId val="277178784"/>
      </c:scatterChart>
      <c:valAx>
        <c:axId val="267557936"/>
        <c:scaling>
          <c:orientation val="minMax"/>
          <c:max val="2"/>
          <c:min val="1"/>
        </c:scaling>
        <c:delete val="0"/>
        <c:axPos val="b"/>
        <c:minorGridlines>
          <c:spPr>
            <a:ln w="12700" cap="flat">
              <a:solidFill>
                <a:srgbClr val="BABABA"/>
              </a:solidFill>
              <a:prstDash val="solid"/>
              <a:bevel/>
            </a:ln>
          </c:spPr>
        </c:minorGridlines>
        <c:title>
          <c:tx>
            <c:rich>
              <a:bodyPr rot="0"/>
              <a:lstStyle/>
              <a:p>
                <a:pPr>
                  <a:defRPr sz="1000" b="1" i="0" u="none" strike="noStrike">
                    <a:solidFill>
                      <a:srgbClr val="000000"/>
                    </a:solidFill>
                    <a:latin typeface="Verdana"/>
                  </a:defRPr>
                </a:pPr>
                <a:r>
                  <a:rPr lang="es-ES" sz="1000" b="1" i="0" u="none" strike="noStrike">
                    <a:solidFill>
                      <a:srgbClr val="000000"/>
                    </a:solidFill>
                    <a:latin typeface="Verdana"/>
                  </a:rPr>
                  <a:t>PUE</a:t>
                </a:r>
              </a:p>
            </c:rich>
          </c:tx>
          <c:overlay val="1"/>
        </c:title>
        <c:numFmt formatCode="0.00" sourceLinked="1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77178784"/>
        <c:crosses val="autoZero"/>
        <c:crossBetween val="between"/>
        <c:majorUnit val="0.25"/>
        <c:minorUnit val="0.125"/>
      </c:valAx>
      <c:valAx>
        <c:axId val="277178784"/>
        <c:scaling>
          <c:orientation val="minMax"/>
          <c:min val="0"/>
        </c:scaling>
        <c:delete val="0"/>
        <c:axPos val="l"/>
        <c:minorGridlines>
          <c:spPr>
            <a:ln w="12700" cap="flat">
              <a:solidFill>
                <a:srgbClr val="BABABA"/>
              </a:solidFill>
              <a:prstDash val="solid"/>
              <a:bevel/>
            </a:ln>
          </c:spPr>
        </c:minorGridlines>
        <c:numFmt formatCode="#,##0&quot;€&quot;" sourceLinked="0"/>
        <c:majorTickMark val="out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sz="1000" b="0" i="0" u="none" strike="noStrike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67557936"/>
        <c:crosses val="autoZero"/>
        <c:crossBetween val="between"/>
        <c:majorUnit val="75000"/>
        <c:minorUnit val="37500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7.9690899999999995E-2"/>
          <c:y val="0.95761200000000002"/>
          <c:w val="0.91069500000000003"/>
          <c:h val="4.2387500000000002E-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sz="1000" b="0" i="0" u="none" strike="noStrike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525" cap="flat">
      <a:solidFill>
        <a:srgbClr val="888888"/>
      </a:solidFill>
      <a:prstDash val="solid"/>
      <a:bevel/>
    </a:ln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428866</xdr:colOff>
      <xdr:row>35</xdr:row>
      <xdr:rowOff>81326</xdr:rowOff>
    </xdr:from>
    <xdr:to>
      <xdr:col>12</xdr:col>
      <xdr:colOff>36045</xdr:colOff>
      <xdr:row>56</xdr:row>
      <xdr:rowOff>151766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42"/>
  <sheetViews>
    <sheetView showGridLines="0" tabSelected="1" workbookViewId="0">
      <selection activeCell="B27" sqref="B27"/>
    </sheetView>
  </sheetViews>
  <sheetFormatPr defaultColWidth="16.375" defaultRowHeight="18" customHeight="1"/>
  <cols>
    <col min="1" max="1" width="51.875" style="1" customWidth="1"/>
    <col min="2" max="2" width="21" style="1" customWidth="1"/>
    <col min="3" max="3" width="4.625" style="1" customWidth="1"/>
    <col min="4" max="4" width="41.125" style="1" customWidth="1"/>
    <col min="5" max="5" width="20.875" style="1" customWidth="1"/>
    <col min="6" max="9" width="16.375" style="1" customWidth="1"/>
    <col min="10" max="256" width="16.375" customWidth="1"/>
  </cols>
  <sheetData>
    <row r="1" spans="1:9" ht="23.85" customHeight="1">
      <c r="A1" s="2"/>
      <c r="B1" s="2"/>
      <c r="C1" s="3"/>
      <c r="D1" s="2"/>
      <c r="E1" s="4"/>
      <c r="F1" s="4"/>
      <c r="G1" s="3"/>
      <c r="H1" s="3"/>
      <c r="I1" s="3"/>
    </row>
    <row r="2" spans="1:9" ht="35.1" customHeight="1">
      <c r="A2" s="218" t="s">
        <v>0</v>
      </c>
      <c r="B2" s="219"/>
      <c r="C2" s="5"/>
      <c r="D2" s="6" t="s">
        <v>1</v>
      </c>
      <c r="E2" s="7" t="s">
        <v>2</v>
      </c>
      <c r="F2" s="8" t="s">
        <v>3</v>
      </c>
      <c r="G2" s="9"/>
      <c r="H2" s="3"/>
      <c r="I2" s="3"/>
    </row>
    <row r="3" spans="1:9" ht="24.95" customHeight="1">
      <c r="A3" s="10" t="s">
        <v>4</v>
      </c>
      <c r="B3" s="11">
        <v>134</v>
      </c>
      <c r="C3" s="12"/>
      <c r="D3" s="13" t="s">
        <v>5</v>
      </c>
      <c r="E3" s="14">
        <f>Electricitat!F18</f>
        <v>31882.956055238643</v>
      </c>
      <c r="F3" s="14">
        <f>E3*5</f>
        <v>159414.78027619323</v>
      </c>
      <c r="G3" s="9"/>
      <c r="H3" s="3"/>
      <c r="I3" s="3"/>
    </row>
    <row r="4" spans="1:9" ht="24.95" customHeight="1">
      <c r="A4" s="10" t="s">
        <v>6</v>
      </c>
      <c r="B4" s="11">
        <v>42</v>
      </c>
      <c r="C4" s="12"/>
      <c r="D4" s="8" t="s">
        <v>7</v>
      </c>
      <c r="E4" s="15" t="str">
        <f>IF(B20=1,"MOCOSA",IF(B20=2,"CPDs Céspedes",IF(B20=3,"Mordor","error")))</f>
        <v>Mordor</v>
      </c>
      <c r="F4" s="16"/>
      <c r="G4" s="3"/>
      <c r="H4" s="3"/>
      <c r="I4" s="3"/>
    </row>
    <row r="5" spans="1:9" ht="39" customHeight="1">
      <c r="A5" s="10" t="s">
        <v>8</v>
      </c>
      <c r="B5" s="17">
        <v>160</v>
      </c>
      <c r="C5" s="12"/>
      <c r="D5" s="8" t="s">
        <v>9</v>
      </c>
      <c r="E5" s="14">
        <f>IF(B20=1,Infraestructura!J4,IF(B20=2,Infraestructura!J5,IF(B20=3,Infraestructura!J6,"error")))</f>
        <v>130782.44340828579</v>
      </c>
      <c r="F5" s="18">
        <f>E5*5</f>
        <v>653912.2170414289</v>
      </c>
      <c r="G5" s="9"/>
      <c r="H5" s="3"/>
      <c r="I5" s="3"/>
    </row>
    <row r="6" spans="1:9" ht="24.95" customHeight="1">
      <c r="A6" s="10" t="s">
        <v>10</v>
      </c>
      <c r="B6" s="19">
        <v>7.0000000000000007E-2</v>
      </c>
      <c r="C6" s="12"/>
      <c r="D6" s="8" t="s">
        <v>11</v>
      </c>
      <c r="E6" s="20" t="str">
        <f>IF(B16=1,"Microworks Azure M-A",IF(B16=2,"MonsoonS3 MS3",IF(B16=3,"Take the tapes and run","error")))</f>
        <v>MonsoonS3 MS3</v>
      </c>
      <c r="F6" s="21"/>
      <c r="G6" s="22"/>
      <c r="H6" s="3"/>
      <c r="I6" s="3"/>
    </row>
    <row r="7" spans="1:9" ht="24.95" customHeight="1">
      <c r="A7" s="10" t="s">
        <v>12</v>
      </c>
      <c r="B7" s="23">
        <v>60</v>
      </c>
      <c r="C7" s="12"/>
      <c r="D7" s="8" t="s">
        <v>13</v>
      </c>
      <c r="E7" s="14">
        <f>IF(B16=1,B17*Backup!L6,IF(B16=2,B17*Backup!L7,IF(B16=3,0,"error")))</f>
        <v>492035.25</v>
      </c>
      <c r="F7" s="24">
        <f>E7*5</f>
        <v>2460176.25</v>
      </c>
      <c r="G7" s="9"/>
      <c r="H7" s="3"/>
      <c r="I7" s="3"/>
    </row>
    <row r="8" spans="1:9" ht="24.95" customHeight="1">
      <c r="A8" s="10" t="s">
        <v>14</v>
      </c>
      <c r="B8" s="25">
        <v>60000000</v>
      </c>
      <c r="C8" s="12"/>
      <c r="D8" s="8" t="s">
        <v>15</v>
      </c>
      <c r="E8" s="14">
        <f>Backup!M27</f>
        <v>279292.09821428574</v>
      </c>
      <c r="F8" s="14">
        <f>E8*5</f>
        <v>1396460.4910714286</v>
      </c>
      <c r="G8" s="9"/>
      <c r="H8" s="3"/>
      <c r="I8" s="3"/>
    </row>
    <row r="9" spans="1:9" ht="24.95" customHeight="1">
      <c r="A9" s="10" t="s">
        <v>16</v>
      </c>
      <c r="B9" s="25">
        <v>10000000</v>
      </c>
      <c r="C9" s="12"/>
      <c r="D9" s="8" t="s">
        <v>17</v>
      </c>
      <c r="E9" s="14">
        <f>'Bandwidth provider'!F9</f>
        <v>7560</v>
      </c>
      <c r="F9" s="14">
        <f>E9*5</f>
        <v>37800</v>
      </c>
      <c r="G9" s="9"/>
      <c r="H9" s="3"/>
      <c r="I9" s="3"/>
    </row>
    <row r="10" spans="1:9" ht="24.95" customHeight="1">
      <c r="A10" s="26"/>
      <c r="B10" s="26"/>
      <c r="C10" s="3"/>
      <c r="D10" s="27"/>
      <c r="E10" s="28"/>
      <c r="F10" s="29"/>
      <c r="G10" s="3"/>
      <c r="H10" s="3"/>
      <c r="I10" s="3"/>
    </row>
    <row r="11" spans="1:9" ht="24.95" customHeight="1">
      <c r="A11" s="244" t="s">
        <v>18</v>
      </c>
      <c r="B11" s="217"/>
      <c r="C11" s="5"/>
      <c r="D11" s="30" t="s">
        <v>19</v>
      </c>
      <c r="E11" s="7" t="s">
        <v>20</v>
      </c>
      <c r="F11" s="9"/>
      <c r="G11" s="3"/>
      <c r="H11" s="3"/>
      <c r="I11" s="3"/>
    </row>
    <row r="12" spans="1:9" ht="24.95" customHeight="1">
      <c r="A12" s="245" t="s">
        <v>21</v>
      </c>
      <c r="B12" s="246"/>
      <c r="C12" s="12"/>
      <c r="D12" s="8" t="s">
        <v>22</v>
      </c>
      <c r="E12" s="14">
        <f>B9</f>
        <v>10000000</v>
      </c>
      <c r="F12" s="9"/>
      <c r="G12" s="3"/>
      <c r="H12" s="3"/>
      <c r="I12" s="3"/>
    </row>
    <row r="13" spans="1:9" ht="24.95" customHeight="1">
      <c r="A13" s="10" t="s">
        <v>23</v>
      </c>
      <c r="B13" s="23">
        <v>585937.5</v>
      </c>
      <c r="C13" s="12"/>
      <c r="D13" s="8" t="s">
        <v>24</v>
      </c>
      <c r="E13" s="14">
        <f>SAN!B18</f>
        <v>692932</v>
      </c>
      <c r="F13" s="9"/>
      <c r="G13" s="3"/>
      <c r="H13" s="3"/>
      <c r="I13" s="3"/>
    </row>
    <row r="14" spans="1:9" ht="24.95" customHeight="1">
      <c r="A14" s="10" t="s">
        <v>25</v>
      </c>
      <c r="B14" s="23">
        <v>7</v>
      </c>
      <c r="C14" s="12"/>
      <c r="D14" s="8" t="s">
        <v>26</v>
      </c>
      <c r="E14" s="14">
        <f>'Cabina de discos'!K24+Backup!M29</f>
        <v>729590</v>
      </c>
      <c r="F14" s="9"/>
      <c r="G14" s="3"/>
      <c r="H14" s="3"/>
      <c r="I14" s="3"/>
    </row>
    <row r="15" spans="1:9" ht="24.95" customHeight="1">
      <c r="A15" s="10" t="s">
        <v>27</v>
      </c>
      <c r="B15" s="23">
        <v>4</v>
      </c>
      <c r="C15" s="31"/>
      <c r="D15" s="29"/>
      <c r="E15" s="29"/>
      <c r="F15" s="3"/>
      <c r="G15" s="3"/>
      <c r="H15" s="3"/>
      <c r="I15" s="3"/>
    </row>
    <row r="16" spans="1:9" ht="24.95" customHeight="1">
      <c r="A16" s="10" t="s">
        <v>28</v>
      </c>
      <c r="B16" s="23">
        <v>2</v>
      </c>
      <c r="C16" s="31"/>
      <c r="D16" s="3"/>
      <c r="E16" s="3"/>
      <c r="F16" s="3"/>
      <c r="G16" s="3"/>
      <c r="H16" s="3"/>
      <c r="I16" s="3"/>
    </row>
    <row r="17" spans="1:9" ht="24.95" customHeight="1">
      <c r="A17" s="10" t="s">
        <v>29</v>
      </c>
      <c r="B17" s="23">
        <v>1</v>
      </c>
      <c r="C17" s="31"/>
      <c r="D17" s="3"/>
      <c r="E17" s="3"/>
      <c r="F17" s="3"/>
      <c r="G17" s="3"/>
      <c r="H17" s="3"/>
      <c r="I17" s="3"/>
    </row>
    <row r="18" spans="1:9" ht="24.95" customHeight="1">
      <c r="A18" s="10" t="s">
        <v>30</v>
      </c>
      <c r="B18" s="23">
        <v>1</v>
      </c>
      <c r="C18" s="31"/>
      <c r="D18" s="2"/>
      <c r="E18" s="3"/>
      <c r="F18" s="3"/>
      <c r="G18" s="3"/>
      <c r="H18" s="3"/>
      <c r="I18" s="3"/>
    </row>
    <row r="19" spans="1:9" ht="24.95" customHeight="1">
      <c r="A19" s="245" t="s">
        <v>31</v>
      </c>
      <c r="B19" s="246"/>
      <c r="C19" s="5"/>
      <c r="D19" s="30" t="s">
        <v>32</v>
      </c>
      <c r="E19" s="32"/>
      <c r="F19" s="3"/>
      <c r="G19" s="3"/>
      <c r="H19" s="3"/>
      <c r="I19" s="3"/>
    </row>
    <row r="20" spans="1:9" ht="39" customHeight="1">
      <c r="A20" s="10" t="s">
        <v>33</v>
      </c>
      <c r="B20" s="23">
        <v>3</v>
      </c>
      <c r="C20" s="12"/>
      <c r="D20" s="8" t="s">
        <v>34</v>
      </c>
      <c r="E20" s="14">
        <f>SUM(F3:F9)</f>
        <v>4707763.7383890506</v>
      </c>
      <c r="F20" s="9"/>
      <c r="G20" s="3"/>
      <c r="H20" s="3"/>
      <c r="I20" s="3"/>
    </row>
    <row r="21" spans="1:9" ht="24.95" customHeight="1">
      <c r="A21" s="10" t="s">
        <v>35</v>
      </c>
      <c r="B21" s="23">
        <v>1</v>
      </c>
      <c r="C21" s="12"/>
      <c r="D21" s="8" t="s">
        <v>36</v>
      </c>
      <c r="E21" s="14">
        <f>SUM(E12:E14)</f>
        <v>11422522</v>
      </c>
      <c r="F21" s="9"/>
      <c r="G21" s="3"/>
      <c r="H21" s="3"/>
      <c r="I21" s="3"/>
    </row>
    <row r="22" spans="1:9" ht="24.95" customHeight="1">
      <c r="A22" s="10" t="s">
        <v>37</v>
      </c>
      <c r="B22" s="23">
        <v>0</v>
      </c>
      <c r="C22" s="12"/>
      <c r="D22" s="8" t="s">
        <v>38</v>
      </c>
      <c r="E22" s="14">
        <f>E20+E21</f>
        <v>16130285.738389051</v>
      </c>
      <c r="F22" s="9"/>
      <c r="G22" s="3"/>
      <c r="H22" s="3"/>
      <c r="I22" s="3"/>
    </row>
    <row r="23" spans="1:9" ht="24.95" customHeight="1">
      <c r="A23" s="245" t="s">
        <v>39</v>
      </c>
      <c r="B23" s="246"/>
      <c r="C23" s="12"/>
      <c r="D23" s="33" t="s">
        <v>40</v>
      </c>
      <c r="E23" s="34">
        <f>B8-E22</f>
        <v>43869714.261610948</v>
      </c>
      <c r="F23" s="9"/>
      <c r="G23" s="3"/>
      <c r="H23" s="3"/>
      <c r="I23" s="3"/>
    </row>
    <row r="24" spans="1:9" ht="39" customHeight="1">
      <c r="A24" s="10" t="s">
        <v>41</v>
      </c>
      <c r="B24" s="23">
        <v>4</v>
      </c>
      <c r="C24" s="31"/>
      <c r="D24" s="29"/>
      <c r="E24" s="29"/>
      <c r="F24" s="3"/>
      <c r="G24" s="3"/>
      <c r="H24" s="3"/>
      <c r="I24" s="3"/>
    </row>
    <row r="25" spans="1:9" ht="24.95" customHeight="1">
      <c r="A25" s="10" t="s">
        <v>42</v>
      </c>
      <c r="B25" s="23">
        <v>1</v>
      </c>
      <c r="C25" s="31"/>
      <c r="D25" s="3"/>
      <c r="E25" s="3"/>
      <c r="F25" s="3"/>
      <c r="G25" s="3"/>
      <c r="H25" s="3"/>
      <c r="I25" s="3"/>
    </row>
    <row r="26" spans="1:9" ht="24.95" customHeight="1">
      <c r="A26" s="10" t="s">
        <v>43</v>
      </c>
      <c r="B26" s="23">
        <v>0</v>
      </c>
      <c r="C26" s="31"/>
      <c r="D26" s="3"/>
      <c r="E26" s="3"/>
      <c r="F26" s="3"/>
      <c r="G26" s="3"/>
      <c r="H26" s="3"/>
      <c r="I26" s="3"/>
    </row>
    <row r="27" spans="1:9" ht="39" customHeight="1">
      <c r="A27" s="216" t="s">
        <v>44</v>
      </c>
      <c r="B27" s="23">
        <v>3</v>
      </c>
      <c r="C27" s="31"/>
      <c r="D27" s="3"/>
      <c r="E27" s="3"/>
      <c r="F27" s="3"/>
      <c r="G27" s="3"/>
      <c r="H27" s="3"/>
      <c r="I27" s="3"/>
    </row>
    <row r="28" spans="1:9" ht="24.95" customHeight="1">
      <c r="A28" s="245" t="s">
        <v>45</v>
      </c>
      <c r="B28" s="246"/>
      <c r="C28" s="31"/>
      <c r="D28" s="3"/>
      <c r="E28" s="3"/>
      <c r="F28" s="3"/>
      <c r="G28" s="3"/>
      <c r="H28" s="3"/>
      <c r="I28" s="3"/>
    </row>
    <row r="29" spans="1:9" ht="24.95" customHeight="1">
      <c r="A29" s="10" t="s">
        <v>46</v>
      </c>
      <c r="B29" s="23">
        <v>9</v>
      </c>
      <c r="C29" s="31"/>
      <c r="D29" s="3"/>
      <c r="E29" s="3"/>
      <c r="F29" s="3"/>
      <c r="G29" s="3"/>
      <c r="H29" s="3"/>
      <c r="I29" s="3"/>
    </row>
    <row r="30" spans="1:9" ht="24.95" customHeight="1">
      <c r="A30" s="10" t="s">
        <v>47</v>
      </c>
      <c r="B30" s="23">
        <v>6</v>
      </c>
      <c r="C30" s="31"/>
      <c r="D30" s="3"/>
      <c r="E30" s="3"/>
      <c r="F30" s="3"/>
      <c r="G30" s="3"/>
      <c r="H30" s="3"/>
      <c r="I30" s="3"/>
    </row>
    <row r="31" spans="1:9" ht="24.95" customHeight="1">
      <c r="A31" s="10" t="s">
        <v>48</v>
      </c>
      <c r="B31" s="23">
        <v>2</v>
      </c>
      <c r="C31" s="31"/>
      <c r="D31" s="3"/>
      <c r="E31" s="3"/>
      <c r="F31" s="3"/>
      <c r="G31" s="3"/>
      <c r="H31" s="3"/>
      <c r="I31" s="3"/>
    </row>
    <row r="32" spans="1:9" ht="24.95" customHeight="1">
      <c r="A32" s="10" t="s">
        <v>49</v>
      </c>
      <c r="B32" s="23">
        <v>1</v>
      </c>
      <c r="C32" s="31"/>
      <c r="D32" s="3"/>
      <c r="E32" s="3"/>
      <c r="F32" s="3"/>
      <c r="G32" s="3"/>
      <c r="H32" s="3"/>
      <c r="I32" s="3"/>
    </row>
    <row r="33" spans="1:9" ht="24.95" customHeight="1">
      <c r="A33" s="245" t="s">
        <v>50</v>
      </c>
      <c r="B33" s="246"/>
      <c r="C33" s="31"/>
      <c r="D33" s="3"/>
      <c r="E33" s="3"/>
      <c r="F33" s="3"/>
      <c r="G33" s="3"/>
      <c r="H33" s="3"/>
      <c r="I33" s="3"/>
    </row>
    <row r="34" spans="1:9" ht="24.95" customHeight="1">
      <c r="A34" s="10" t="s">
        <v>51</v>
      </c>
      <c r="B34" s="23">
        <v>2</v>
      </c>
      <c r="C34" s="31"/>
      <c r="D34" s="3"/>
      <c r="E34" s="3"/>
      <c r="F34" s="3"/>
      <c r="G34" s="3"/>
      <c r="H34" s="3"/>
      <c r="I34" s="3"/>
    </row>
    <row r="35" spans="1:9" ht="24.95" customHeight="1">
      <c r="A35" s="10" t="s">
        <v>47</v>
      </c>
      <c r="B35" s="23">
        <v>86</v>
      </c>
      <c r="C35" s="31"/>
      <c r="D35" s="3"/>
      <c r="E35" s="3"/>
      <c r="F35" s="3"/>
      <c r="G35" s="3"/>
      <c r="H35" s="3"/>
      <c r="I35" s="3"/>
    </row>
    <row r="36" spans="1:9" ht="24.95" customHeight="1">
      <c r="A36" s="10" t="s">
        <v>48</v>
      </c>
      <c r="B36" s="23">
        <v>4</v>
      </c>
      <c r="C36" s="31"/>
      <c r="D36" s="3"/>
      <c r="E36" s="3"/>
      <c r="F36" s="3"/>
      <c r="G36" s="3"/>
      <c r="H36" s="3"/>
      <c r="I36" s="3"/>
    </row>
    <row r="37" spans="1:9" ht="24.95" customHeight="1">
      <c r="A37" s="10" t="s">
        <v>49</v>
      </c>
      <c r="B37" s="23">
        <v>3</v>
      </c>
      <c r="C37" s="31"/>
      <c r="D37" s="3"/>
      <c r="E37" s="3"/>
      <c r="F37" s="3"/>
      <c r="G37" s="3"/>
      <c r="H37" s="3"/>
      <c r="I37" s="3"/>
    </row>
    <row r="38" spans="1:9" ht="24.95" customHeight="1">
      <c r="A38" s="245" t="s">
        <v>52</v>
      </c>
      <c r="B38" s="246"/>
      <c r="C38" s="31"/>
      <c r="D38" s="3"/>
      <c r="E38" s="3"/>
      <c r="F38" s="3"/>
      <c r="G38" s="3"/>
      <c r="H38" s="3"/>
      <c r="I38" s="3"/>
    </row>
    <row r="39" spans="1:9" ht="24.95" customHeight="1">
      <c r="A39" s="10" t="s">
        <v>51</v>
      </c>
      <c r="B39" s="23"/>
      <c r="C39" s="31"/>
      <c r="D39" s="3"/>
      <c r="E39" s="3"/>
      <c r="F39" s="3"/>
      <c r="G39" s="3"/>
      <c r="H39" s="3"/>
      <c r="I39" s="3"/>
    </row>
    <row r="40" spans="1:9" ht="24.95" customHeight="1">
      <c r="A40" s="10" t="s">
        <v>47</v>
      </c>
      <c r="B40" s="23"/>
      <c r="C40" s="31"/>
      <c r="D40" s="3"/>
      <c r="E40" s="3"/>
      <c r="F40" s="3"/>
      <c r="G40" s="3"/>
      <c r="H40" s="3"/>
      <c r="I40" s="3"/>
    </row>
    <row r="41" spans="1:9" ht="24.95" customHeight="1">
      <c r="A41" s="10" t="s">
        <v>48</v>
      </c>
      <c r="B41" s="23"/>
      <c r="C41" s="31"/>
      <c r="D41" s="3"/>
      <c r="E41" s="3"/>
      <c r="F41" s="3"/>
      <c r="G41" s="3"/>
      <c r="H41" s="3"/>
      <c r="I41" s="3"/>
    </row>
    <row r="42" spans="1:9" ht="24.95" customHeight="1">
      <c r="A42" s="10" t="s">
        <v>49</v>
      </c>
      <c r="B42" s="23"/>
      <c r="C42" s="31"/>
      <c r="D42" s="3"/>
      <c r="E42" s="3"/>
      <c r="F42" s="3"/>
      <c r="G42" s="3"/>
      <c r="H42" s="3"/>
      <c r="I42" s="3"/>
    </row>
  </sheetData>
  <mergeCells count="8">
    <mergeCell ref="A11:B11"/>
    <mergeCell ref="A2:B2"/>
    <mergeCell ref="A38:B38"/>
    <mergeCell ref="A28:B28"/>
    <mergeCell ref="A12:B12"/>
    <mergeCell ref="A23:B23"/>
    <mergeCell ref="A19:B19"/>
    <mergeCell ref="A33:B33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9"/>
  <sheetViews>
    <sheetView showGridLines="0" topLeftCell="B13" workbookViewId="0">
      <selection activeCell="M24" sqref="M24"/>
    </sheetView>
  </sheetViews>
  <sheetFormatPr defaultColWidth="12.875" defaultRowHeight="15.75" customHeight="1"/>
  <cols>
    <col min="1" max="1" width="14.875" style="35" customWidth="1"/>
    <col min="2" max="2" width="14.5" style="35" customWidth="1"/>
    <col min="3" max="3" width="14.875" style="35" customWidth="1"/>
    <col min="4" max="4" width="12" style="35" customWidth="1"/>
    <col min="5" max="5" width="6.375" style="35" customWidth="1"/>
    <col min="6" max="6" width="6.625" style="35" customWidth="1"/>
    <col min="7" max="7" width="6" style="35" customWidth="1"/>
    <col min="8" max="8" width="8.125" style="35" customWidth="1"/>
    <col min="9" max="9" width="9.625" style="35" customWidth="1"/>
    <col min="10" max="10" width="13.375" style="35" customWidth="1"/>
    <col min="11" max="11" width="13" style="35" customWidth="1"/>
    <col min="12" max="12" width="13.875" style="35" customWidth="1"/>
    <col min="13" max="15" width="12.875" style="35" customWidth="1"/>
    <col min="16" max="256" width="12.875" customWidth="1"/>
  </cols>
  <sheetData>
    <row r="1" spans="1:15" ht="18.95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</row>
    <row r="2" spans="1:15" ht="18.95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</row>
    <row r="3" spans="1:15" ht="18.95" customHeight="1">
      <c r="A3" s="37"/>
      <c r="B3" s="37"/>
      <c r="C3" s="37"/>
      <c r="D3" s="37"/>
      <c r="E3" s="38"/>
      <c r="F3" s="36"/>
      <c r="G3" s="36"/>
      <c r="H3" s="36"/>
      <c r="I3" s="36"/>
      <c r="J3" s="36"/>
      <c r="K3" s="36"/>
      <c r="L3" s="36"/>
      <c r="M3" s="36"/>
      <c r="N3" s="36"/>
      <c r="O3" s="36"/>
    </row>
    <row r="4" spans="1:15" ht="18.95" customHeight="1">
      <c r="A4" s="39" t="s">
        <v>53</v>
      </c>
      <c r="B4" s="39" t="s">
        <v>54</v>
      </c>
      <c r="C4" s="39" t="s">
        <v>55</v>
      </c>
      <c r="D4" s="39" t="s">
        <v>56</v>
      </c>
      <c r="E4" s="39" t="s">
        <v>57</v>
      </c>
      <c r="F4" s="39" t="s">
        <v>58</v>
      </c>
      <c r="G4" s="39" t="s">
        <v>59</v>
      </c>
      <c r="H4" s="39" t="s">
        <v>8</v>
      </c>
      <c r="I4" s="39" t="s">
        <v>60</v>
      </c>
      <c r="J4" s="39" t="s">
        <v>61</v>
      </c>
      <c r="K4" s="39" t="s">
        <v>62</v>
      </c>
      <c r="L4" s="38"/>
      <c r="M4" s="38"/>
      <c r="N4" s="37"/>
      <c r="O4" s="38"/>
    </row>
    <row r="5" spans="1:15" ht="18.95" customHeight="1">
      <c r="A5" s="40" t="s">
        <v>63</v>
      </c>
      <c r="B5" s="41">
        <f>IF(Resum!$B$29=1,1,0)</f>
        <v>0</v>
      </c>
      <c r="C5" s="41">
        <f>IF(Resum!$B$34=1,1,0)</f>
        <v>0</v>
      </c>
      <c r="D5" s="41">
        <f>IF(Resum!B39=1,1,0)</f>
        <v>0</v>
      </c>
      <c r="E5" s="41">
        <f>Resum!$B$30</f>
        <v>6</v>
      </c>
      <c r="F5" s="41">
        <f>Resum!$B$35</f>
        <v>86</v>
      </c>
      <c r="G5" s="41">
        <f>Resum!$B$40</f>
        <v>0</v>
      </c>
      <c r="H5" s="42">
        <v>6.8</v>
      </c>
      <c r="I5" s="43">
        <v>235</v>
      </c>
      <c r="J5" s="42">
        <f t="shared" ref="J5:J14" si="0">H5*(B5*E5+C5*F5+D5*G5)</f>
        <v>0</v>
      </c>
      <c r="K5" s="43">
        <f t="shared" ref="K5:K14" si="1">I5*(B5*E5+C5*F5+D5*G5)</f>
        <v>0</v>
      </c>
      <c r="L5" s="36"/>
      <c r="M5" s="36"/>
      <c r="N5" s="41"/>
      <c r="O5" s="36"/>
    </row>
    <row r="6" spans="1:15" ht="18.95" customHeight="1">
      <c r="A6" s="40" t="s">
        <v>64</v>
      </c>
      <c r="B6" s="41">
        <f>IF(Resum!$B$29=2,1,0)</f>
        <v>0</v>
      </c>
      <c r="C6" s="41">
        <f>IF(Resum!$B$34=2,1,0)</f>
        <v>1</v>
      </c>
      <c r="D6" s="41">
        <f>IF(Resum!B39=2,1,0)</f>
        <v>0</v>
      </c>
      <c r="E6" s="41">
        <f>Resum!$B$30</f>
        <v>6</v>
      </c>
      <c r="F6" s="41">
        <f>Resum!$B$35</f>
        <v>86</v>
      </c>
      <c r="G6" s="41">
        <f>Resum!$B$40</f>
        <v>0</v>
      </c>
      <c r="H6" s="42">
        <v>7.8</v>
      </c>
      <c r="I6" s="43">
        <v>520</v>
      </c>
      <c r="J6" s="42">
        <f t="shared" si="0"/>
        <v>670.8</v>
      </c>
      <c r="K6" s="43">
        <f t="shared" si="1"/>
        <v>44720</v>
      </c>
      <c r="L6" s="36"/>
      <c r="M6" s="36"/>
      <c r="N6" s="41"/>
      <c r="O6" s="36"/>
    </row>
    <row r="7" spans="1:15" ht="18.95" customHeight="1">
      <c r="A7" s="40" t="s">
        <v>65</v>
      </c>
      <c r="B7" s="41">
        <f>IF(Resum!$B$29=3,1,0)</f>
        <v>0</v>
      </c>
      <c r="C7" s="41">
        <f>IF(Resum!$B$34=3,1,0)</f>
        <v>0</v>
      </c>
      <c r="D7" s="41">
        <f>IF(Resum!B39=3,1,0)</f>
        <v>0</v>
      </c>
      <c r="E7" s="41">
        <f>Resum!$B$30</f>
        <v>6</v>
      </c>
      <c r="F7" s="41">
        <f>Resum!$B$35</f>
        <v>86</v>
      </c>
      <c r="G7" s="41">
        <f>Resum!$B$40</f>
        <v>0</v>
      </c>
      <c r="H7" s="42">
        <v>9.5</v>
      </c>
      <c r="I7" s="43">
        <v>350</v>
      </c>
      <c r="J7" s="42">
        <f t="shared" si="0"/>
        <v>0</v>
      </c>
      <c r="K7" s="43">
        <f t="shared" si="1"/>
        <v>0</v>
      </c>
      <c r="L7" s="36"/>
      <c r="M7" s="36"/>
      <c r="N7" s="41"/>
      <c r="O7" s="36"/>
    </row>
    <row r="8" spans="1:15" ht="18.95" customHeight="1">
      <c r="A8" s="40" t="s">
        <v>66</v>
      </c>
      <c r="B8" s="41">
        <f>IF(Resum!$B$29=4,1,0)</f>
        <v>0</v>
      </c>
      <c r="C8" s="41">
        <f>IF(Resum!$B$34=4,1,0)</f>
        <v>0</v>
      </c>
      <c r="D8" s="41">
        <f>IF(Resum!B39=4,1,0)</f>
        <v>0</v>
      </c>
      <c r="E8" s="41">
        <f>Resum!$B$30</f>
        <v>6</v>
      </c>
      <c r="F8" s="41">
        <f>Resum!$B$35</f>
        <v>86</v>
      </c>
      <c r="G8" s="41">
        <f>Resum!$B$40</f>
        <v>0</v>
      </c>
      <c r="H8" s="42">
        <v>7</v>
      </c>
      <c r="I8" s="43">
        <v>250</v>
      </c>
      <c r="J8" s="42">
        <f t="shared" si="0"/>
        <v>0</v>
      </c>
      <c r="K8" s="43">
        <f t="shared" si="1"/>
        <v>0</v>
      </c>
      <c r="L8" s="36"/>
      <c r="M8" s="36"/>
      <c r="N8" s="41"/>
      <c r="O8" s="36"/>
    </row>
    <row r="9" spans="1:15" ht="18.95" customHeight="1">
      <c r="A9" s="40" t="s">
        <v>67</v>
      </c>
      <c r="B9" s="41">
        <f>IF(Resum!$B$29=5,1,0)</f>
        <v>0</v>
      </c>
      <c r="C9" s="41">
        <f>IF(Resum!$B$34=5,1,0)</f>
        <v>0</v>
      </c>
      <c r="D9" s="41">
        <f>IF(Resum!B39=5,1,0)</f>
        <v>0</v>
      </c>
      <c r="E9" s="41">
        <f>Resum!$B$30</f>
        <v>6</v>
      </c>
      <c r="F9" s="41">
        <f>Resum!$B$35</f>
        <v>86</v>
      </c>
      <c r="G9" s="41">
        <f>Resum!$B$40</f>
        <v>0</v>
      </c>
      <c r="H9" s="42">
        <v>7.1</v>
      </c>
      <c r="I9" s="43">
        <v>360</v>
      </c>
      <c r="J9" s="42">
        <f t="shared" si="0"/>
        <v>0</v>
      </c>
      <c r="K9" s="43">
        <f t="shared" si="1"/>
        <v>0</v>
      </c>
      <c r="L9" s="36"/>
      <c r="M9" s="36"/>
      <c r="N9" s="36"/>
      <c r="O9" s="36"/>
    </row>
    <row r="10" spans="1:15" ht="18.95" customHeight="1">
      <c r="A10" s="40" t="s">
        <v>68</v>
      </c>
      <c r="B10" s="41">
        <f>IF(Resum!$B$29=6,1,0)</f>
        <v>0</v>
      </c>
      <c r="C10" s="41">
        <f>IF(Resum!$B$34=6,1,0)</f>
        <v>0</v>
      </c>
      <c r="D10" s="41">
        <f>IF(Resum!B39=6,1,0)</f>
        <v>0</v>
      </c>
      <c r="E10" s="41">
        <f>Resum!$B$30</f>
        <v>6</v>
      </c>
      <c r="F10" s="41">
        <f>Resum!$B$35</f>
        <v>86</v>
      </c>
      <c r="G10" s="41">
        <f>Resum!$B$40</f>
        <v>0</v>
      </c>
      <c r="H10" s="42">
        <v>2.2000000000000002</v>
      </c>
      <c r="I10" s="43">
        <v>310</v>
      </c>
      <c r="J10" s="42">
        <f t="shared" si="0"/>
        <v>0</v>
      </c>
      <c r="K10" s="43">
        <f t="shared" si="1"/>
        <v>0</v>
      </c>
      <c r="L10" s="36"/>
      <c r="M10" s="36"/>
      <c r="N10" s="36"/>
      <c r="O10" s="36"/>
    </row>
    <row r="11" spans="1:15" ht="18.95" customHeight="1">
      <c r="A11" s="40" t="s">
        <v>69</v>
      </c>
      <c r="B11" s="41">
        <f>IF(Resum!$B$29=7,1,0)</f>
        <v>0</v>
      </c>
      <c r="C11" s="41">
        <f>IF(Resum!$B$34=7,1,0)</f>
        <v>0</v>
      </c>
      <c r="D11" s="41">
        <f>IF(Resum!B39=7,1,0)</f>
        <v>0</v>
      </c>
      <c r="E11" s="41">
        <f>Resum!$B$30</f>
        <v>6</v>
      </c>
      <c r="F11" s="41">
        <f>Resum!$B$35</f>
        <v>86</v>
      </c>
      <c r="G11" s="41">
        <f>Resum!$B$40</f>
        <v>0</v>
      </c>
      <c r="H11" s="42">
        <v>5.8</v>
      </c>
      <c r="I11" s="43">
        <v>195</v>
      </c>
      <c r="J11" s="42">
        <f t="shared" si="0"/>
        <v>0</v>
      </c>
      <c r="K11" s="43">
        <f t="shared" si="1"/>
        <v>0</v>
      </c>
      <c r="L11" s="36"/>
      <c r="M11" s="36"/>
      <c r="N11" s="36"/>
      <c r="O11" s="36"/>
    </row>
    <row r="12" spans="1:15" ht="18.95" customHeight="1">
      <c r="A12" s="40" t="s">
        <v>70</v>
      </c>
      <c r="B12" s="41">
        <f>IF(Resum!$B$29=8,1,0)</f>
        <v>0</v>
      </c>
      <c r="C12" s="41">
        <f>IF(Resum!$B$34=8,1,0)</f>
        <v>0</v>
      </c>
      <c r="D12" s="41">
        <f>IF(Resum!B39=8,1,0)</f>
        <v>0</v>
      </c>
      <c r="E12" s="41">
        <f>Resum!$B$30</f>
        <v>6</v>
      </c>
      <c r="F12" s="41">
        <f>Resum!$B$35</f>
        <v>86</v>
      </c>
      <c r="G12" s="41">
        <f>Resum!$B$40</f>
        <v>0</v>
      </c>
      <c r="H12" s="42">
        <v>9</v>
      </c>
      <c r="I12" s="43">
        <v>372</v>
      </c>
      <c r="J12" s="42">
        <f t="shared" si="0"/>
        <v>0</v>
      </c>
      <c r="K12" s="43">
        <f t="shared" si="1"/>
        <v>0</v>
      </c>
      <c r="L12" s="36"/>
      <c r="M12" s="36"/>
      <c r="N12" s="36"/>
      <c r="O12" s="36"/>
    </row>
    <row r="13" spans="1:15" ht="18.95" customHeight="1">
      <c r="A13" s="40" t="s">
        <v>71</v>
      </c>
      <c r="B13" s="41">
        <f>IF(Resum!$B$29=9,1,0)</f>
        <v>1</v>
      </c>
      <c r="C13" s="41">
        <f>IF(Resum!$B$34=9,1,0)</f>
        <v>0</v>
      </c>
      <c r="D13" s="41">
        <f>IF(Resum!B39=9,1,0)</f>
        <v>0</v>
      </c>
      <c r="E13" s="41">
        <f>Resum!$B$30</f>
        <v>6</v>
      </c>
      <c r="F13" s="41">
        <f>Resum!$B$35</f>
        <v>86</v>
      </c>
      <c r="G13" s="41">
        <f>Resum!$B$40</f>
        <v>0</v>
      </c>
      <c r="H13" s="42">
        <v>12</v>
      </c>
      <c r="I13" s="43">
        <v>1545</v>
      </c>
      <c r="J13" s="42">
        <f t="shared" si="0"/>
        <v>72</v>
      </c>
      <c r="K13" s="43">
        <f t="shared" si="1"/>
        <v>9270</v>
      </c>
      <c r="L13" s="36"/>
      <c r="M13" s="36"/>
      <c r="N13" s="36"/>
      <c r="O13" s="36"/>
    </row>
    <row r="14" spans="1:15" ht="18.95" customHeight="1">
      <c r="A14" s="40" t="s">
        <v>72</v>
      </c>
      <c r="B14" s="41">
        <f>IF(Resum!$B$29=10,1,0)</f>
        <v>0</v>
      </c>
      <c r="C14" s="41">
        <f>IF(Resum!$B$34=10,1,0)</f>
        <v>0</v>
      </c>
      <c r="D14" s="41">
        <f>IF(Resum!B39=10,1,0)</f>
        <v>0</v>
      </c>
      <c r="E14" s="41">
        <f>Resum!$B$30</f>
        <v>6</v>
      </c>
      <c r="F14" s="41">
        <f>Resum!$B$35</f>
        <v>86</v>
      </c>
      <c r="G14" s="41">
        <f>Resum!$B$40</f>
        <v>0</v>
      </c>
      <c r="H14" s="42">
        <v>8</v>
      </c>
      <c r="I14" s="43">
        <v>750</v>
      </c>
      <c r="J14" s="42">
        <f t="shared" si="0"/>
        <v>0</v>
      </c>
      <c r="K14" s="43">
        <f t="shared" si="1"/>
        <v>0</v>
      </c>
      <c r="L14" s="36"/>
      <c r="M14" s="36"/>
      <c r="N14" s="36"/>
      <c r="O14" s="36"/>
    </row>
    <row r="15" spans="1:15" ht="18.95" customHeight="1">
      <c r="A15" s="39" t="s">
        <v>73</v>
      </c>
      <c r="B15" s="36"/>
      <c r="C15" s="36"/>
      <c r="D15" s="36"/>
      <c r="E15" s="36"/>
      <c r="F15" s="36"/>
      <c r="G15" s="36"/>
      <c r="H15" s="36"/>
      <c r="I15" s="43"/>
      <c r="J15" s="42"/>
      <c r="K15" s="40" t="str">
        <f>IF(I15="","",I15*E15)</f>
        <v/>
      </c>
      <c r="L15" s="39" t="s">
        <v>74</v>
      </c>
      <c r="M15" s="39" t="s">
        <v>75</v>
      </c>
      <c r="N15" s="36"/>
      <c r="O15" s="36"/>
    </row>
    <row r="16" spans="1:15" ht="18.95" customHeight="1">
      <c r="A16" s="40" t="s">
        <v>63</v>
      </c>
      <c r="B16" s="41">
        <f>IF(Resum!$B$31=1,1,0)</f>
        <v>0</v>
      </c>
      <c r="C16" s="41">
        <f>IF(Resum!$B$36=1,1,0)</f>
        <v>0</v>
      </c>
      <c r="D16" s="41">
        <f>IF(Resum!B41=1,1,0)</f>
        <v>0</v>
      </c>
      <c r="E16" s="41">
        <f>Resum!$B$32</f>
        <v>1</v>
      </c>
      <c r="F16" s="41">
        <f>Resum!$B$37</f>
        <v>3</v>
      </c>
      <c r="G16" s="41">
        <f>Resum!$B$42</f>
        <v>0</v>
      </c>
      <c r="H16" s="42">
        <v>800</v>
      </c>
      <c r="I16" s="43">
        <v>3400</v>
      </c>
      <c r="J16" s="42">
        <f t="shared" ref="J16:J21" si="2">H16*(B16*E16+C16*F16+D16*G16)</f>
        <v>0</v>
      </c>
      <c r="K16" s="43">
        <f t="shared" ref="K16:K21" si="3">I16*(B16*E16+C16*F16+D16*G16)</f>
        <v>0</v>
      </c>
      <c r="L16" s="41">
        <v>2</v>
      </c>
      <c r="M16" s="41">
        <f t="shared" ref="M16:M21" si="4">L16*(B16*E16+C16*F16+D16*G16)</f>
        <v>0</v>
      </c>
      <c r="N16" s="36"/>
      <c r="O16" s="36"/>
    </row>
    <row r="17" spans="1:15" ht="18.95" customHeight="1">
      <c r="A17" s="40" t="s">
        <v>64</v>
      </c>
      <c r="B17" s="41">
        <f>IF(Resum!$B$31=2,1,0)</f>
        <v>1</v>
      </c>
      <c r="C17" s="41">
        <f>IF(Resum!$B$36=2,1,0)</f>
        <v>0</v>
      </c>
      <c r="D17" s="41">
        <f>IF(Resum!B41=2,1,0)</f>
        <v>0</v>
      </c>
      <c r="E17" s="41">
        <f>Resum!$B$32</f>
        <v>1</v>
      </c>
      <c r="F17" s="41">
        <f>Resum!$B$37</f>
        <v>3</v>
      </c>
      <c r="G17" s="41">
        <f>Resum!$B$42</f>
        <v>0</v>
      </c>
      <c r="H17" s="42">
        <v>1200</v>
      </c>
      <c r="I17" s="43">
        <v>4600</v>
      </c>
      <c r="J17" s="42">
        <f t="shared" si="2"/>
        <v>1200</v>
      </c>
      <c r="K17" s="43">
        <f t="shared" si="3"/>
        <v>4600</v>
      </c>
      <c r="L17" s="41">
        <v>4</v>
      </c>
      <c r="M17" s="41">
        <f t="shared" si="4"/>
        <v>4</v>
      </c>
      <c r="N17" s="36"/>
      <c r="O17" s="36"/>
    </row>
    <row r="18" spans="1:15" ht="18.95" customHeight="1">
      <c r="A18" s="40" t="s">
        <v>65</v>
      </c>
      <c r="B18" s="41">
        <f>IF(Resum!$B$31=3,1,0)</f>
        <v>0</v>
      </c>
      <c r="C18" s="41">
        <f>IF(Resum!$B$36=3,1,0)</f>
        <v>0</v>
      </c>
      <c r="D18" s="41">
        <f>IF(Resum!B41=3,1,0)</f>
        <v>0</v>
      </c>
      <c r="E18" s="41">
        <f>Resum!$B$32</f>
        <v>1</v>
      </c>
      <c r="F18" s="41">
        <f>Resum!$B$37</f>
        <v>3</v>
      </c>
      <c r="G18" s="41">
        <f>Resum!$B$42</f>
        <v>0</v>
      </c>
      <c r="H18" s="42">
        <v>1216</v>
      </c>
      <c r="I18" s="43">
        <v>5100</v>
      </c>
      <c r="J18" s="42">
        <f t="shared" si="2"/>
        <v>0</v>
      </c>
      <c r="K18" s="43">
        <f t="shared" si="3"/>
        <v>0</v>
      </c>
      <c r="L18" s="41">
        <v>4</v>
      </c>
      <c r="M18" s="41">
        <f t="shared" si="4"/>
        <v>0</v>
      </c>
      <c r="N18" s="36"/>
      <c r="O18" s="36"/>
    </row>
    <row r="19" spans="1:15" ht="18.95" customHeight="1">
      <c r="A19" s="40" t="s">
        <v>66</v>
      </c>
      <c r="B19" s="41">
        <f>IF(Resum!$B$31=4,1,0)</f>
        <v>0</v>
      </c>
      <c r="C19" s="41">
        <f>IF(Resum!$B$36=4,1,0)</f>
        <v>1</v>
      </c>
      <c r="D19" s="41">
        <f>IF(Resum!B41=4,1,0)</f>
        <v>0</v>
      </c>
      <c r="E19" s="41">
        <f>Resum!$B$32</f>
        <v>1</v>
      </c>
      <c r="F19" s="41">
        <f>Resum!$B$37</f>
        <v>3</v>
      </c>
      <c r="G19" s="41">
        <f>Resum!$B$42</f>
        <v>0</v>
      </c>
      <c r="H19" s="42">
        <v>1300</v>
      </c>
      <c r="I19" s="43">
        <v>5000</v>
      </c>
      <c r="J19" s="42">
        <f t="shared" si="2"/>
        <v>3900</v>
      </c>
      <c r="K19" s="43">
        <f t="shared" si="3"/>
        <v>15000</v>
      </c>
      <c r="L19" s="41">
        <v>4</v>
      </c>
      <c r="M19" s="41">
        <f t="shared" si="4"/>
        <v>12</v>
      </c>
      <c r="N19" s="36"/>
      <c r="O19" s="36"/>
    </row>
    <row r="20" spans="1:15" ht="18.95" customHeight="1">
      <c r="A20" s="40" t="s">
        <v>67</v>
      </c>
      <c r="B20" s="41">
        <f>IF(Resum!$B$31=5,1,0)</f>
        <v>0</v>
      </c>
      <c r="C20" s="41">
        <f>IF(Resum!$B$36=5,1,0)</f>
        <v>0</v>
      </c>
      <c r="D20" s="41">
        <f>IF(Resum!B41=5,1,0)</f>
        <v>0</v>
      </c>
      <c r="E20" s="41">
        <f>Resum!$B$32</f>
        <v>1</v>
      </c>
      <c r="F20" s="41">
        <f>Resum!$B$37</f>
        <v>3</v>
      </c>
      <c r="G20" s="41">
        <f>Resum!$B$42</f>
        <v>0</v>
      </c>
      <c r="H20" s="42">
        <v>1316</v>
      </c>
      <c r="I20" s="43">
        <v>5500</v>
      </c>
      <c r="J20" s="42">
        <f t="shared" si="2"/>
        <v>0</v>
      </c>
      <c r="K20" s="43">
        <f t="shared" si="3"/>
        <v>0</v>
      </c>
      <c r="L20" s="41">
        <v>4</v>
      </c>
      <c r="M20" s="41">
        <f t="shared" si="4"/>
        <v>0</v>
      </c>
      <c r="N20" s="36"/>
      <c r="O20" s="36"/>
    </row>
    <row r="21" spans="1:15" ht="18.95" customHeight="1">
      <c r="A21" s="40" t="s">
        <v>68</v>
      </c>
      <c r="B21" s="41">
        <f>IF(Resum!$B$31=6,1,0)</f>
        <v>0</v>
      </c>
      <c r="C21" s="41">
        <f>IF(Resum!$B$36=6,1,0)</f>
        <v>0</v>
      </c>
      <c r="D21" s="41">
        <f>IF(Resum!B41=6,1,0)</f>
        <v>0</v>
      </c>
      <c r="E21" s="41">
        <f>Resum!$B$32</f>
        <v>1</v>
      </c>
      <c r="F21" s="41">
        <f>Resum!$B$37</f>
        <v>3</v>
      </c>
      <c r="G21" s="41">
        <f>Resum!$B$42</f>
        <v>0</v>
      </c>
      <c r="H21" s="42">
        <v>1000</v>
      </c>
      <c r="I21" s="43">
        <v>2400</v>
      </c>
      <c r="J21" s="42">
        <f t="shared" si="2"/>
        <v>0</v>
      </c>
      <c r="K21" s="43">
        <f t="shared" si="3"/>
        <v>0</v>
      </c>
      <c r="L21" s="41">
        <v>4</v>
      </c>
      <c r="M21" s="41">
        <f t="shared" si="4"/>
        <v>0</v>
      </c>
      <c r="N21" s="36"/>
      <c r="O21" s="36"/>
    </row>
    <row r="22" spans="1:15" ht="18.95" customHeight="1">
      <c r="A22" s="36"/>
      <c r="B22" s="36"/>
      <c r="C22" s="36"/>
      <c r="D22" s="36"/>
      <c r="E22" s="36"/>
      <c r="F22" s="42"/>
      <c r="G22" s="42"/>
      <c r="H22" s="43"/>
      <c r="I22" s="43"/>
      <c r="J22" s="42"/>
      <c r="K22" s="40" t="str">
        <f>IF(I22="","",I22*E22)</f>
        <v/>
      </c>
      <c r="L22" s="36"/>
      <c r="M22" s="36"/>
      <c r="N22" s="36"/>
      <c r="O22" s="36"/>
    </row>
    <row r="23" spans="1:15" ht="18.95" customHeight="1">
      <c r="A23" s="36"/>
      <c r="B23" s="36"/>
      <c r="C23" s="36"/>
      <c r="D23" s="36"/>
      <c r="E23" s="36"/>
      <c r="F23" s="36"/>
      <c r="G23" s="36"/>
      <c r="H23" s="43"/>
      <c r="I23" s="43"/>
      <c r="J23" s="42"/>
      <c r="K23" s="43"/>
      <c r="L23" s="36"/>
      <c r="M23" s="36"/>
      <c r="N23" s="36"/>
      <c r="O23" s="36"/>
    </row>
    <row r="24" spans="1:15" ht="18.95" customHeight="1">
      <c r="A24" s="37"/>
      <c r="B24" s="44" t="s">
        <v>76</v>
      </c>
      <c r="C24" s="38"/>
      <c r="D24" s="38"/>
      <c r="E24" s="38"/>
      <c r="F24" s="38"/>
      <c r="G24" s="38"/>
      <c r="H24" s="45"/>
      <c r="I24" s="45"/>
      <c r="J24" s="46">
        <f>SUM(J5:J22)/1000</f>
        <v>5.8428000000000004</v>
      </c>
      <c r="K24" s="47">
        <f>SUM(K5:K22)</f>
        <v>73590</v>
      </c>
      <c r="L24" s="44" t="s">
        <v>77</v>
      </c>
      <c r="M24" s="48">
        <f>SUM(M16:M21)</f>
        <v>16</v>
      </c>
      <c r="N24" s="36"/>
      <c r="O24" s="36"/>
    </row>
    <row r="25" spans="1:15" ht="18.95" customHeight="1">
      <c r="A25" s="37"/>
      <c r="B25" s="37"/>
      <c r="C25" s="38"/>
      <c r="D25" s="38"/>
      <c r="E25" s="38"/>
      <c r="F25" s="38"/>
      <c r="G25" s="38"/>
      <c r="H25" s="45"/>
      <c r="I25" s="45"/>
      <c r="J25" s="49"/>
      <c r="K25" s="45"/>
      <c r="L25" s="44" t="s">
        <v>73</v>
      </c>
      <c r="M25" s="50">
        <f>E16+F16+G16</f>
        <v>4</v>
      </c>
      <c r="N25" s="36"/>
      <c r="O25" s="36"/>
    </row>
    <row r="26" spans="1:15" ht="18.95" customHeight="1">
      <c r="A26" s="37"/>
      <c r="B26" s="37"/>
      <c r="C26" s="38"/>
      <c r="D26" s="38"/>
      <c r="E26" s="38"/>
      <c r="F26" s="38"/>
      <c r="G26" s="38"/>
      <c r="H26" s="45"/>
      <c r="I26" s="45"/>
      <c r="J26" s="49"/>
      <c r="K26" s="45"/>
      <c r="L26" s="36"/>
      <c r="M26" s="36"/>
      <c r="N26" s="36"/>
      <c r="O26" s="36"/>
    </row>
    <row r="27" spans="1:15" ht="18.95" customHeight="1">
      <c r="A27" s="37"/>
      <c r="B27" s="37"/>
      <c r="C27" s="38"/>
      <c r="D27" s="38"/>
      <c r="E27" s="38"/>
      <c r="F27" s="38"/>
      <c r="G27" s="38"/>
      <c r="H27" s="45"/>
      <c r="I27" s="45"/>
      <c r="J27" s="49"/>
      <c r="K27" s="45"/>
      <c r="L27" s="36"/>
      <c r="M27" s="36"/>
      <c r="N27" s="36"/>
      <c r="O27" s="36"/>
    </row>
    <row r="28" spans="1:15" ht="18.95" customHeight="1">
      <c r="A28" s="37"/>
      <c r="B28" s="37"/>
      <c r="C28" s="38"/>
      <c r="D28" s="38"/>
      <c r="E28" s="38"/>
      <c r="F28" s="38"/>
      <c r="G28" s="38"/>
      <c r="H28" s="45"/>
      <c r="I28" s="45"/>
      <c r="J28" s="49"/>
      <c r="K28" s="45"/>
      <c r="L28" s="36"/>
      <c r="M28" s="36"/>
      <c r="N28" s="36"/>
      <c r="O28" s="36"/>
    </row>
    <row r="29" spans="1:15" ht="18.95" customHeight="1">
      <c r="A29" s="37"/>
      <c r="B29" s="37"/>
      <c r="C29" s="38"/>
      <c r="D29" s="38"/>
      <c r="E29" s="38"/>
      <c r="F29" s="38"/>
      <c r="G29" s="38"/>
      <c r="H29" s="45"/>
      <c r="I29" s="45"/>
      <c r="J29" s="49"/>
      <c r="K29" s="45"/>
      <c r="L29" s="36"/>
      <c r="M29" s="36"/>
      <c r="N29" s="36"/>
      <c r="O29" s="36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9"/>
  <sheetViews>
    <sheetView showGridLines="0" workbookViewId="0">
      <selection activeCell="D15" sqref="D15"/>
    </sheetView>
  </sheetViews>
  <sheetFormatPr defaultColWidth="16.375" defaultRowHeight="20.100000000000001" customHeight="1"/>
  <cols>
    <col min="1" max="1" width="19.875" style="1" customWidth="1"/>
    <col min="2" max="3" width="16.375" style="1" customWidth="1"/>
    <col min="4" max="4" width="22.5" style="1" customWidth="1"/>
    <col min="5" max="5" width="12.5" style="1" customWidth="1"/>
    <col min="6" max="6" width="11.875" style="1" customWidth="1"/>
    <col min="7" max="7" width="9" style="1" customWidth="1"/>
    <col min="8" max="8" width="14.625" style="1" customWidth="1"/>
    <col min="9" max="9" width="10.375" style="1" customWidth="1"/>
    <col min="10" max="256" width="16.375" customWidth="1"/>
  </cols>
  <sheetData>
    <row r="1" spans="1:9" ht="22.35" customHeight="1">
      <c r="A1" s="3"/>
      <c r="B1" s="3"/>
      <c r="C1" s="3"/>
      <c r="D1" s="3"/>
      <c r="E1" s="3"/>
      <c r="F1" s="247" t="s">
        <v>78</v>
      </c>
      <c r="G1" s="248"/>
      <c r="H1" s="247" t="s">
        <v>79</v>
      </c>
      <c r="I1" s="248"/>
    </row>
    <row r="2" spans="1:9" ht="22.35" customHeight="1">
      <c r="A2" s="221" t="s">
        <v>80</v>
      </c>
      <c r="B2" s="248"/>
      <c r="C2" s="52" t="s">
        <v>81</v>
      </c>
      <c r="D2" s="51" t="s">
        <v>82</v>
      </c>
      <c r="E2" s="51" t="s">
        <v>83</v>
      </c>
      <c r="F2" s="51" t="s">
        <v>60</v>
      </c>
      <c r="G2" s="51" t="s">
        <v>8</v>
      </c>
      <c r="H2" s="51" t="s">
        <v>20</v>
      </c>
      <c r="I2" s="51" t="s">
        <v>8</v>
      </c>
    </row>
    <row r="3" spans="1:9" ht="22.35" customHeight="1">
      <c r="A3" s="51" t="s">
        <v>84</v>
      </c>
      <c r="B3" s="53">
        <f>Resum!B7</f>
        <v>60</v>
      </c>
      <c r="C3" s="54">
        <f t="shared" ref="C3:C5" si="0">IF($B$6&lt;&gt;0,1,0)</f>
        <v>1</v>
      </c>
      <c r="D3" s="52" t="s">
        <v>85</v>
      </c>
      <c r="E3" s="54">
        <v>16</v>
      </c>
      <c r="F3" s="55">
        <v>400</v>
      </c>
      <c r="G3" s="56">
        <v>0.7</v>
      </c>
      <c r="H3" s="55">
        <f>E3*F3*C3</f>
        <v>6400</v>
      </c>
      <c r="I3" s="56">
        <f t="shared" ref="I3:I13" si="1">G3*E3*C3</f>
        <v>11.2</v>
      </c>
    </row>
    <row r="4" spans="1:9" ht="22.35" customHeight="1">
      <c r="A4" s="51" t="s">
        <v>86</v>
      </c>
      <c r="B4" s="57">
        <f>Resum!B4</f>
        <v>42</v>
      </c>
      <c r="C4" s="54">
        <f t="shared" si="0"/>
        <v>1</v>
      </c>
      <c r="D4" s="52" t="s">
        <v>87</v>
      </c>
      <c r="E4" s="54">
        <f>2*E19+B5*2</f>
        <v>6</v>
      </c>
      <c r="F4" s="55">
        <v>6000</v>
      </c>
      <c r="G4" s="56">
        <v>150</v>
      </c>
      <c r="H4" s="55">
        <f>E4*F4*C4</f>
        <v>36000</v>
      </c>
      <c r="I4" s="56">
        <f t="shared" si="1"/>
        <v>900</v>
      </c>
    </row>
    <row r="5" spans="1:9" ht="36.200000000000003" customHeight="1">
      <c r="A5" s="51" t="s">
        <v>88</v>
      </c>
      <c r="B5" s="53">
        <f>ROUNDUP('Cabina de discos'!M24/B4,0)</f>
        <v>1</v>
      </c>
      <c r="C5" s="54">
        <f t="shared" si="0"/>
        <v>1</v>
      </c>
      <c r="D5" s="52" t="s">
        <v>89</v>
      </c>
      <c r="E5" s="54">
        <f>(B4-4)*2+E19+2+2</f>
        <v>82</v>
      </c>
      <c r="F5" s="55">
        <v>26</v>
      </c>
      <c r="G5" s="56">
        <v>0</v>
      </c>
      <c r="H5" s="55">
        <f>E5*F5*C5</f>
        <v>2132</v>
      </c>
      <c r="I5" s="56">
        <f t="shared" si="1"/>
        <v>0</v>
      </c>
    </row>
    <row r="6" spans="1:9" ht="22.35" customHeight="1">
      <c r="A6" s="51" t="s">
        <v>90</v>
      </c>
      <c r="B6" s="53">
        <f>Resum!B27</f>
        <v>3</v>
      </c>
      <c r="C6" s="54">
        <f t="shared" ref="C6:C7" si="2">IF($B$6=1,1,0)</f>
        <v>0</v>
      </c>
      <c r="D6" s="52" t="s">
        <v>91</v>
      </c>
      <c r="E6" s="54">
        <f t="shared" ref="E6:E14" si="3">$B$3*2</f>
        <v>120</v>
      </c>
      <c r="F6" s="55">
        <v>1600</v>
      </c>
      <c r="G6" s="56">
        <v>6.2</v>
      </c>
      <c r="H6" s="55">
        <f t="shared" ref="H6:H13" si="4">C6*E6*F6</f>
        <v>0</v>
      </c>
      <c r="I6" s="56">
        <f t="shared" si="1"/>
        <v>0</v>
      </c>
    </row>
    <row r="7" spans="1:9" ht="22.35" customHeight="1">
      <c r="A7" s="3"/>
      <c r="B7" s="3"/>
      <c r="C7" s="54">
        <f t="shared" si="2"/>
        <v>0</v>
      </c>
      <c r="D7" s="52" t="s">
        <v>92</v>
      </c>
      <c r="E7" s="54">
        <v>2</v>
      </c>
      <c r="F7" s="55">
        <v>12800</v>
      </c>
      <c r="G7" s="56">
        <v>600</v>
      </c>
      <c r="H7" s="55">
        <f t="shared" si="4"/>
        <v>0</v>
      </c>
      <c r="I7" s="56">
        <f t="shared" si="1"/>
        <v>0</v>
      </c>
    </row>
    <row r="8" spans="1:9" ht="22.35" customHeight="1">
      <c r="A8" s="3"/>
      <c r="B8" s="3"/>
      <c r="C8" s="54">
        <f t="shared" ref="C8:C9" si="5">IF($B$6=2,1,0)</f>
        <v>0</v>
      </c>
      <c r="D8" s="52" t="s">
        <v>93</v>
      </c>
      <c r="E8" s="54">
        <f t="shared" si="3"/>
        <v>120</v>
      </c>
      <c r="F8" s="55">
        <v>2800</v>
      </c>
      <c r="G8" s="56">
        <v>10.199999999999999</v>
      </c>
      <c r="H8" s="55">
        <f t="shared" si="4"/>
        <v>0</v>
      </c>
      <c r="I8" s="56">
        <f t="shared" si="1"/>
        <v>0</v>
      </c>
    </row>
    <row r="9" spans="1:9" ht="22.35" customHeight="1">
      <c r="A9" s="3"/>
      <c r="B9" s="3"/>
      <c r="C9" s="54">
        <f t="shared" si="5"/>
        <v>0</v>
      </c>
      <c r="D9" s="52" t="s">
        <v>94</v>
      </c>
      <c r="E9" s="54">
        <v>2</v>
      </c>
      <c r="F9" s="55">
        <v>30000</v>
      </c>
      <c r="G9" s="56">
        <v>1800</v>
      </c>
      <c r="H9" s="55">
        <f t="shared" si="4"/>
        <v>0</v>
      </c>
      <c r="I9" s="56">
        <f t="shared" si="1"/>
        <v>0</v>
      </c>
    </row>
    <row r="10" spans="1:9" ht="22.35" customHeight="1">
      <c r="A10" s="3"/>
      <c r="B10" s="3"/>
      <c r="C10" s="54">
        <f t="shared" ref="C10:C11" si="6">IF($B$6=3,1,0)</f>
        <v>1</v>
      </c>
      <c r="D10" s="52" t="s">
        <v>95</v>
      </c>
      <c r="E10" s="54">
        <f t="shared" si="3"/>
        <v>120</v>
      </c>
      <c r="F10" s="55">
        <v>4200</v>
      </c>
      <c r="G10" s="56">
        <v>18.5</v>
      </c>
      <c r="H10" s="55">
        <f t="shared" si="4"/>
        <v>504000</v>
      </c>
      <c r="I10" s="56">
        <f t="shared" si="1"/>
        <v>2220</v>
      </c>
    </row>
    <row r="11" spans="1:9" ht="22.35" customHeight="1">
      <c r="A11" s="3"/>
      <c r="B11" s="3"/>
      <c r="C11" s="54">
        <f t="shared" si="6"/>
        <v>1</v>
      </c>
      <c r="D11" s="52" t="s">
        <v>96</v>
      </c>
      <c r="E11" s="54">
        <v>2</v>
      </c>
      <c r="F11" s="55">
        <v>72200</v>
      </c>
      <c r="G11" s="56">
        <v>3500</v>
      </c>
      <c r="H11" s="55">
        <f t="shared" si="4"/>
        <v>144400</v>
      </c>
      <c r="I11" s="56">
        <f t="shared" si="1"/>
        <v>7000</v>
      </c>
    </row>
    <row r="12" spans="1:9" ht="22.35" customHeight="1">
      <c r="A12" s="3"/>
      <c r="B12" s="3"/>
      <c r="C12" s="54">
        <f>IF($B$6=4,1,0)</f>
        <v>0</v>
      </c>
      <c r="D12" s="215" t="s">
        <v>97</v>
      </c>
      <c r="E12" s="54">
        <f t="shared" si="3"/>
        <v>120</v>
      </c>
      <c r="F12" s="55">
        <v>7000</v>
      </c>
      <c r="G12" s="56">
        <v>24.5</v>
      </c>
      <c r="H12" s="55">
        <f t="shared" si="4"/>
        <v>0</v>
      </c>
      <c r="I12" s="56">
        <f t="shared" si="1"/>
        <v>0</v>
      </c>
    </row>
    <row r="13" spans="1:9" ht="22.35" customHeight="1">
      <c r="A13" s="3"/>
      <c r="B13" s="3"/>
      <c r="C13" s="54">
        <f>IF($B$6=4,1,0)</f>
        <v>0</v>
      </c>
      <c r="D13" s="215" t="s">
        <v>98</v>
      </c>
      <c r="E13" s="54">
        <v>2</v>
      </c>
      <c r="F13" s="55">
        <v>122200</v>
      </c>
      <c r="G13" s="56">
        <v>4600</v>
      </c>
      <c r="H13" s="55">
        <f t="shared" si="4"/>
        <v>0</v>
      </c>
      <c r="I13" s="56">
        <f t="shared" si="1"/>
        <v>0</v>
      </c>
    </row>
    <row r="14" spans="1:9" ht="22.35" customHeight="1">
      <c r="A14" s="3"/>
      <c r="B14" s="3"/>
      <c r="C14" s="54">
        <f>IF($B$6=5,1,0)</f>
        <v>0</v>
      </c>
      <c r="D14" s="215" t="s">
        <v>99</v>
      </c>
      <c r="E14" s="54">
        <f t="shared" si="3"/>
        <v>120</v>
      </c>
      <c r="F14" s="55">
        <v>11200</v>
      </c>
      <c r="G14" s="56">
        <v>30.5</v>
      </c>
      <c r="H14" s="55">
        <f t="shared" ref="H14:H15" si="7">C14*E14*F14</f>
        <v>0</v>
      </c>
      <c r="I14" s="56">
        <f t="shared" ref="I14:I15" si="8">G14*E14*C14</f>
        <v>0</v>
      </c>
    </row>
    <row r="15" spans="1:9" ht="22.35" customHeight="1">
      <c r="A15" s="3"/>
      <c r="B15" s="3"/>
      <c r="C15" s="54">
        <f>IF($B$6=5,1,0)</f>
        <v>0</v>
      </c>
      <c r="D15" s="215" t="s">
        <v>100</v>
      </c>
      <c r="E15" s="54">
        <v>2</v>
      </c>
      <c r="F15" s="55">
        <v>150000</v>
      </c>
      <c r="G15" s="56">
        <v>5500</v>
      </c>
      <c r="H15" s="55">
        <f t="shared" si="7"/>
        <v>0</v>
      </c>
      <c r="I15" s="56">
        <f t="shared" si="8"/>
        <v>0</v>
      </c>
    </row>
    <row r="16" spans="1:9" ht="22.35" customHeight="1">
      <c r="A16" s="3"/>
      <c r="B16" s="3"/>
      <c r="C16" s="3"/>
      <c r="D16" s="52"/>
      <c r="E16" s="54"/>
      <c r="F16" s="55"/>
      <c r="G16" s="56"/>
      <c r="H16" s="55"/>
      <c r="I16" s="56"/>
    </row>
    <row r="17" spans="1:9" ht="22.35" customHeight="1">
      <c r="A17" s="221" t="s">
        <v>101</v>
      </c>
      <c r="B17" s="248"/>
      <c r="C17" s="3"/>
      <c r="D17" s="220" t="s">
        <v>102</v>
      </c>
      <c r="E17" s="248"/>
      <c r="F17" s="248"/>
      <c r="G17" s="248"/>
      <c r="H17" s="55">
        <f>SUM(H3:H16)</f>
        <v>692932</v>
      </c>
      <c r="I17" s="56">
        <f>SUM(I3:I16)</f>
        <v>10131.200000000001</v>
      </c>
    </row>
    <row r="18" spans="1:9" ht="22.35" customHeight="1">
      <c r="A18" s="51" t="s">
        <v>103</v>
      </c>
      <c r="B18" s="58">
        <f>H17</f>
        <v>692932</v>
      </c>
      <c r="C18" s="3"/>
      <c r="D18" s="3"/>
      <c r="E18" s="3"/>
      <c r="F18" s="59"/>
      <c r="G18" s="56"/>
      <c r="H18" s="54"/>
      <c r="I18" s="56"/>
    </row>
    <row r="19" spans="1:9" ht="22.35" customHeight="1">
      <c r="A19" s="51" t="s">
        <v>8</v>
      </c>
      <c r="B19" s="60">
        <f>I17/1000</f>
        <v>10.131200000000002</v>
      </c>
      <c r="C19" s="3"/>
      <c r="D19" s="52" t="s">
        <v>104</v>
      </c>
      <c r="E19" s="54">
        <f>MROUND(B3/(B4-4),1)</f>
        <v>2</v>
      </c>
      <c r="F19" s="3"/>
      <c r="G19" s="3"/>
      <c r="H19" s="3"/>
      <c r="I19" s="3"/>
    </row>
  </sheetData>
  <mergeCells count="5">
    <mergeCell ref="D17:G17"/>
    <mergeCell ref="A17:B17"/>
    <mergeCell ref="H1:I1"/>
    <mergeCell ref="F1:G1"/>
    <mergeCell ref="A2:B2"/>
  </mergeCells>
  <pageMargins left="1" right="1" top="1" bottom="1" header="0.25" footer="0.25"/>
  <pageSetup orientation="portrait"/>
  <headerFooter>
    <oddFooter>&amp;C&amp;"Helvetica,Regular"&amp;12&amp;K000000&amp;P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8"/>
  <sheetViews>
    <sheetView showGridLines="0" topLeftCell="A4" workbookViewId="0">
      <selection activeCell="B17" sqref="B17"/>
    </sheetView>
  </sheetViews>
  <sheetFormatPr defaultColWidth="12.875" defaultRowHeight="15.75" customHeight="1"/>
  <cols>
    <col min="1" max="1" width="44.375" style="35" customWidth="1"/>
    <col min="2" max="2" width="16.375" style="35" customWidth="1"/>
    <col min="3" max="3" width="12.875" style="35" customWidth="1"/>
    <col min="4" max="4" width="14" style="35" customWidth="1"/>
    <col min="5" max="5" width="16.875" style="35" customWidth="1"/>
    <col min="6" max="6" width="15.875" style="35" customWidth="1"/>
    <col min="7" max="8" width="12.875" style="35" customWidth="1"/>
    <col min="9" max="9" width="36.375" style="35" customWidth="1"/>
    <col min="10" max="15" width="12.875" style="35" customWidth="1"/>
    <col min="16" max="16" width="14.625" style="35" customWidth="1"/>
    <col min="17" max="17" width="17" style="35" customWidth="1"/>
    <col min="18" max="18" width="7" style="35" customWidth="1"/>
    <col min="19" max="20" width="12.875" style="35" customWidth="1"/>
    <col min="21" max="256" width="12.875" customWidth="1"/>
  </cols>
  <sheetData>
    <row r="1" spans="1:20" ht="18" customHeight="1">
      <c r="A1" s="61"/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</row>
    <row r="2" spans="1:20" ht="18" customHeight="1">
      <c r="A2" s="224" t="s">
        <v>105</v>
      </c>
      <c r="B2" s="225"/>
      <c r="C2" s="225"/>
      <c r="D2" s="225"/>
      <c r="E2" s="225"/>
      <c r="F2" s="225"/>
      <c r="G2" s="225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</row>
    <row r="3" spans="1:20" ht="18.600000000000001" customHeight="1">
      <c r="A3" s="62" t="s">
        <v>106</v>
      </c>
      <c r="B3" s="63"/>
      <c r="C3" s="63"/>
      <c r="D3" s="63"/>
      <c r="E3" s="63"/>
      <c r="F3" s="63"/>
      <c r="G3" s="64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</row>
    <row r="4" spans="1:20" ht="18.95" customHeight="1">
      <c r="A4" s="65"/>
      <c r="B4" s="222" t="s">
        <v>107</v>
      </c>
      <c r="C4" s="223"/>
      <c r="D4" s="223"/>
      <c r="E4" s="223"/>
      <c r="F4" s="223"/>
      <c r="G4" s="223"/>
      <c r="H4" s="67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1"/>
    </row>
    <row r="5" spans="1:20" ht="18.95" customHeight="1">
      <c r="A5" s="69"/>
      <c r="B5" s="66" t="s">
        <v>108</v>
      </c>
      <c r="C5" s="66" t="s">
        <v>109</v>
      </c>
      <c r="D5" s="66" t="s">
        <v>110</v>
      </c>
      <c r="E5" s="66" t="s">
        <v>111</v>
      </c>
      <c r="F5" s="66" t="s">
        <v>112</v>
      </c>
      <c r="G5" s="66" t="s">
        <v>113</v>
      </c>
      <c r="H5" s="70"/>
      <c r="I5" s="71" t="s">
        <v>114</v>
      </c>
      <c r="J5" s="69"/>
      <c r="K5" s="69"/>
      <c r="L5" s="69"/>
      <c r="M5" s="69"/>
      <c r="N5" s="69"/>
      <c r="O5" s="69"/>
      <c r="P5" s="69"/>
      <c r="Q5" s="69"/>
      <c r="R5" s="69"/>
      <c r="S5" s="69"/>
      <c r="T5" s="67"/>
    </row>
    <row r="6" spans="1:20" ht="18" customHeight="1">
      <c r="A6" s="72" t="s">
        <v>115</v>
      </c>
      <c r="B6" s="73">
        <v>17.683102000000002</v>
      </c>
      <c r="C6" s="73">
        <v>8.8492049999999995</v>
      </c>
      <c r="D6" s="73">
        <v>6.4761480000000002</v>
      </c>
      <c r="E6" s="73">
        <v>6.4761480000000002</v>
      </c>
      <c r="F6" s="73">
        <v>6.4761480000000002</v>
      </c>
      <c r="G6" s="73">
        <v>2.9548369999999999</v>
      </c>
      <c r="H6" s="70"/>
      <c r="I6" s="69"/>
      <c r="J6" s="71" t="s">
        <v>108</v>
      </c>
      <c r="K6" s="71" t="s">
        <v>109</v>
      </c>
      <c r="L6" s="71" t="s">
        <v>110</v>
      </c>
      <c r="M6" s="71" t="s">
        <v>111</v>
      </c>
      <c r="N6" s="71" t="s">
        <v>112</v>
      </c>
      <c r="O6" s="71" t="s">
        <v>113</v>
      </c>
      <c r="P6" s="71" t="s">
        <v>116</v>
      </c>
      <c r="Q6" s="71" t="s">
        <v>117</v>
      </c>
      <c r="R6" s="71" t="s">
        <v>118</v>
      </c>
      <c r="S6" s="71" t="s">
        <v>119</v>
      </c>
      <c r="T6" s="67"/>
    </row>
    <row r="7" spans="1:20" ht="18" customHeight="1">
      <c r="A7" s="72" t="s">
        <v>120</v>
      </c>
      <c r="B7" s="73">
        <v>7.5697E-2</v>
      </c>
      <c r="C7" s="73">
        <v>5.6531999999999999E-2</v>
      </c>
      <c r="D7" s="73">
        <v>3.0124000000000001E-2</v>
      </c>
      <c r="E7" s="73">
        <v>1.4992E-2</v>
      </c>
      <c r="F7" s="73">
        <v>9.6819999999999996E-3</v>
      </c>
      <c r="G7" s="73">
        <v>6.0619999999999997E-3</v>
      </c>
      <c r="H7" s="70"/>
      <c r="I7" s="71" t="s">
        <v>121</v>
      </c>
      <c r="J7" s="74">
        <v>6</v>
      </c>
      <c r="K7" s="69">
        <v>10</v>
      </c>
      <c r="L7" s="69">
        <v>0</v>
      </c>
      <c r="M7" s="69">
        <v>0</v>
      </c>
      <c r="N7" s="69">
        <v>0</v>
      </c>
      <c r="O7" s="69">
        <v>8</v>
      </c>
      <c r="P7" s="69">
        <v>23</v>
      </c>
      <c r="Q7" s="69">
        <v>8</v>
      </c>
      <c r="R7" s="69">
        <f t="shared" ref="R7:R20" si="0">P7+Q7</f>
        <v>31</v>
      </c>
      <c r="S7" s="75">
        <f t="shared" ref="S7:S19" si="1">R7*24</f>
        <v>744</v>
      </c>
      <c r="T7" s="67"/>
    </row>
    <row r="8" spans="1:20" ht="18.95" customHeight="1">
      <c r="A8" s="76"/>
      <c r="B8" s="77"/>
      <c r="C8" s="76"/>
      <c r="D8" s="76"/>
      <c r="E8" s="76"/>
      <c r="F8" s="76"/>
      <c r="G8" s="78"/>
      <c r="H8" s="79"/>
      <c r="I8" s="71" t="s">
        <v>122</v>
      </c>
      <c r="J8" s="69">
        <v>6</v>
      </c>
      <c r="K8" s="69">
        <v>10</v>
      </c>
      <c r="L8" s="69">
        <v>0</v>
      </c>
      <c r="M8" s="69">
        <v>0</v>
      </c>
      <c r="N8" s="69">
        <v>0</v>
      </c>
      <c r="O8" s="69">
        <v>8</v>
      </c>
      <c r="P8" s="69">
        <v>20</v>
      </c>
      <c r="Q8" s="69">
        <v>8</v>
      </c>
      <c r="R8" s="69">
        <f t="shared" si="0"/>
        <v>28</v>
      </c>
      <c r="S8" s="75">
        <f t="shared" si="1"/>
        <v>672</v>
      </c>
      <c r="T8" s="67"/>
    </row>
    <row r="9" spans="1:20" ht="18.95" customHeight="1">
      <c r="A9" s="80" t="s">
        <v>123</v>
      </c>
      <c r="B9" s="81">
        <f>Resum!B6</f>
        <v>7.0000000000000007E-2</v>
      </c>
      <c r="C9" s="82" t="s">
        <v>124</v>
      </c>
      <c r="D9" s="36"/>
      <c r="E9" s="36"/>
      <c r="F9" s="36"/>
      <c r="G9" s="83"/>
      <c r="H9" s="79"/>
      <c r="I9" s="71" t="s">
        <v>125</v>
      </c>
      <c r="J9" s="69">
        <v>0</v>
      </c>
      <c r="K9" s="69">
        <v>0</v>
      </c>
      <c r="L9" s="69">
        <v>6</v>
      </c>
      <c r="M9" s="69">
        <v>10</v>
      </c>
      <c r="N9" s="69">
        <v>0</v>
      </c>
      <c r="O9" s="69">
        <v>8</v>
      </c>
      <c r="P9" s="69">
        <v>23</v>
      </c>
      <c r="Q9" s="69">
        <v>8</v>
      </c>
      <c r="R9" s="69">
        <f t="shared" si="0"/>
        <v>31</v>
      </c>
      <c r="S9" s="75">
        <f t="shared" si="1"/>
        <v>744</v>
      </c>
      <c r="T9" s="67"/>
    </row>
    <row r="10" spans="1:20" ht="18.95" customHeight="1">
      <c r="A10" s="72" t="s">
        <v>126</v>
      </c>
      <c r="B10" s="84">
        <f>Resum!B5+'Cabina de discos'!J24+SAN!B19+Backup!H29</f>
        <v>177.47400000000002</v>
      </c>
      <c r="C10" s="82" t="s">
        <v>127</v>
      </c>
      <c r="D10" s="36"/>
      <c r="E10" s="36"/>
      <c r="F10" s="36"/>
      <c r="G10" s="83"/>
      <c r="H10" s="79"/>
      <c r="I10" s="71" t="s">
        <v>128</v>
      </c>
      <c r="J10" s="69">
        <v>0</v>
      </c>
      <c r="K10" s="69">
        <v>0</v>
      </c>
      <c r="L10" s="69">
        <v>0</v>
      </c>
      <c r="M10" s="69">
        <v>0</v>
      </c>
      <c r="N10" s="69">
        <v>16</v>
      </c>
      <c r="O10" s="69">
        <v>8</v>
      </c>
      <c r="P10" s="69">
        <v>22</v>
      </c>
      <c r="Q10" s="69">
        <v>8</v>
      </c>
      <c r="R10" s="69">
        <f t="shared" si="0"/>
        <v>30</v>
      </c>
      <c r="S10" s="75">
        <f t="shared" si="1"/>
        <v>720</v>
      </c>
      <c r="T10" s="67"/>
    </row>
    <row r="11" spans="1:20" ht="18.95" customHeight="1">
      <c r="A11" s="85"/>
      <c r="B11" s="85"/>
      <c r="C11" s="36"/>
      <c r="D11" s="36"/>
      <c r="E11" s="36"/>
      <c r="F11" s="36"/>
      <c r="G11" s="83"/>
      <c r="H11" s="79"/>
      <c r="I11" s="71" t="s">
        <v>129</v>
      </c>
      <c r="J11" s="69">
        <v>0</v>
      </c>
      <c r="K11" s="69">
        <v>0</v>
      </c>
      <c r="L11" s="69">
        <v>0</v>
      </c>
      <c r="M11" s="69">
        <v>0</v>
      </c>
      <c r="N11" s="69">
        <v>16</v>
      </c>
      <c r="O11" s="69">
        <v>8</v>
      </c>
      <c r="P11" s="69">
        <v>23</v>
      </c>
      <c r="Q11" s="69">
        <v>8</v>
      </c>
      <c r="R11" s="69">
        <f t="shared" si="0"/>
        <v>31</v>
      </c>
      <c r="S11" s="75">
        <f t="shared" si="1"/>
        <v>744</v>
      </c>
      <c r="T11" s="67"/>
    </row>
    <row r="12" spans="1:20" ht="18.95" customHeight="1">
      <c r="A12" s="86" t="s">
        <v>130</v>
      </c>
      <c r="B12" s="43"/>
      <c r="C12" s="36"/>
      <c r="D12" s="36"/>
      <c r="E12" s="36"/>
      <c r="F12" s="36"/>
      <c r="G12" s="83"/>
      <c r="H12" s="79"/>
      <c r="I12" s="71" t="s">
        <v>131</v>
      </c>
      <c r="J12" s="69">
        <v>0</v>
      </c>
      <c r="K12" s="69">
        <v>0</v>
      </c>
      <c r="L12" s="69">
        <v>6</v>
      </c>
      <c r="M12" s="69">
        <v>10</v>
      </c>
      <c r="N12" s="69">
        <v>0</v>
      </c>
      <c r="O12" s="69">
        <v>8</v>
      </c>
      <c r="P12" s="69">
        <v>11</v>
      </c>
      <c r="Q12" s="69">
        <v>4</v>
      </c>
      <c r="R12" s="69">
        <f t="shared" si="0"/>
        <v>15</v>
      </c>
      <c r="S12" s="75">
        <f t="shared" si="1"/>
        <v>360</v>
      </c>
      <c r="T12" s="67"/>
    </row>
    <row r="13" spans="1:20" ht="18.95" customHeight="1">
      <c r="A13" s="87"/>
      <c r="B13" s="88"/>
      <c r="C13" s="87"/>
      <c r="D13" s="87"/>
      <c r="E13" s="87"/>
      <c r="F13" s="87"/>
      <c r="G13" s="89"/>
      <c r="H13" s="79"/>
      <c r="I13" s="71" t="s">
        <v>132</v>
      </c>
      <c r="J13" s="69">
        <v>8</v>
      </c>
      <c r="K13" s="69">
        <v>8</v>
      </c>
      <c r="L13" s="69">
        <v>0</v>
      </c>
      <c r="M13" s="69">
        <v>0</v>
      </c>
      <c r="N13" s="69">
        <v>0</v>
      </c>
      <c r="O13" s="69">
        <v>8</v>
      </c>
      <c r="P13" s="69">
        <v>11</v>
      </c>
      <c r="Q13" s="69">
        <v>4</v>
      </c>
      <c r="R13" s="69">
        <f t="shared" si="0"/>
        <v>15</v>
      </c>
      <c r="S13" s="75">
        <f t="shared" si="1"/>
        <v>360</v>
      </c>
      <c r="T13" s="67"/>
    </row>
    <row r="14" spans="1:20" ht="18.95" customHeight="1">
      <c r="A14" s="90" t="s">
        <v>133</v>
      </c>
      <c r="B14" s="61"/>
      <c r="C14" s="61"/>
      <c r="D14" s="61"/>
      <c r="E14" s="61"/>
      <c r="F14" s="61"/>
      <c r="G14" s="61"/>
      <c r="H14" s="79"/>
      <c r="I14" s="71" t="s">
        <v>134</v>
      </c>
      <c r="J14" s="69">
        <v>8</v>
      </c>
      <c r="K14" s="69">
        <v>8</v>
      </c>
      <c r="L14" s="69">
        <v>0</v>
      </c>
      <c r="M14" s="69">
        <v>0</v>
      </c>
      <c r="N14" s="69">
        <v>0</v>
      </c>
      <c r="O14" s="69">
        <v>8</v>
      </c>
      <c r="P14" s="69">
        <v>23</v>
      </c>
      <c r="Q14" s="69">
        <v>8</v>
      </c>
      <c r="R14" s="69">
        <f t="shared" si="0"/>
        <v>31</v>
      </c>
      <c r="S14" s="75">
        <f t="shared" si="1"/>
        <v>744</v>
      </c>
      <c r="T14" s="67"/>
    </row>
    <row r="15" spans="1:20" ht="18.95" customHeight="1">
      <c r="A15" s="61"/>
      <c r="B15" s="91"/>
      <c r="C15" s="61"/>
      <c r="D15" s="61"/>
      <c r="E15" s="61"/>
      <c r="F15" s="61"/>
      <c r="G15" s="61"/>
      <c r="H15" s="79"/>
      <c r="I15" s="71" t="s">
        <v>135</v>
      </c>
      <c r="J15" s="69">
        <v>0</v>
      </c>
      <c r="K15" s="69">
        <v>0</v>
      </c>
      <c r="L15" s="69">
        <v>0</v>
      </c>
      <c r="M15" s="69">
        <v>0</v>
      </c>
      <c r="N15" s="69">
        <v>0</v>
      </c>
      <c r="O15" s="69">
        <v>24</v>
      </c>
      <c r="P15" s="69">
        <v>23</v>
      </c>
      <c r="Q15" s="69">
        <v>8</v>
      </c>
      <c r="R15" s="69">
        <f t="shared" si="0"/>
        <v>31</v>
      </c>
      <c r="S15" s="75">
        <f t="shared" si="1"/>
        <v>744</v>
      </c>
      <c r="T15" s="67"/>
    </row>
    <row r="16" spans="1:20" ht="18.95" customHeight="1">
      <c r="A16" s="68"/>
      <c r="B16" s="68"/>
      <c r="C16" s="68"/>
      <c r="D16" s="68"/>
      <c r="E16" s="68"/>
      <c r="F16" s="68"/>
      <c r="G16" s="61"/>
      <c r="H16" s="79"/>
      <c r="I16" s="71" t="s">
        <v>136</v>
      </c>
      <c r="J16" s="69">
        <v>0</v>
      </c>
      <c r="K16" s="69">
        <v>0</v>
      </c>
      <c r="L16" s="69">
        <v>6</v>
      </c>
      <c r="M16" s="69">
        <v>10</v>
      </c>
      <c r="N16" s="69">
        <v>0</v>
      </c>
      <c r="O16" s="69">
        <v>8</v>
      </c>
      <c r="P16" s="69">
        <v>22</v>
      </c>
      <c r="Q16" s="69">
        <v>8</v>
      </c>
      <c r="R16" s="69">
        <f t="shared" si="0"/>
        <v>30</v>
      </c>
      <c r="S16" s="75">
        <f t="shared" si="1"/>
        <v>720</v>
      </c>
      <c r="T16" s="67"/>
    </row>
    <row r="17" spans="1:20" ht="47.25" customHeight="1">
      <c r="A17" s="92" t="s">
        <v>137</v>
      </c>
      <c r="B17" s="93" t="s">
        <v>138</v>
      </c>
      <c r="C17" s="94" t="s">
        <v>139</v>
      </c>
      <c r="D17" s="93" t="s">
        <v>140</v>
      </c>
      <c r="E17" s="93" t="s">
        <v>141</v>
      </c>
      <c r="F17" s="95" t="s">
        <v>142</v>
      </c>
      <c r="G17" s="96" t="s">
        <v>143</v>
      </c>
      <c r="H17" s="79"/>
      <c r="I17" s="71" t="s">
        <v>144</v>
      </c>
      <c r="J17" s="69">
        <v>0</v>
      </c>
      <c r="K17" s="69">
        <v>0</v>
      </c>
      <c r="L17" s="69">
        <v>6</v>
      </c>
      <c r="M17" s="69">
        <v>10</v>
      </c>
      <c r="N17" s="69">
        <v>0</v>
      </c>
      <c r="O17" s="69">
        <v>8</v>
      </c>
      <c r="P17" s="69">
        <v>23</v>
      </c>
      <c r="Q17" s="69">
        <v>8</v>
      </c>
      <c r="R17" s="69">
        <f t="shared" si="0"/>
        <v>31</v>
      </c>
      <c r="S17" s="75">
        <f t="shared" si="1"/>
        <v>744</v>
      </c>
      <c r="T17" s="67"/>
    </row>
    <row r="18" spans="1:20" ht="18.95" customHeight="1">
      <c r="A18" s="97">
        <v>1</v>
      </c>
      <c r="B18" s="98">
        <f t="shared" ref="B18:B38" si="2">$B$10*A18</f>
        <v>177.47400000000002</v>
      </c>
      <c r="C18" s="99">
        <f t="shared" ref="C18:C38" si="3">B18*(1+$B$9)</f>
        <v>189.89718000000002</v>
      </c>
      <c r="D18" s="100">
        <f>SUM(B6:G6*C18)</f>
        <v>1229.8022424626402</v>
      </c>
      <c r="E18" s="100">
        <f t="shared" ref="E18:E38" si="4">($J$38*$B$7+$K$38*$C$7+$L$38*$D$7+$M$38*$E$7+$N$38*$F$7+$O$38*$G$7+$P$38*$G$7)*B18</f>
        <v>30653.153812776003</v>
      </c>
      <c r="F18" s="101">
        <f t="shared" ref="F18:F38" si="5">D18+E18</f>
        <v>31882.956055238643</v>
      </c>
      <c r="G18" s="102">
        <f t="shared" ref="G18:G38" si="6">1-$F$18/F18</f>
        <v>0</v>
      </c>
      <c r="H18" s="79"/>
      <c r="I18" s="71" t="s">
        <v>145</v>
      </c>
      <c r="J18" s="69">
        <v>0</v>
      </c>
      <c r="K18" s="69">
        <v>0</v>
      </c>
      <c r="L18" s="69">
        <v>6</v>
      </c>
      <c r="M18" s="69">
        <v>10</v>
      </c>
      <c r="N18" s="69">
        <v>0</v>
      </c>
      <c r="O18" s="69">
        <v>8</v>
      </c>
      <c r="P18" s="69">
        <v>22</v>
      </c>
      <c r="Q18" s="69">
        <v>8</v>
      </c>
      <c r="R18" s="69">
        <f t="shared" si="0"/>
        <v>30</v>
      </c>
      <c r="S18" s="75">
        <f t="shared" si="1"/>
        <v>720</v>
      </c>
      <c r="T18" s="67"/>
    </row>
    <row r="19" spans="1:20" ht="18.95" customHeight="1">
      <c r="A19" s="103">
        <v>1.05</v>
      </c>
      <c r="B19" s="104">
        <f t="shared" si="2"/>
        <v>186.34770000000003</v>
      </c>
      <c r="C19" s="105">
        <f t="shared" si="3"/>
        <v>199.39203900000004</v>
      </c>
      <c r="D19" s="106">
        <v>1721.3454115905599</v>
      </c>
      <c r="E19" s="106">
        <f t="shared" si="4"/>
        <v>32185.811503414803</v>
      </c>
      <c r="F19" s="107">
        <f t="shared" si="5"/>
        <v>33907.156915005362</v>
      </c>
      <c r="G19" s="108">
        <f t="shared" si="6"/>
        <v>5.9698336396671547E-2</v>
      </c>
      <c r="H19" s="79"/>
      <c r="I19" s="71" t="s">
        <v>146</v>
      </c>
      <c r="J19" s="69">
        <v>6</v>
      </c>
      <c r="K19" s="69">
        <v>10</v>
      </c>
      <c r="L19" s="69">
        <v>0</v>
      </c>
      <c r="M19" s="69">
        <v>0</v>
      </c>
      <c r="N19" s="69">
        <v>0</v>
      </c>
      <c r="O19" s="69">
        <v>8</v>
      </c>
      <c r="P19" s="69">
        <v>23</v>
      </c>
      <c r="Q19" s="69">
        <v>7</v>
      </c>
      <c r="R19" s="69">
        <f t="shared" si="0"/>
        <v>30</v>
      </c>
      <c r="S19" s="75">
        <f t="shared" si="1"/>
        <v>720</v>
      </c>
      <c r="T19" s="67"/>
    </row>
    <row r="20" spans="1:20" ht="18.95" customHeight="1">
      <c r="A20" s="103">
        <v>1.1000000000000001</v>
      </c>
      <c r="B20" s="104">
        <f t="shared" si="2"/>
        <v>195.22140000000005</v>
      </c>
      <c r="C20" s="105">
        <f t="shared" si="3"/>
        <v>208.88689800000006</v>
      </c>
      <c r="D20" s="106">
        <v>1803.314240713921</v>
      </c>
      <c r="E20" s="106">
        <f t="shared" si="4"/>
        <v>33718.469194053607</v>
      </c>
      <c r="F20" s="107">
        <f t="shared" si="5"/>
        <v>35521.783434767531</v>
      </c>
      <c r="G20" s="108">
        <f t="shared" si="6"/>
        <v>0.10243932110591403</v>
      </c>
      <c r="H20" s="61"/>
      <c r="I20" s="109"/>
      <c r="J20" s="109"/>
      <c r="K20" s="109"/>
      <c r="L20" s="109"/>
      <c r="M20" s="109"/>
      <c r="N20" s="109"/>
      <c r="O20" s="109"/>
      <c r="P20" s="110">
        <f>SUM(P7:P19)</f>
        <v>269</v>
      </c>
      <c r="Q20" s="110">
        <f>SUM(Q7:Q19)</f>
        <v>95</v>
      </c>
      <c r="R20" s="110">
        <f t="shared" si="0"/>
        <v>364</v>
      </c>
      <c r="S20" s="110">
        <f>SUM(S7:S19)</f>
        <v>8736</v>
      </c>
      <c r="T20" s="61"/>
    </row>
    <row r="21" spans="1:20" ht="18.95" customHeight="1">
      <c r="A21" s="103">
        <v>1.1499999999999999</v>
      </c>
      <c r="B21" s="104">
        <f t="shared" si="2"/>
        <v>204.0951</v>
      </c>
      <c r="C21" s="105">
        <f t="shared" si="3"/>
        <v>218.38175700000002</v>
      </c>
      <c r="D21" s="106">
        <v>1885.28306983728</v>
      </c>
      <c r="E21" s="106">
        <f t="shared" si="4"/>
        <v>35251.126884692399</v>
      </c>
      <c r="F21" s="107">
        <f t="shared" si="5"/>
        <v>37136.409954529678</v>
      </c>
      <c r="G21" s="108">
        <f t="shared" si="6"/>
        <v>0.14146369844913487</v>
      </c>
      <c r="H21" s="61"/>
      <c r="I21" s="68"/>
      <c r="J21" s="68"/>
      <c r="K21" s="68"/>
      <c r="L21" s="68"/>
      <c r="M21" s="68"/>
      <c r="N21" s="68"/>
      <c r="O21" s="68"/>
      <c r="P21" s="68"/>
      <c r="Q21" s="61"/>
      <c r="R21" s="61"/>
      <c r="S21" s="61"/>
      <c r="T21" s="61"/>
    </row>
    <row r="22" spans="1:20" ht="18.95" customHeight="1">
      <c r="A22" s="103">
        <v>1.2</v>
      </c>
      <c r="B22" s="104">
        <f t="shared" si="2"/>
        <v>212.96880000000002</v>
      </c>
      <c r="C22" s="105">
        <f t="shared" si="3"/>
        <v>227.87661600000004</v>
      </c>
      <c r="D22" s="106">
        <v>1967.2518989606399</v>
      </c>
      <c r="E22" s="106">
        <f t="shared" si="4"/>
        <v>36783.784575331199</v>
      </c>
      <c r="F22" s="107">
        <f t="shared" si="5"/>
        <v>38751.036474291839</v>
      </c>
      <c r="G22" s="108">
        <f t="shared" si="6"/>
        <v>0.17723604434708762</v>
      </c>
      <c r="H22" s="79"/>
      <c r="I22" s="71" t="s">
        <v>147</v>
      </c>
      <c r="J22" s="69"/>
      <c r="K22" s="69"/>
      <c r="L22" s="69"/>
      <c r="M22" s="69"/>
      <c r="N22" s="69"/>
      <c r="O22" s="69"/>
      <c r="P22" s="69"/>
      <c r="Q22" s="67"/>
      <c r="R22" s="61"/>
      <c r="S22" s="61"/>
      <c r="T22" s="61"/>
    </row>
    <row r="23" spans="1:20" ht="18.95" customHeight="1">
      <c r="A23" s="103">
        <v>1.25</v>
      </c>
      <c r="B23" s="104">
        <f t="shared" si="2"/>
        <v>221.84250000000003</v>
      </c>
      <c r="C23" s="105">
        <f t="shared" si="3"/>
        <v>237.37147500000003</v>
      </c>
      <c r="D23" s="106">
        <v>2049.2207280839998</v>
      </c>
      <c r="E23" s="106">
        <f t="shared" si="4"/>
        <v>38316.442265970007</v>
      </c>
      <c r="F23" s="107">
        <f t="shared" si="5"/>
        <v>40365.662994054008</v>
      </c>
      <c r="G23" s="108">
        <f t="shared" si="6"/>
        <v>0.21014660257320428</v>
      </c>
      <c r="H23" s="79"/>
      <c r="I23" s="69"/>
      <c r="J23" s="71" t="s">
        <v>108</v>
      </c>
      <c r="K23" s="71" t="s">
        <v>109</v>
      </c>
      <c r="L23" s="71" t="s">
        <v>110</v>
      </c>
      <c r="M23" s="71" t="s">
        <v>111</v>
      </c>
      <c r="N23" s="71" t="s">
        <v>112</v>
      </c>
      <c r="O23" s="71" t="s">
        <v>113</v>
      </c>
      <c r="P23" s="71" t="s">
        <v>148</v>
      </c>
      <c r="Q23" s="67"/>
      <c r="R23" s="61"/>
      <c r="S23" s="61"/>
      <c r="T23" s="61"/>
    </row>
    <row r="24" spans="1:20" ht="18" customHeight="1">
      <c r="A24" s="103">
        <v>1.3</v>
      </c>
      <c r="B24" s="104">
        <f t="shared" si="2"/>
        <v>230.71620000000004</v>
      </c>
      <c r="C24" s="105">
        <f t="shared" si="3"/>
        <v>246.86633400000005</v>
      </c>
      <c r="D24" s="106">
        <v>2131.1895572073599</v>
      </c>
      <c r="E24" s="106">
        <f t="shared" si="4"/>
        <v>39849.099956608807</v>
      </c>
      <c r="F24" s="107">
        <f t="shared" si="5"/>
        <v>41980.289513816169</v>
      </c>
      <c r="G24" s="108">
        <f t="shared" si="6"/>
        <v>0.24052557939731178</v>
      </c>
      <c r="H24" s="79"/>
      <c r="I24" s="71" t="s">
        <v>121</v>
      </c>
      <c r="J24" s="74">
        <f t="shared" ref="J24:O36" si="7">J7*$P7</f>
        <v>138</v>
      </c>
      <c r="K24" s="74">
        <f t="shared" si="7"/>
        <v>230</v>
      </c>
      <c r="L24" s="74">
        <f t="shared" si="7"/>
        <v>0</v>
      </c>
      <c r="M24" s="74">
        <f t="shared" si="7"/>
        <v>0</v>
      </c>
      <c r="N24" s="74">
        <f t="shared" si="7"/>
        <v>0</v>
      </c>
      <c r="O24" s="74">
        <f t="shared" si="7"/>
        <v>184</v>
      </c>
      <c r="P24" s="74">
        <f t="shared" ref="P24:P36" si="8">$Q7*24</f>
        <v>192</v>
      </c>
      <c r="Q24" s="67"/>
      <c r="R24" s="61"/>
      <c r="S24" s="61"/>
      <c r="T24" s="61"/>
    </row>
    <row r="25" spans="1:20" ht="18" customHeight="1">
      <c r="A25" s="103">
        <v>1.35</v>
      </c>
      <c r="B25" s="104">
        <f t="shared" si="2"/>
        <v>239.58990000000003</v>
      </c>
      <c r="C25" s="105">
        <f t="shared" si="3"/>
        <v>256.36119300000007</v>
      </c>
      <c r="D25" s="106">
        <v>2213.158386330721</v>
      </c>
      <c r="E25" s="106">
        <f t="shared" si="4"/>
        <v>41381.757647247607</v>
      </c>
      <c r="F25" s="107">
        <f t="shared" si="5"/>
        <v>43594.916033578331</v>
      </c>
      <c r="G25" s="108">
        <f t="shared" si="6"/>
        <v>0.2686542616418558</v>
      </c>
      <c r="H25" s="79"/>
      <c r="I25" s="71" t="s">
        <v>122</v>
      </c>
      <c r="J25" s="74">
        <f t="shared" si="7"/>
        <v>120</v>
      </c>
      <c r="K25" s="74">
        <f t="shared" si="7"/>
        <v>200</v>
      </c>
      <c r="L25" s="74">
        <f t="shared" si="7"/>
        <v>0</v>
      </c>
      <c r="M25" s="74">
        <f t="shared" si="7"/>
        <v>0</v>
      </c>
      <c r="N25" s="74">
        <f t="shared" si="7"/>
        <v>0</v>
      </c>
      <c r="O25" s="74">
        <f t="shared" si="7"/>
        <v>160</v>
      </c>
      <c r="P25" s="74">
        <f t="shared" si="8"/>
        <v>192</v>
      </c>
      <c r="Q25" s="67"/>
      <c r="R25" s="61"/>
      <c r="S25" s="61"/>
      <c r="T25" s="61"/>
    </row>
    <row r="26" spans="1:20" ht="18" customHeight="1">
      <c r="A26" s="103">
        <v>1.4</v>
      </c>
      <c r="B26" s="104">
        <f t="shared" si="2"/>
        <v>248.46360000000001</v>
      </c>
      <c r="C26" s="105">
        <f t="shared" si="3"/>
        <v>265.85605200000003</v>
      </c>
      <c r="D26" s="106">
        <v>2295.1272154540811</v>
      </c>
      <c r="E26" s="106">
        <f t="shared" si="4"/>
        <v>42914.415337886399</v>
      </c>
      <c r="F26" s="107">
        <f t="shared" si="5"/>
        <v>45209.542553340478</v>
      </c>
      <c r="G26" s="108">
        <f t="shared" si="6"/>
        <v>0.29477375229750358</v>
      </c>
      <c r="H26" s="79"/>
      <c r="I26" s="71" t="s">
        <v>125</v>
      </c>
      <c r="J26" s="74">
        <f t="shared" si="7"/>
        <v>0</v>
      </c>
      <c r="K26" s="74">
        <f t="shared" si="7"/>
        <v>0</v>
      </c>
      <c r="L26" s="74">
        <f t="shared" si="7"/>
        <v>138</v>
      </c>
      <c r="M26" s="74">
        <f t="shared" si="7"/>
        <v>230</v>
      </c>
      <c r="N26" s="74">
        <f t="shared" si="7"/>
        <v>0</v>
      </c>
      <c r="O26" s="74">
        <f t="shared" si="7"/>
        <v>184</v>
      </c>
      <c r="P26" s="74">
        <f t="shared" si="8"/>
        <v>192</v>
      </c>
      <c r="Q26" s="67"/>
      <c r="R26" s="61"/>
      <c r="S26" s="61"/>
      <c r="T26" s="61"/>
    </row>
    <row r="27" spans="1:20" ht="18" customHeight="1">
      <c r="A27" s="103">
        <v>1.45</v>
      </c>
      <c r="B27" s="104">
        <f t="shared" si="2"/>
        <v>257.33730000000003</v>
      </c>
      <c r="C27" s="105">
        <f t="shared" si="3"/>
        <v>275.35091100000005</v>
      </c>
      <c r="D27" s="106">
        <v>2377.0960445774399</v>
      </c>
      <c r="E27" s="106">
        <f t="shared" si="4"/>
        <v>44447.073028525207</v>
      </c>
      <c r="F27" s="107">
        <f t="shared" si="5"/>
        <v>46824.169073102647</v>
      </c>
      <c r="G27" s="108">
        <f t="shared" si="6"/>
        <v>0.31909189877000366</v>
      </c>
      <c r="H27" s="79"/>
      <c r="I27" s="71" t="s">
        <v>128</v>
      </c>
      <c r="J27" s="74">
        <f t="shared" si="7"/>
        <v>0</v>
      </c>
      <c r="K27" s="74">
        <f t="shared" si="7"/>
        <v>0</v>
      </c>
      <c r="L27" s="74">
        <f t="shared" si="7"/>
        <v>0</v>
      </c>
      <c r="M27" s="74">
        <f t="shared" si="7"/>
        <v>0</v>
      </c>
      <c r="N27" s="74">
        <f t="shared" si="7"/>
        <v>352</v>
      </c>
      <c r="O27" s="74">
        <f t="shared" si="7"/>
        <v>176</v>
      </c>
      <c r="P27" s="74">
        <f t="shared" si="8"/>
        <v>192</v>
      </c>
      <c r="Q27" s="67"/>
      <c r="R27" s="61"/>
      <c r="S27" s="61"/>
      <c r="T27" s="61"/>
    </row>
    <row r="28" spans="1:20" ht="18" customHeight="1">
      <c r="A28" s="103">
        <v>1.5</v>
      </c>
      <c r="B28" s="104">
        <f t="shared" si="2"/>
        <v>266.21100000000001</v>
      </c>
      <c r="C28" s="105">
        <f t="shared" si="3"/>
        <v>284.84577000000002</v>
      </c>
      <c r="D28" s="106">
        <v>2459.0648737008</v>
      </c>
      <c r="E28" s="106">
        <f t="shared" si="4"/>
        <v>45979.730719163999</v>
      </c>
      <c r="F28" s="107">
        <f t="shared" si="5"/>
        <v>48438.795592864801</v>
      </c>
      <c r="G28" s="108">
        <f t="shared" si="6"/>
        <v>0.34178883547767003</v>
      </c>
      <c r="H28" s="79"/>
      <c r="I28" s="71" t="s">
        <v>129</v>
      </c>
      <c r="J28" s="74">
        <f t="shared" si="7"/>
        <v>0</v>
      </c>
      <c r="K28" s="74">
        <f t="shared" si="7"/>
        <v>0</v>
      </c>
      <c r="L28" s="74">
        <f t="shared" si="7"/>
        <v>0</v>
      </c>
      <c r="M28" s="74">
        <f t="shared" si="7"/>
        <v>0</v>
      </c>
      <c r="N28" s="74">
        <f t="shared" si="7"/>
        <v>368</v>
      </c>
      <c r="O28" s="74">
        <f t="shared" si="7"/>
        <v>184</v>
      </c>
      <c r="P28" s="74">
        <f t="shared" si="8"/>
        <v>192</v>
      </c>
      <c r="Q28" s="67"/>
      <c r="R28" s="61"/>
      <c r="S28" s="61"/>
      <c r="T28" s="61"/>
    </row>
    <row r="29" spans="1:20" ht="18" customHeight="1">
      <c r="A29" s="103">
        <v>1.55</v>
      </c>
      <c r="B29" s="104">
        <f t="shared" si="2"/>
        <v>275.08470000000005</v>
      </c>
      <c r="C29" s="105">
        <f t="shared" si="3"/>
        <v>294.34062900000009</v>
      </c>
      <c r="D29" s="106">
        <v>2541.0337028241611</v>
      </c>
      <c r="E29" s="106">
        <f t="shared" si="4"/>
        <v>47512.388409802807</v>
      </c>
      <c r="F29" s="107">
        <f t="shared" si="5"/>
        <v>50053.422112626969</v>
      </c>
      <c r="G29" s="108">
        <f t="shared" si="6"/>
        <v>0.36302145368806793</v>
      </c>
      <c r="H29" s="79"/>
      <c r="I29" s="71" t="s">
        <v>131</v>
      </c>
      <c r="J29" s="74">
        <f t="shared" si="7"/>
        <v>0</v>
      </c>
      <c r="K29" s="74">
        <f t="shared" si="7"/>
        <v>0</v>
      </c>
      <c r="L29" s="74">
        <f t="shared" si="7"/>
        <v>66</v>
      </c>
      <c r="M29" s="74">
        <f t="shared" si="7"/>
        <v>110</v>
      </c>
      <c r="N29" s="74">
        <f t="shared" si="7"/>
        <v>0</v>
      </c>
      <c r="O29" s="74">
        <f t="shared" si="7"/>
        <v>88</v>
      </c>
      <c r="P29" s="74">
        <f t="shared" si="8"/>
        <v>96</v>
      </c>
      <c r="Q29" s="67"/>
      <c r="R29" s="61"/>
      <c r="S29" s="61"/>
      <c r="T29" s="61"/>
    </row>
    <row r="30" spans="1:20" ht="18" customHeight="1">
      <c r="A30" s="103">
        <v>1.6</v>
      </c>
      <c r="B30" s="104">
        <f t="shared" si="2"/>
        <v>283.95840000000004</v>
      </c>
      <c r="C30" s="105">
        <f t="shared" si="3"/>
        <v>303.83548800000005</v>
      </c>
      <c r="D30" s="106">
        <v>2623.0025319475199</v>
      </c>
      <c r="E30" s="106">
        <f t="shared" si="4"/>
        <v>49045.046100441607</v>
      </c>
      <c r="F30" s="107">
        <f t="shared" si="5"/>
        <v>51668.048632389124</v>
      </c>
      <c r="G30" s="108">
        <f t="shared" si="6"/>
        <v>0.38292703326031574</v>
      </c>
      <c r="H30" s="79"/>
      <c r="I30" s="71" t="s">
        <v>132</v>
      </c>
      <c r="J30" s="74">
        <f t="shared" si="7"/>
        <v>88</v>
      </c>
      <c r="K30" s="74">
        <f t="shared" si="7"/>
        <v>88</v>
      </c>
      <c r="L30" s="74">
        <f t="shared" si="7"/>
        <v>0</v>
      </c>
      <c r="M30" s="74">
        <f t="shared" si="7"/>
        <v>0</v>
      </c>
      <c r="N30" s="74">
        <f t="shared" si="7"/>
        <v>0</v>
      </c>
      <c r="O30" s="74">
        <f t="shared" si="7"/>
        <v>88</v>
      </c>
      <c r="P30" s="74">
        <f t="shared" si="8"/>
        <v>96</v>
      </c>
      <c r="Q30" s="67"/>
      <c r="R30" s="61"/>
      <c r="S30" s="61"/>
      <c r="T30" s="61"/>
    </row>
    <row r="31" spans="1:20" ht="18" customHeight="1">
      <c r="A31" s="103">
        <v>1.65</v>
      </c>
      <c r="B31" s="104">
        <f t="shared" si="2"/>
        <v>292.83210000000003</v>
      </c>
      <c r="C31" s="105">
        <f t="shared" si="3"/>
        <v>313.33034700000002</v>
      </c>
      <c r="D31" s="106">
        <v>2704.97136107088</v>
      </c>
      <c r="E31" s="106">
        <f t="shared" si="4"/>
        <v>50577.703791080399</v>
      </c>
      <c r="F31" s="107">
        <f t="shared" si="5"/>
        <v>53282.675152151278</v>
      </c>
      <c r="G31" s="108">
        <f t="shared" si="6"/>
        <v>0.40162621407060917</v>
      </c>
      <c r="H31" s="79"/>
      <c r="I31" s="71" t="s">
        <v>134</v>
      </c>
      <c r="J31" s="74">
        <f t="shared" si="7"/>
        <v>184</v>
      </c>
      <c r="K31" s="74">
        <f t="shared" si="7"/>
        <v>184</v>
      </c>
      <c r="L31" s="74">
        <f t="shared" si="7"/>
        <v>0</v>
      </c>
      <c r="M31" s="74">
        <f t="shared" si="7"/>
        <v>0</v>
      </c>
      <c r="N31" s="74">
        <f t="shared" si="7"/>
        <v>0</v>
      </c>
      <c r="O31" s="74">
        <f t="shared" si="7"/>
        <v>184</v>
      </c>
      <c r="P31" s="74">
        <f t="shared" si="8"/>
        <v>192</v>
      </c>
      <c r="Q31" s="67"/>
      <c r="R31" s="61"/>
      <c r="S31" s="61"/>
      <c r="T31" s="61"/>
    </row>
    <row r="32" spans="1:20" ht="18" customHeight="1">
      <c r="A32" s="103">
        <v>1.7</v>
      </c>
      <c r="B32" s="104">
        <f t="shared" si="2"/>
        <v>301.70580000000001</v>
      </c>
      <c r="C32" s="105">
        <f t="shared" si="3"/>
        <v>322.82520600000004</v>
      </c>
      <c r="D32" s="106">
        <v>2786.940190194241</v>
      </c>
      <c r="E32" s="106">
        <f t="shared" si="4"/>
        <v>52110.361481719199</v>
      </c>
      <c r="F32" s="107">
        <f t="shared" si="5"/>
        <v>54897.301671913439</v>
      </c>
      <c r="G32" s="108">
        <f t="shared" si="6"/>
        <v>0.41922544306853238</v>
      </c>
      <c r="H32" s="79"/>
      <c r="I32" s="71" t="s">
        <v>135</v>
      </c>
      <c r="J32" s="74">
        <f t="shared" si="7"/>
        <v>0</v>
      </c>
      <c r="K32" s="74">
        <f t="shared" si="7"/>
        <v>0</v>
      </c>
      <c r="L32" s="74">
        <f t="shared" si="7"/>
        <v>0</v>
      </c>
      <c r="M32" s="74">
        <f t="shared" si="7"/>
        <v>0</v>
      </c>
      <c r="N32" s="74">
        <f t="shared" si="7"/>
        <v>0</v>
      </c>
      <c r="O32" s="74">
        <f t="shared" si="7"/>
        <v>552</v>
      </c>
      <c r="P32" s="74">
        <f t="shared" si="8"/>
        <v>192</v>
      </c>
      <c r="Q32" s="67"/>
      <c r="R32" s="61"/>
      <c r="S32" s="61"/>
      <c r="T32" s="61"/>
    </row>
    <row r="33" spans="1:20" ht="18" customHeight="1">
      <c r="A33" s="103">
        <v>1.75</v>
      </c>
      <c r="B33" s="104">
        <f t="shared" si="2"/>
        <v>310.57950000000005</v>
      </c>
      <c r="C33" s="105">
        <f t="shared" si="3"/>
        <v>332.32006500000006</v>
      </c>
      <c r="D33" s="106">
        <v>2868.9090193176012</v>
      </c>
      <c r="E33" s="106">
        <f t="shared" si="4"/>
        <v>53643.019172358006</v>
      </c>
      <c r="F33" s="107">
        <f t="shared" si="5"/>
        <v>56511.928191675608</v>
      </c>
      <c r="G33" s="108">
        <f t="shared" si="6"/>
        <v>0.43581900183800304</v>
      </c>
      <c r="H33" s="79"/>
      <c r="I33" s="71" t="s">
        <v>136</v>
      </c>
      <c r="J33" s="74">
        <f t="shared" si="7"/>
        <v>0</v>
      </c>
      <c r="K33" s="74">
        <f t="shared" si="7"/>
        <v>0</v>
      </c>
      <c r="L33" s="74">
        <f t="shared" si="7"/>
        <v>132</v>
      </c>
      <c r="M33" s="74">
        <f t="shared" si="7"/>
        <v>220</v>
      </c>
      <c r="N33" s="74">
        <f t="shared" si="7"/>
        <v>0</v>
      </c>
      <c r="O33" s="74">
        <f t="shared" si="7"/>
        <v>176</v>
      </c>
      <c r="P33" s="74">
        <f t="shared" si="8"/>
        <v>192</v>
      </c>
      <c r="Q33" s="67"/>
      <c r="R33" s="61"/>
      <c r="S33" s="61"/>
      <c r="T33" s="61"/>
    </row>
    <row r="34" spans="1:20" ht="18" customHeight="1">
      <c r="A34" s="103">
        <v>1.8</v>
      </c>
      <c r="B34" s="104">
        <f t="shared" si="2"/>
        <v>319.45320000000004</v>
      </c>
      <c r="C34" s="105">
        <f t="shared" si="3"/>
        <v>341.81492400000008</v>
      </c>
      <c r="D34" s="106">
        <v>2950.87784844096</v>
      </c>
      <c r="E34" s="106">
        <f t="shared" si="4"/>
        <v>55175.676862996806</v>
      </c>
      <c r="F34" s="107">
        <f t="shared" si="5"/>
        <v>58126.55471143777</v>
      </c>
      <c r="G34" s="108">
        <f t="shared" si="6"/>
        <v>0.45149069623139182</v>
      </c>
      <c r="H34" s="79"/>
      <c r="I34" s="71" t="s">
        <v>144</v>
      </c>
      <c r="J34" s="74">
        <f t="shared" si="7"/>
        <v>0</v>
      </c>
      <c r="K34" s="74">
        <f t="shared" si="7"/>
        <v>0</v>
      </c>
      <c r="L34" s="74">
        <f t="shared" si="7"/>
        <v>138</v>
      </c>
      <c r="M34" s="74">
        <f t="shared" si="7"/>
        <v>230</v>
      </c>
      <c r="N34" s="74">
        <f t="shared" si="7"/>
        <v>0</v>
      </c>
      <c r="O34" s="74">
        <f t="shared" si="7"/>
        <v>184</v>
      </c>
      <c r="P34" s="74">
        <f t="shared" si="8"/>
        <v>192</v>
      </c>
      <c r="Q34" s="67"/>
      <c r="R34" s="61"/>
      <c r="S34" s="61"/>
      <c r="T34" s="61"/>
    </row>
    <row r="35" spans="1:20" ht="18" customHeight="1">
      <c r="A35" s="103">
        <v>1.85</v>
      </c>
      <c r="B35" s="104">
        <f t="shared" si="2"/>
        <v>328.32690000000002</v>
      </c>
      <c r="C35" s="105">
        <f t="shared" si="3"/>
        <v>351.30978300000004</v>
      </c>
      <c r="D35" s="106">
        <v>3032.846677564321</v>
      </c>
      <c r="E35" s="106">
        <f t="shared" si="4"/>
        <v>56708.334553635599</v>
      </c>
      <c r="F35" s="107">
        <f t="shared" si="5"/>
        <v>59741.181231199924</v>
      </c>
      <c r="G35" s="108">
        <f t="shared" si="6"/>
        <v>0.46631527200892176</v>
      </c>
      <c r="H35" s="79"/>
      <c r="I35" s="71" t="s">
        <v>145</v>
      </c>
      <c r="J35" s="74">
        <f t="shared" si="7"/>
        <v>0</v>
      </c>
      <c r="K35" s="74">
        <f t="shared" si="7"/>
        <v>0</v>
      </c>
      <c r="L35" s="74">
        <f t="shared" si="7"/>
        <v>132</v>
      </c>
      <c r="M35" s="74">
        <f t="shared" si="7"/>
        <v>220</v>
      </c>
      <c r="N35" s="74">
        <f t="shared" si="7"/>
        <v>0</v>
      </c>
      <c r="O35" s="74">
        <f t="shared" si="7"/>
        <v>176</v>
      </c>
      <c r="P35" s="74">
        <f t="shared" si="8"/>
        <v>192</v>
      </c>
      <c r="Q35" s="67"/>
      <c r="R35" s="61"/>
      <c r="S35" s="61"/>
      <c r="T35" s="61"/>
    </row>
    <row r="36" spans="1:20" ht="18" customHeight="1">
      <c r="A36" s="103">
        <v>1.9</v>
      </c>
      <c r="B36" s="104">
        <f t="shared" si="2"/>
        <v>337.20060000000001</v>
      </c>
      <c r="C36" s="105">
        <f t="shared" si="3"/>
        <v>360.80464200000006</v>
      </c>
      <c r="D36" s="106">
        <v>3114.8155066876802</v>
      </c>
      <c r="E36" s="106">
        <f t="shared" si="4"/>
        <v>58240.992244274399</v>
      </c>
      <c r="F36" s="107">
        <f t="shared" si="5"/>
        <v>61355.807750962078</v>
      </c>
      <c r="G36" s="108">
        <f t="shared" si="6"/>
        <v>0.48035960695605529</v>
      </c>
      <c r="H36" s="79"/>
      <c r="I36" s="71" t="s">
        <v>146</v>
      </c>
      <c r="J36" s="74">
        <f t="shared" si="7"/>
        <v>138</v>
      </c>
      <c r="K36" s="74">
        <f t="shared" si="7"/>
        <v>230</v>
      </c>
      <c r="L36" s="74">
        <f t="shared" si="7"/>
        <v>0</v>
      </c>
      <c r="M36" s="74">
        <f t="shared" si="7"/>
        <v>0</v>
      </c>
      <c r="N36" s="74">
        <f t="shared" si="7"/>
        <v>0</v>
      </c>
      <c r="O36" s="74">
        <f t="shared" si="7"/>
        <v>184</v>
      </c>
      <c r="P36" s="74">
        <f t="shared" si="8"/>
        <v>168</v>
      </c>
      <c r="Q36" s="67"/>
      <c r="R36" s="61"/>
      <c r="S36" s="61"/>
      <c r="T36" s="61"/>
    </row>
    <row r="37" spans="1:20" ht="18.95" customHeight="1">
      <c r="A37" s="103">
        <v>1.95</v>
      </c>
      <c r="B37" s="104">
        <f t="shared" si="2"/>
        <v>346.07430000000005</v>
      </c>
      <c r="C37" s="105">
        <f t="shared" si="3"/>
        <v>370.29950100000008</v>
      </c>
      <c r="D37" s="106">
        <v>3196.7843358110408</v>
      </c>
      <c r="E37" s="106">
        <f t="shared" si="4"/>
        <v>59773.649934913206</v>
      </c>
      <c r="F37" s="107">
        <f t="shared" si="5"/>
        <v>62970.434270724247</v>
      </c>
      <c r="G37" s="108">
        <f t="shared" si="6"/>
        <v>0.49368371959820778</v>
      </c>
      <c r="H37" s="79"/>
      <c r="I37" s="69"/>
      <c r="J37" s="69"/>
      <c r="K37" s="69"/>
      <c r="L37" s="69"/>
      <c r="M37" s="69"/>
      <c r="N37" s="69"/>
      <c r="O37" s="69"/>
      <c r="P37" s="69"/>
      <c r="Q37" s="67"/>
      <c r="R37" s="61"/>
      <c r="S37" s="61"/>
      <c r="T37" s="61"/>
    </row>
    <row r="38" spans="1:20" ht="18.95" customHeight="1">
      <c r="A38" s="103">
        <v>2</v>
      </c>
      <c r="B38" s="104">
        <f t="shared" si="2"/>
        <v>354.94800000000004</v>
      </c>
      <c r="C38" s="105">
        <f t="shared" si="3"/>
        <v>379.79436000000004</v>
      </c>
      <c r="D38" s="106">
        <v>3278.753164934401</v>
      </c>
      <c r="E38" s="106">
        <f t="shared" si="4"/>
        <v>61306.307625552006</v>
      </c>
      <c r="F38" s="107">
        <f t="shared" si="5"/>
        <v>64585.060790486408</v>
      </c>
      <c r="G38" s="108">
        <f t="shared" si="6"/>
        <v>0.50634162660825255</v>
      </c>
      <c r="H38" s="79"/>
      <c r="I38" s="71" t="s">
        <v>149</v>
      </c>
      <c r="J38" s="69">
        <f t="shared" ref="J38:P38" si="9">SUM(J24:J36)</f>
        <v>668</v>
      </c>
      <c r="K38" s="69">
        <f t="shared" si="9"/>
        <v>932</v>
      </c>
      <c r="L38" s="69">
        <f t="shared" si="9"/>
        <v>606</v>
      </c>
      <c r="M38" s="69">
        <f t="shared" si="9"/>
        <v>1010</v>
      </c>
      <c r="N38" s="69">
        <f t="shared" si="9"/>
        <v>720</v>
      </c>
      <c r="O38" s="69">
        <f t="shared" si="9"/>
        <v>2520</v>
      </c>
      <c r="P38" s="69">
        <f t="shared" si="9"/>
        <v>2280</v>
      </c>
      <c r="Q38" s="111">
        <f>SUM(J38:P38)</f>
        <v>8736</v>
      </c>
      <c r="R38" s="112"/>
      <c r="S38" s="61"/>
      <c r="T38" s="61"/>
    </row>
    <row r="39" spans="1:20" ht="18.600000000000001" customHeight="1">
      <c r="A39" s="109"/>
      <c r="B39" s="109"/>
      <c r="C39" s="109"/>
      <c r="D39" s="109"/>
      <c r="E39" s="109"/>
      <c r="F39" s="109"/>
      <c r="G39" s="61"/>
      <c r="H39" s="61"/>
      <c r="I39" s="109"/>
      <c r="J39" s="109"/>
      <c r="K39" s="109"/>
      <c r="L39" s="109"/>
      <c r="M39" s="109"/>
      <c r="N39" s="109"/>
      <c r="O39" s="109"/>
      <c r="P39" s="109"/>
      <c r="Q39" s="61"/>
      <c r="R39" s="61"/>
      <c r="S39" s="61"/>
      <c r="T39" s="61"/>
    </row>
    <row r="40" spans="1:20" ht="18" customHeight="1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</row>
    <row r="41" spans="1:20" ht="18" customHeight="1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</row>
    <row r="42" spans="1:20" ht="18" customHeight="1">
      <c r="A42" s="113"/>
      <c r="B42" s="114"/>
      <c r="C42" s="114"/>
      <c r="D42" s="114"/>
      <c r="E42" s="114"/>
      <c r="F42" s="115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</row>
    <row r="43" spans="1:20" ht="18" customHeight="1">
      <c r="A43" s="116"/>
      <c r="B43" s="117"/>
      <c r="C43" s="117"/>
      <c r="D43" s="118"/>
      <c r="E43" s="118"/>
      <c r="F43" s="119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</row>
    <row r="44" spans="1:20" ht="18" customHeight="1">
      <c r="A44" s="116"/>
      <c r="B44" s="117"/>
      <c r="C44" s="117"/>
      <c r="D44" s="118"/>
      <c r="E44" s="118"/>
      <c r="F44" s="119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</row>
    <row r="45" spans="1:20" ht="18" customHeight="1">
      <c r="A45" s="116"/>
      <c r="B45" s="117"/>
      <c r="C45" s="117"/>
      <c r="D45" s="118"/>
      <c r="E45" s="118"/>
      <c r="F45" s="119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</row>
    <row r="46" spans="1:20" ht="18" customHeight="1">
      <c r="A46" s="116"/>
      <c r="B46" s="117"/>
      <c r="C46" s="117"/>
      <c r="D46" s="118"/>
      <c r="E46" s="118"/>
      <c r="F46" s="119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</row>
    <row r="47" spans="1:20" ht="18" customHeight="1">
      <c r="A47" s="116"/>
      <c r="B47" s="117"/>
      <c r="C47" s="117"/>
      <c r="D47" s="118"/>
      <c r="E47" s="118"/>
      <c r="F47" s="119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</row>
    <row r="48" spans="1:20" ht="18" customHeight="1">
      <c r="A48" s="116"/>
      <c r="B48" s="117"/>
      <c r="C48" s="117"/>
      <c r="D48" s="118"/>
      <c r="E48" s="118"/>
      <c r="F48" s="119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</row>
  </sheetData>
  <mergeCells count="2">
    <mergeCell ref="B4:G4"/>
    <mergeCell ref="A2:G2"/>
  </mergeCells>
  <pageMargins left="1" right="1" top="1" bottom="1" header="0.25" footer="0.25"/>
  <pageSetup orientation="portrait"/>
  <headerFooter>
    <oddFooter>&amp;C&amp;"Helvetica,Regular"&amp;12&amp;K000000&amp;P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0"/>
  <sheetViews>
    <sheetView showGridLines="0" topLeftCell="A4" workbookViewId="0">
      <selection activeCell="B8" sqref="B8"/>
    </sheetView>
  </sheetViews>
  <sheetFormatPr defaultColWidth="13.5" defaultRowHeight="12.75" customHeight="1"/>
  <cols>
    <col min="1" max="1" width="36.5" style="35" customWidth="1"/>
    <col min="2" max="2" width="13.5" style="35" customWidth="1"/>
    <col min="3" max="3" width="3.5" style="35" customWidth="1"/>
    <col min="4" max="4" width="32.5" style="35" customWidth="1"/>
    <col min="5" max="5" width="12.875" style="35" customWidth="1"/>
    <col min="6" max="6" width="28.125" style="35" customWidth="1"/>
    <col min="7" max="7" width="13.5" style="35" customWidth="1"/>
    <col min="8" max="8" width="4.875" style="35" customWidth="1"/>
    <col min="9" max="9" width="6.5" style="35" customWidth="1"/>
    <col min="10" max="10" width="12.375" style="35" customWidth="1"/>
    <col min="11" max="11" width="15.875" style="35" customWidth="1"/>
    <col min="12" max="256" width="13.5" customWidth="1"/>
  </cols>
  <sheetData>
    <row r="1" spans="1:11" ht="18.95" customHeight="1">
      <c r="A1" s="36"/>
      <c r="B1" s="36"/>
      <c r="C1" s="36"/>
      <c r="D1" s="120"/>
      <c r="E1" s="120"/>
      <c r="F1" s="120"/>
      <c r="G1" s="120"/>
      <c r="H1" s="36"/>
      <c r="I1" s="120"/>
      <c r="J1" s="120"/>
      <c r="K1" s="120"/>
    </row>
    <row r="2" spans="1:11" ht="18.95" customHeight="1">
      <c r="A2" s="226" t="s">
        <v>150</v>
      </c>
      <c r="B2" s="227"/>
      <c r="C2" s="121"/>
      <c r="D2" s="228" t="s">
        <v>151</v>
      </c>
      <c r="E2" s="229"/>
      <c r="F2" s="229"/>
      <c r="G2" s="229"/>
      <c r="H2" s="122"/>
      <c r="I2" s="230" t="s">
        <v>152</v>
      </c>
      <c r="J2" s="231"/>
      <c r="K2" s="231"/>
    </row>
    <row r="3" spans="1:11" ht="18.95" customHeight="1">
      <c r="A3" s="123" t="s">
        <v>153</v>
      </c>
      <c r="B3" s="124">
        <f>B4+B5+B6</f>
        <v>190</v>
      </c>
      <c r="C3" s="122"/>
      <c r="D3" s="228" t="s">
        <v>154</v>
      </c>
      <c r="E3" s="229"/>
      <c r="F3" s="228" t="s">
        <v>155</v>
      </c>
      <c r="G3" s="229"/>
      <c r="H3" s="122"/>
      <c r="I3" s="125" t="s">
        <v>156</v>
      </c>
      <c r="J3" s="125" t="s">
        <v>157</v>
      </c>
      <c r="K3" s="125" t="s">
        <v>158</v>
      </c>
    </row>
    <row r="4" spans="1:11" ht="18.95" customHeight="1">
      <c r="A4" s="126" t="s">
        <v>159</v>
      </c>
      <c r="B4" s="127">
        <f>'Cabina de discos'!M24</f>
        <v>16</v>
      </c>
      <c r="C4" s="122"/>
      <c r="D4" s="128" t="s">
        <v>160</v>
      </c>
      <c r="E4" s="129">
        <v>19</v>
      </c>
      <c r="F4" s="128" t="s">
        <v>161</v>
      </c>
      <c r="G4" s="130">
        <f>ROUND(B3/(E4*E5),0)+1</f>
        <v>1</v>
      </c>
      <c r="H4" s="122"/>
      <c r="I4" s="131">
        <v>1</v>
      </c>
      <c r="J4" s="132">
        <f>G9</f>
        <v>142564.88681657158</v>
      </c>
      <c r="K4" s="132">
        <f>J4*5</f>
        <v>712824.43408285792</v>
      </c>
    </row>
    <row r="5" spans="1:11" ht="18.95" customHeight="1">
      <c r="A5" s="123" t="s">
        <v>162</v>
      </c>
      <c r="B5" s="127">
        <f>Resum!B3</f>
        <v>134</v>
      </c>
      <c r="C5" s="122"/>
      <c r="D5" s="128" t="s">
        <v>163</v>
      </c>
      <c r="E5" s="133">
        <f>Resum!B4</f>
        <v>42</v>
      </c>
      <c r="F5" s="128" t="s">
        <v>164</v>
      </c>
      <c r="G5" s="134">
        <f>G4*E6</f>
        <v>115000</v>
      </c>
      <c r="H5" s="122"/>
      <c r="I5" s="131">
        <v>2</v>
      </c>
      <c r="J5" s="132">
        <f>G21</f>
        <v>90759.182422095459</v>
      </c>
      <c r="K5" s="132">
        <f>J5*5</f>
        <v>453795.91211047728</v>
      </c>
    </row>
    <row r="6" spans="1:11" ht="18.95" customHeight="1">
      <c r="A6" s="135" t="s">
        <v>165</v>
      </c>
      <c r="B6" s="127">
        <f>Backup!G29</f>
        <v>40</v>
      </c>
      <c r="C6" s="122"/>
      <c r="D6" s="128" t="s">
        <v>166</v>
      </c>
      <c r="E6" s="136">
        <v>115000</v>
      </c>
      <c r="F6" s="128" t="s">
        <v>167</v>
      </c>
      <c r="G6" s="134">
        <f>E7*G4*B8</f>
        <v>0</v>
      </c>
      <c r="H6" s="122"/>
      <c r="I6" s="131">
        <v>3</v>
      </c>
      <c r="J6" s="132">
        <f>G30</f>
        <v>130782.44340828579</v>
      </c>
      <c r="K6" s="132">
        <f>J6*5</f>
        <v>653912.2170414289</v>
      </c>
    </row>
    <row r="7" spans="1:11" ht="18.95" customHeight="1">
      <c r="A7" s="135" t="s">
        <v>168</v>
      </c>
      <c r="B7" s="137">
        <f>Electricitat!F18</f>
        <v>31882.956055238643</v>
      </c>
      <c r="C7" s="122"/>
      <c r="D7" s="128" t="s">
        <v>169</v>
      </c>
      <c r="E7" s="136">
        <v>2000</v>
      </c>
      <c r="F7" s="128" t="s">
        <v>170</v>
      </c>
      <c r="G7" s="134">
        <f>1500*12*B9</f>
        <v>18000</v>
      </c>
      <c r="H7" s="138"/>
      <c r="I7" s="139"/>
      <c r="J7" s="139"/>
      <c r="K7" s="139"/>
    </row>
    <row r="8" spans="1:11" ht="32.450000000000003" customHeight="1">
      <c r="A8" s="140" t="s">
        <v>171</v>
      </c>
      <c r="B8" s="141">
        <f>Resum!B22</f>
        <v>0</v>
      </c>
      <c r="C8" s="122"/>
      <c r="D8" s="142"/>
      <c r="E8" s="136"/>
      <c r="F8" s="143" t="s">
        <v>172</v>
      </c>
      <c r="G8" s="134">
        <f>B7*(E9-1)</f>
        <v>9564.886816571594</v>
      </c>
      <c r="H8" s="138"/>
      <c r="I8" s="36"/>
      <c r="J8" s="36"/>
      <c r="K8" s="36"/>
    </row>
    <row r="9" spans="1:11" ht="18.95" customHeight="1">
      <c r="A9" s="144" t="s">
        <v>35</v>
      </c>
      <c r="B9" s="141">
        <f>Resum!B21</f>
        <v>1</v>
      </c>
      <c r="C9" s="122"/>
      <c r="D9" s="128" t="s">
        <v>137</v>
      </c>
      <c r="E9" s="129">
        <v>1.3</v>
      </c>
      <c r="F9" s="128" t="s">
        <v>173</v>
      </c>
      <c r="G9" s="134">
        <f>SUM(G5:G8)</f>
        <v>142564.88681657158</v>
      </c>
      <c r="H9" s="138"/>
      <c r="I9" s="36"/>
      <c r="J9" s="36"/>
      <c r="K9" s="36"/>
    </row>
    <row r="10" spans="1:11" ht="18.95" customHeight="1">
      <c r="A10" s="36"/>
      <c r="B10" s="139"/>
      <c r="C10" s="121"/>
      <c r="D10" s="228" t="s">
        <v>174</v>
      </c>
      <c r="E10" s="229"/>
      <c r="F10" s="128" t="s">
        <v>175</v>
      </c>
      <c r="G10" s="145">
        <f>ROUND(B3/E5,0)+1</f>
        <v>6</v>
      </c>
      <c r="H10" s="138"/>
      <c r="I10" s="36"/>
      <c r="J10" s="36"/>
      <c r="K10" s="36"/>
    </row>
    <row r="11" spans="1:11" ht="18.95" customHeight="1">
      <c r="A11" s="36"/>
      <c r="B11" s="36"/>
      <c r="C11" s="36"/>
      <c r="D11" s="139"/>
      <c r="E11" s="139"/>
      <c r="F11" s="139"/>
      <c r="G11" s="139"/>
      <c r="H11" s="36"/>
      <c r="I11" s="36"/>
      <c r="J11" s="36"/>
      <c r="K11" s="36"/>
    </row>
    <row r="12" spans="1:11" ht="18.95" customHeight="1">
      <c r="A12" s="36"/>
      <c r="B12" s="36"/>
      <c r="C12" s="36"/>
      <c r="D12" s="146"/>
      <c r="E12" s="146"/>
      <c r="F12" s="36"/>
      <c r="G12" s="36"/>
      <c r="H12" s="36"/>
      <c r="I12" s="36"/>
      <c r="J12" s="36"/>
      <c r="K12" s="36"/>
    </row>
    <row r="13" spans="1:11" ht="18.95" customHeight="1">
      <c r="A13" s="36"/>
      <c r="B13" s="36"/>
      <c r="C13" s="36"/>
      <c r="D13" s="147"/>
      <c r="E13" s="147"/>
      <c r="F13" s="120"/>
      <c r="G13" s="120"/>
      <c r="H13" s="36"/>
      <c r="I13" s="36"/>
      <c r="J13" s="36"/>
      <c r="K13" s="36"/>
    </row>
    <row r="14" spans="1:11" ht="18.95" customHeight="1">
      <c r="A14" s="36"/>
      <c r="B14" s="36"/>
      <c r="C14" s="121"/>
      <c r="D14" s="228" t="s">
        <v>176</v>
      </c>
      <c r="E14" s="229"/>
      <c r="F14" s="229"/>
      <c r="G14" s="229"/>
      <c r="H14" s="138"/>
      <c r="I14" s="36"/>
      <c r="J14" s="36"/>
      <c r="K14" s="36"/>
    </row>
    <row r="15" spans="1:11" ht="18.95" customHeight="1">
      <c r="A15" s="36"/>
      <c r="B15" s="36"/>
      <c r="C15" s="121"/>
      <c r="D15" s="228" t="s">
        <v>154</v>
      </c>
      <c r="E15" s="229"/>
      <c r="F15" s="228" t="s">
        <v>155</v>
      </c>
      <c r="G15" s="229"/>
      <c r="H15" s="138"/>
      <c r="I15" s="36"/>
      <c r="J15" s="36"/>
      <c r="K15" s="36"/>
    </row>
    <row r="16" spans="1:11" ht="18.95" customHeight="1">
      <c r="A16" s="36"/>
      <c r="B16" s="36"/>
      <c r="C16" s="121"/>
      <c r="D16" s="128" t="s">
        <v>86</v>
      </c>
      <c r="E16" s="133">
        <f>Resum!B4</f>
        <v>42</v>
      </c>
      <c r="F16" s="128" t="s">
        <v>175</v>
      </c>
      <c r="G16" s="145">
        <f>ROUND(B3/E16,0)+1</f>
        <v>6</v>
      </c>
      <c r="H16" s="138"/>
      <c r="I16" s="36"/>
      <c r="J16" s="36"/>
      <c r="K16" s="36"/>
    </row>
    <row r="17" spans="1:11" ht="18.95" customHeight="1">
      <c r="A17" s="36"/>
      <c r="B17" s="36"/>
      <c r="C17" s="121"/>
      <c r="D17" s="128" t="s">
        <v>177</v>
      </c>
      <c r="E17" s="136">
        <v>9000</v>
      </c>
      <c r="F17" s="128" t="s">
        <v>178</v>
      </c>
      <c r="G17" s="134">
        <f>G16*E17</f>
        <v>54000</v>
      </c>
      <c r="H17" s="138"/>
      <c r="I17" s="36"/>
      <c r="J17" s="36"/>
      <c r="K17" s="36"/>
    </row>
    <row r="18" spans="1:11" ht="18.95" customHeight="1">
      <c r="A18" s="36"/>
      <c r="B18" s="36"/>
      <c r="C18" s="121"/>
      <c r="D18" s="128" t="s">
        <v>179</v>
      </c>
      <c r="E18" s="136">
        <v>900</v>
      </c>
      <c r="F18" s="128" t="s">
        <v>180</v>
      </c>
      <c r="G18" s="134">
        <f>B7*(E19-1)</f>
        <v>12753.182422095455</v>
      </c>
      <c r="H18" s="138"/>
      <c r="I18" s="36"/>
      <c r="J18" s="36"/>
      <c r="K18" s="36"/>
    </row>
    <row r="19" spans="1:11" ht="18.95" customHeight="1">
      <c r="A19" s="36"/>
      <c r="B19" s="36"/>
      <c r="C19" s="121"/>
      <c r="D19" s="128" t="s">
        <v>137</v>
      </c>
      <c r="E19" s="129">
        <v>1.4</v>
      </c>
      <c r="F19" s="128" t="s">
        <v>167</v>
      </c>
      <c r="G19" s="134">
        <f>B8*E18*G16</f>
        <v>0</v>
      </c>
      <c r="H19" s="138"/>
      <c r="I19" s="36"/>
      <c r="J19" s="36"/>
      <c r="K19" s="36"/>
    </row>
    <row r="20" spans="1:11" ht="18.95" customHeight="1">
      <c r="A20" s="36"/>
      <c r="B20" s="36"/>
      <c r="C20" s="36"/>
      <c r="D20" s="148"/>
      <c r="E20" s="149"/>
      <c r="F20" s="128" t="s">
        <v>170</v>
      </c>
      <c r="G20" s="134">
        <f>B9*2000*12</f>
        <v>24000</v>
      </c>
      <c r="H20" s="138"/>
      <c r="I20" s="36"/>
      <c r="J20" s="36"/>
      <c r="K20" s="36"/>
    </row>
    <row r="21" spans="1:11" ht="18.95" customHeight="1">
      <c r="A21" s="36"/>
      <c r="B21" s="36"/>
      <c r="C21" s="36"/>
      <c r="D21" s="150"/>
      <c r="E21" s="151"/>
      <c r="F21" s="128" t="s">
        <v>173</v>
      </c>
      <c r="G21" s="134">
        <f>SUM(G16:G20)</f>
        <v>90759.182422095459</v>
      </c>
      <c r="H21" s="138"/>
      <c r="I21" s="36"/>
      <c r="J21" s="36"/>
      <c r="K21" s="36"/>
    </row>
    <row r="22" spans="1:11" ht="18.95" customHeight="1">
      <c r="A22" s="36"/>
      <c r="B22" s="36"/>
      <c r="C22" s="36"/>
      <c r="D22" s="36"/>
      <c r="E22" s="36"/>
      <c r="F22" s="139"/>
      <c r="G22" s="139"/>
      <c r="H22" s="36"/>
      <c r="I22" s="36"/>
      <c r="J22" s="36"/>
      <c r="K22" s="36"/>
    </row>
    <row r="23" spans="1:11" ht="18.95" customHeight="1">
      <c r="A23" s="36"/>
      <c r="B23" s="36"/>
      <c r="C23" s="36"/>
      <c r="D23" s="120"/>
      <c r="E23" s="120"/>
      <c r="F23" s="120"/>
      <c r="G23" s="120"/>
      <c r="H23" s="36"/>
      <c r="I23" s="36"/>
      <c r="J23" s="36"/>
      <c r="K23" s="36"/>
    </row>
    <row r="24" spans="1:11" ht="18.95" customHeight="1">
      <c r="A24" s="36"/>
      <c r="B24" s="36"/>
      <c r="C24" s="121"/>
      <c r="D24" s="228" t="s">
        <v>181</v>
      </c>
      <c r="E24" s="229"/>
      <c r="F24" s="229"/>
      <c r="G24" s="229"/>
      <c r="H24" s="138"/>
      <c r="I24" s="36"/>
      <c r="J24" s="36"/>
      <c r="K24" s="36"/>
    </row>
    <row r="25" spans="1:11" ht="18.95" customHeight="1">
      <c r="A25" s="36"/>
      <c r="B25" s="36"/>
      <c r="C25" s="121"/>
      <c r="D25" s="228" t="s">
        <v>154</v>
      </c>
      <c r="E25" s="229"/>
      <c r="F25" s="228" t="s">
        <v>155</v>
      </c>
      <c r="G25" s="229"/>
      <c r="H25" s="138"/>
      <c r="I25" s="36"/>
      <c r="J25" s="36"/>
      <c r="K25" s="36"/>
    </row>
    <row r="26" spans="1:11" ht="18.95" customHeight="1">
      <c r="A26" s="36"/>
      <c r="B26" s="36"/>
      <c r="C26" s="121"/>
      <c r="D26" s="128" t="s">
        <v>86</v>
      </c>
      <c r="E26" s="133">
        <f>Resum!B4</f>
        <v>42</v>
      </c>
      <c r="F26" s="128" t="s">
        <v>175</v>
      </c>
      <c r="G26" s="145">
        <f>ROUND(B3/E26,0)+1</f>
        <v>6</v>
      </c>
      <c r="H26" s="138"/>
      <c r="I26" s="36"/>
      <c r="J26" s="36"/>
      <c r="K26" s="36"/>
    </row>
    <row r="27" spans="1:11" ht="18.95" customHeight="1">
      <c r="A27" s="36"/>
      <c r="B27" s="36"/>
      <c r="C27" s="121"/>
      <c r="D27" s="128" t="s">
        <v>177</v>
      </c>
      <c r="E27" s="136">
        <v>14000</v>
      </c>
      <c r="F27" s="128" t="s">
        <v>178</v>
      </c>
      <c r="G27" s="134">
        <f>G26*E27</f>
        <v>84000</v>
      </c>
      <c r="H27" s="138"/>
      <c r="I27" s="36"/>
      <c r="J27" s="36"/>
      <c r="K27" s="36"/>
    </row>
    <row r="28" spans="1:11" ht="18.95" customHeight="1">
      <c r="A28" s="36"/>
      <c r="B28" s="36"/>
      <c r="C28" s="121"/>
      <c r="D28" s="128" t="s">
        <v>137</v>
      </c>
      <c r="E28" s="129">
        <v>1.1499999999999999</v>
      </c>
      <c r="F28" s="128" t="s">
        <v>182</v>
      </c>
      <c r="G28" s="134">
        <f>B7*(E28-1)</f>
        <v>4782.4434082857933</v>
      </c>
      <c r="H28" s="138"/>
      <c r="I28" s="36"/>
      <c r="J28" s="36"/>
      <c r="K28" s="36"/>
    </row>
    <row r="29" spans="1:11" ht="18.95" customHeight="1">
      <c r="A29" s="36"/>
      <c r="B29" s="36"/>
      <c r="C29" s="36"/>
      <c r="D29" s="152"/>
      <c r="E29" s="149"/>
      <c r="F29" s="128" t="s">
        <v>170</v>
      </c>
      <c r="G29" s="134">
        <f>B9*3500*12</f>
        <v>42000</v>
      </c>
      <c r="H29" s="138"/>
      <c r="I29" s="36"/>
      <c r="J29" s="36"/>
      <c r="K29" s="36"/>
    </row>
    <row r="30" spans="1:11" ht="18.95" customHeight="1">
      <c r="A30" s="36"/>
      <c r="B30" s="36"/>
      <c r="C30" s="36"/>
      <c r="D30" s="153"/>
      <c r="E30" s="151"/>
      <c r="F30" s="128" t="s">
        <v>173</v>
      </c>
      <c r="G30" s="134">
        <f>SUM(G27:G29)</f>
        <v>130782.44340828579</v>
      </c>
      <c r="H30" s="138"/>
      <c r="I30" s="36"/>
      <c r="J30" s="36"/>
      <c r="K30" s="36"/>
    </row>
  </sheetData>
  <mergeCells count="12">
    <mergeCell ref="A2:B2"/>
    <mergeCell ref="F25:G25"/>
    <mergeCell ref="D10:E10"/>
    <mergeCell ref="I2:K2"/>
    <mergeCell ref="F3:G3"/>
    <mergeCell ref="D24:G24"/>
    <mergeCell ref="D25:E25"/>
    <mergeCell ref="D2:G2"/>
    <mergeCell ref="F15:G15"/>
    <mergeCell ref="D15:E15"/>
    <mergeCell ref="D3:E3"/>
    <mergeCell ref="D14:G14"/>
  </mergeCells>
  <pageMargins left="1" right="1" top="1" bottom="1" header="0.25" footer="0.25"/>
  <pageSetup orientation="portrait"/>
  <headerFooter>
    <oddHeader>&amp;L&amp;"Calibri,Regular"&amp;12&amp;K000000Infrastructura</oddHeader>
    <oddFooter>&amp;L&amp;"Calibri,Regular"&amp;12&amp;K000000Página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9"/>
  <sheetViews>
    <sheetView showGridLines="0" workbookViewId="0">
      <selection activeCell="B11" sqref="B11"/>
    </sheetView>
  </sheetViews>
  <sheetFormatPr defaultColWidth="12.625" defaultRowHeight="14.25" customHeight="1"/>
  <cols>
    <col min="1" max="1" width="35.625" style="35" customWidth="1"/>
    <col min="2" max="2" width="12.375" style="35" customWidth="1"/>
    <col min="3" max="3" width="4.375" style="35" customWidth="1"/>
    <col min="4" max="4" width="25.875" style="35" customWidth="1"/>
    <col min="5" max="5" width="8.875" style="35" customWidth="1"/>
    <col min="6" max="6" width="22.875" style="35" customWidth="1"/>
    <col min="7" max="7" width="35" style="35" customWidth="1"/>
    <col min="8" max="8" width="15.625" style="35" customWidth="1"/>
    <col min="9" max="9" width="12.375" style="35" customWidth="1"/>
    <col min="10" max="10" width="5.375" style="35" customWidth="1"/>
    <col min="11" max="11" width="14.375" style="35" customWidth="1"/>
    <col min="12" max="12" width="12.5" style="35" customWidth="1"/>
    <col min="13" max="13" width="20.5" style="35" customWidth="1"/>
    <col min="14" max="256" width="12.625" customWidth="1"/>
  </cols>
  <sheetData>
    <row r="1" spans="1:13" ht="18.95" customHeight="1">
      <c r="A1" s="154"/>
      <c r="B1" s="154"/>
      <c r="C1" s="36"/>
      <c r="D1" s="154"/>
      <c r="E1" s="154"/>
      <c r="F1" s="154"/>
      <c r="G1" s="154"/>
      <c r="H1" s="154"/>
      <c r="I1" s="36"/>
      <c r="J1" s="36"/>
      <c r="K1" s="36"/>
      <c r="L1" s="36"/>
      <c r="M1" s="36"/>
    </row>
    <row r="2" spans="1:13" ht="18.95" customHeight="1">
      <c r="A2" s="236" t="s">
        <v>183</v>
      </c>
      <c r="B2" s="237"/>
      <c r="C2" s="155"/>
      <c r="D2" s="232" t="s">
        <v>184</v>
      </c>
      <c r="E2" s="233"/>
      <c r="F2" s="233"/>
      <c r="G2" s="233"/>
      <c r="H2" s="233"/>
      <c r="I2" s="156"/>
      <c r="J2" s="36"/>
      <c r="K2" s="36"/>
      <c r="L2" s="36"/>
      <c r="M2" s="36"/>
    </row>
    <row r="3" spans="1:13" ht="15" customHeight="1">
      <c r="A3" s="157" t="s">
        <v>185</v>
      </c>
      <c r="B3" s="158">
        <f>Resum!B13</f>
        <v>585937.5</v>
      </c>
      <c r="C3" s="155"/>
      <c r="D3" s="232" t="s">
        <v>154</v>
      </c>
      <c r="E3" s="233"/>
      <c r="F3" s="159" t="s">
        <v>186</v>
      </c>
      <c r="G3" s="232" t="s">
        <v>155</v>
      </c>
      <c r="H3" s="233"/>
      <c r="I3" s="156"/>
      <c r="J3" s="242"/>
      <c r="K3" s="242"/>
      <c r="L3" s="154"/>
      <c r="M3" s="36"/>
    </row>
    <row r="4" spans="1:13" ht="18.95" customHeight="1">
      <c r="A4" s="160" t="s">
        <v>25</v>
      </c>
      <c r="B4" s="161">
        <f>Resum!B14</f>
        <v>7</v>
      </c>
      <c r="C4" s="155"/>
      <c r="D4" s="162" t="s">
        <v>187</v>
      </c>
      <c r="E4" s="163">
        <v>0.09</v>
      </c>
      <c r="F4" s="164">
        <f>IF($B$3&gt;1000,1000,MAX($B$3,0))</f>
        <v>1000</v>
      </c>
      <c r="G4" s="162" t="s">
        <v>188</v>
      </c>
      <c r="H4" s="164">
        <f>F4*E4+F5*E5+F6*E6+F7*E7+F8*E8</f>
        <v>37741.5625</v>
      </c>
      <c r="I4" s="155"/>
      <c r="J4" s="234" t="s">
        <v>189</v>
      </c>
      <c r="K4" s="238"/>
      <c r="L4" s="238"/>
      <c r="M4" s="156"/>
    </row>
    <row r="5" spans="1:13" ht="18.95" customHeight="1">
      <c r="A5" s="157" t="s">
        <v>27</v>
      </c>
      <c r="B5" s="161">
        <f>Resum!B15</f>
        <v>4</v>
      </c>
      <c r="C5" s="155"/>
      <c r="D5" s="162" t="s">
        <v>190</v>
      </c>
      <c r="E5" s="163">
        <v>7.4999999999999997E-2</v>
      </c>
      <c r="F5" s="164">
        <f>IF($B$3&gt;50*1000,50*1000-F4,MAX($B$3-F4,0))</f>
        <v>49000</v>
      </c>
      <c r="G5" s="165"/>
      <c r="H5" s="166"/>
      <c r="I5" s="167"/>
      <c r="J5" s="168" t="s">
        <v>191</v>
      </c>
      <c r="K5" s="168" t="s">
        <v>156</v>
      </c>
      <c r="L5" s="168" t="s">
        <v>157</v>
      </c>
      <c r="M5" s="156"/>
    </row>
    <row r="6" spans="1:13" ht="18.95" customHeight="1">
      <c r="A6" s="157" t="s">
        <v>192</v>
      </c>
      <c r="B6" s="158">
        <v>400</v>
      </c>
      <c r="C6" s="155"/>
      <c r="D6" s="162" t="s">
        <v>193</v>
      </c>
      <c r="E6" s="163">
        <v>6.5000000000000002E-2</v>
      </c>
      <c r="F6" s="164">
        <f>IF($B$3&gt;500*1000,500*1000-F5-F4,MAX($B$3-F5-F4,0))</f>
        <v>450000</v>
      </c>
      <c r="G6" s="169"/>
      <c r="H6" s="170"/>
      <c r="I6" s="171" t="str">
        <f>IF(Resum!B16=1,"X","")</f>
        <v/>
      </c>
      <c r="J6" s="172">
        <v>1</v>
      </c>
      <c r="K6" s="173" t="s">
        <v>194</v>
      </c>
      <c r="L6" s="174">
        <f>H4*12</f>
        <v>452898.75</v>
      </c>
      <c r="M6" s="156"/>
    </row>
    <row r="7" spans="1:13" ht="18.95" customHeight="1">
      <c r="A7" s="160" t="s">
        <v>30</v>
      </c>
      <c r="B7" s="175">
        <f>IF(Resum!B18=1,1,0)</f>
        <v>1</v>
      </c>
      <c r="C7" s="155"/>
      <c r="D7" s="162" t="s">
        <v>195</v>
      </c>
      <c r="E7" s="163">
        <v>5.5E-2</v>
      </c>
      <c r="F7" s="164">
        <f>IF($B$3&gt;5000*1000,5000*1000-F6-F5-F4,MAX($B$3-F6-F5-F4,0))</f>
        <v>85937.5</v>
      </c>
      <c r="G7" s="169"/>
      <c r="H7" s="170"/>
      <c r="I7" s="171" t="str">
        <f>IF(Resum!B16=2,"X","")</f>
        <v>X</v>
      </c>
      <c r="J7" s="172">
        <v>2</v>
      </c>
      <c r="K7" s="173" t="s">
        <v>196</v>
      </c>
      <c r="L7" s="174">
        <f>H12*12</f>
        <v>492035.25</v>
      </c>
      <c r="M7" s="156"/>
    </row>
    <row r="8" spans="1:13" ht="18.95" customHeight="1">
      <c r="A8" s="240" t="s">
        <v>197</v>
      </c>
      <c r="B8" s="241"/>
      <c r="C8" s="155"/>
      <c r="D8" s="162" t="s">
        <v>198</v>
      </c>
      <c r="E8" s="163">
        <v>0.05</v>
      </c>
      <c r="F8" s="164">
        <f>IF($B$3&gt;5000*1000,$B$3-F7-F6-F5-F4,0)</f>
        <v>0</v>
      </c>
      <c r="G8" s="156"/>
      <c r="H8" s="177"/>
      <c r="I8" s="171" t="str">
        <f>IF(Resum!B16=3,"X","")</f>
        <v/>
      </c>
      <c r="J8" s="172">
        <v>3</v>
      </c>
      <c r="K8" s="173" t="s">
        <v>199</v>
      </c>
      <c r="L8" s="172">
        <v>0</v>
      </c>
      <c r="M8" s="156"/>
    </row>
    <row r="9" spans="1:13" ht="18.95" customHeight="1">
      <c r="A9" s="243" t="str">
        <f>IF(Resum!B16=1,"Microworks Azure M-A",IF(Resum!B16=2,"MonsoonS3 MS3",IF(Resum!B16=3,"Take the tapes and run","error")))</f>
        <v>MonsoonS3 MS3</v>
      </c>
      <c r="B9" s="241"/>
      <c r="C9" s="155"/>
      <c r="D9" s="178"/>
      <c r="E9" s="179"/>
      <c r="F9" s="179"/>
      <c r="G9" s="180"/>
      <c r="H9" s="180"/>
      <c r="I9" s="36"/>
      <c r="J9" s="85"/>
      <c r="K9" s="181"/>
      <c r="L9" s="85"/>
      <c r="M9" s="36"/>
    </row>
    <row r="10" spans="1:13" ht="18.95" customHeight="1">
      <c r="A10" s="176" t="s">
        <v>200</v>
      </c>
      <c r="B10" s="182">
        <f>Resum!B17</f>
        <v>1</v>
      </c>
      <c r="C10" s="155"/>
      <c r="D10" s="232" t="s">
        <v>201</v>
      </c>
      <c r="E10" s="233"/>
      <c r="F10" s="233"/>
      <c r="G10" s="233"/>
      <c r="H10" s="233"/>
      <c r="I10" s="156"/>
      <c r="J10" s="36"/>
      <c r="K10" s="36"/>
      <c r="L10" s="36"/>
      <c r="M10" s="36"/>
    </row>
    <row r="11" spans="1:13" ht="18.95" customHeight="1">
      <c r="A11" s="176" t="s">
        <v>202</v>
      </c>
      <c r="B11" s="182">
        <f>Resum!B18</f>
        <v>1</v>
      </c>
      <c r="C11" s="155"/>
      <c r="D11" s="232" t="s">
        <v>154</v>
      </c>
      <c r="E11" s="233"/>
      <c r="F11" s="159" t="s">
        <v>186</v>
      </c>
      <c r="G11" s="232" t="s">
        <v>155</v>
      </c>
      <c r="H11" s="233"/>
      <c r="I11" s="156"/>
      <c r="J11" s="36"/>
      <c r="K11" s="36"/>
      <c r="L11" s="36"/>
      <c r="M11" s="36"/>
    </row>
    <row r="12" spans="1:13" ht="18.95" customHeight="1">
      <c r="A12" s="85"/>
      <c r="B12" s="85"/>
      <c r="C12" s="167"/>
      <c r="D12" s="162" t="s">
        <v>187</v>
      </c>
      <c r="E12" s="163">
        <v>9.5000000000000001E-2</v>
      </c>
      <c r="F12" s="164">
        <f>IF($B$3&gt;1000,1000,MAX($B$3,0))</f>
        <v>1000</v>
      </c>
      <c r="G12" s="162" t="s">
        <v>188</v>
      </c>
      <c r="H12" s="164">
        <f>F12*E12+F13*E13+F14*E14+F15*E15+F16*E16</f>
        <v>41002.9375</v>
      </c>
      <c r="I12" s="156"/>
      <c r="J12" s="36"/>
      <c r="K12" s="36"/>
      <c r="L12" s="36"/>
      <c r="M12" s="36"/>
    </row>
    <row r="13" spans="1:13" ht="18.95" customHeight="1">
      <c r="A13" s="36"/>
      <c r="B13" s="36"/>
      <c r="C13" s="167"/>
      <c r="D13" s="162" t="s">
        <v>190</v>
      </c>
      <c r="E13" s="163">
        <v>7.8E-2</v>
      </c>
      <c r="F13" s="164">
        <f>IF($B$3&gt;50*1000,50*1000-F12,MAX($B$3-F12,0))</f>
        <v>49000</v>
      </c>
      <c r="G13" s="165"/>
      <c r="H13" s="166"/>
      <c r="I13" s="36"/>
      <c r="J13" s="36"/>
      <c r="K13" s="36"/>
      <c r="L13" s="36"/>
      <c r="M13" s="36"/>
    </row>
    <row r="14" spans="1:13" ht="18.95" customHeight="1">
      <c r="A14" s="36"/>
      <c r="B14" s="36"/>
      <c r="C14" s="167"/>
      <c r="D14" s="162" t="s">
        <v>193</v>
      </c>
      <c r="E14" s="163">
        <v>7.0000000000000007E-2</v>
      </c>
      <c r="F14" s="164">
        <f>IF($B$3&gt;500*1000,500*1000-F13-F12,MAX($B$3-F13-F12,0))</f>
        <v>450000</v>
      </c>
      <c r="G14" s="169"/>
      <c r="H14" s="170"/>
      <c r="I14" s="36"/>
      <c r="J14" s="36"/>
      <c r="K14" s="36"/>
      <c r="L14" s="36"/>
      <c r="M14" s="36"/>
    </row>
    <row r="15" spans="1:13" ht="18.95" customHeight="1">
      <c r="A15" s="36"/>
      <c r="B15" s="36"/>
      <c r="C15" s="167"/>
      <c r="D15" s="162" t="s">
        <v>195</v>
      </c>
      <c r="E15" s="163">
        <v>6.5000000000000002E-2</v>
      </c>
      <c r="F15" s="164">
        <f>IF($B$3&gt;5000*1000,5000*1000-F14-F13-F12,MAX($B$3-F14-F13-F12,0))</f>
        <v>85937.5</v>
      </c>
      <c r="G15" s="169"/>
      <c r="H15" s="170"/>
      <c r="I15" s="36"/>
      <c r="J15" s="36"/>
      <c r="K15" s="36"/>
      <c r="L15" s="36"/>
      <c r="M15" s="36"/>
    </row>
    <row r="16" spans="1:13" ht="18.95" customHeight="1">
      <c r="A16" s="36"/>
      <c r="B16" s="36"/>
      <c r="C16" s="167"/>
      <c r="D16" s="162" t="s">
        <v>198</v>
      </c>
      <c r="E16" s="163">
        <v>5.5E-2</v>
      </c>
      <c r="F16" s="164">
        <f>IF($B$3&gt;5000*1000,$B$3-F15-F14-F13-F12,0)</f>
        <v>0</v>
      </c>
      <c r="G16" s="169"/>
      <c r="H16" s="177"/>
      <c r="I16" s="36"/>
      <c r="J16" s="36"/>
      <c r="K16" s="36"/>
      <c r="L16" s="36"/>
      <c r="M16" s="36"/>
    </row>
    <row r="17" spans="1:13" ht="18.95" customHeight="1">
      <c r="A17" s="36"/>
      <c r="B17" s="36"/>
      <c r="C17" s="167"/>
      <c r="D17" s="178"/>
      <c r="E17" s="179"/>
      <c r="F17" s="179"/>
      <c r="G17" s="180"/>
      <c r="H17" s="183"/>
      <c r="I17" s="36"/>
      <c r="J17" s="36"/>
      <c r="K17" s="36"/>
      <c r="L17" s="36"/>
      <c r="M17" s="36"/>
    </row>
    <row r="18" spans="1:13" ht="18.95" customHeight="1">
      <c r="A18" s="36"/>
      <c r="B18" s="36"/>
      <c r="C18" s="167"/>
      <c r="D18" s="232" t="s">
        <v>203</v>
      </c>
      <c r="E18" s="233"/>
      <c r="F18" s="233"/>
      <c r="G18" s="233"/>
      <c r="H18" s="239"/>
      <c r="I18" s="184"/>
      <c r="J18" s="36"/>
      <c r="K18" s="154"/>
      <c r="L18" s="154"/>
      <c r="M18" s="36"/>
    </row>
    <row r="19" spans="1:13" ht="18.95" customHeight="1">
      <c r="A19" s="36"/>
      <c r="B19" s="36"/>
      <c r="C19" s="167"/>
      <c r="D19" s="159" t="s">
        <v>203</v>
      </c>
      <c r="E19" s="159" t="s">
        <v>204</v>
      </c>
      <c r="F19" s="159" t="s">
        <v>205</v>
      </c>
      <c r="G19" s="159" t="s">
        <v>206</v>
      </c>
      <c r="H19" s="185" t="s">
        <v>207</v>
      </c>
      <c r="I19" s="159" t="s">
        <v>79</v>
      </c>
      <c r="J19" s="155"/>
      <c r="K19" s="234" t="s">
        <v>208</v>
      </c>
      <c r="L19" s="235"/>
      <c r="M19" s="156"/>
    </row>
    <row r="20" spans="1:13" ht="18.95" customHeight="1">
      <c r="A20" s="36"/>
      <c r="B20" s="36"/>
      <c r="C20" s="167"/>
      <c r="D20" s="162" t="s">
        <v>209</v>
      </c>
      <c r="E20" s="163">
        <v>1.0999999999999999E-2</v>
      </c>
      <c r="F20" s="164">
        <f t="shared" ref="F20:F25" si="0">365/$B$4</f>
        <v>52.142857142857146</v>
      </c>
      <c r="G20" s="164">
        <f>$B$3*E20*F20</f>
        <v>336077.00892857142</v>
      </c>
      <c r="H20" s="164">
        <f t="shared" ref="H20:H21" si="1">100*$B$5*12</f>
        <v>4800</v>
      </c>
      <c r="I20" s="164">
        <f>H20+G20</f>
        <v>340877.00892857142</v>
      </c>
      <c r="J20" s="155"/>
      <c r="K20" s="186" t="s">
        <v>156</v>
      </c>
      <c r="L20" s="168" t="s">
        <v>157</v>
      </c>
      <c r="M20" s="187" t="s">
        <v>210</v>
      </c>
    </row>
    <row r="21" spans="1:13" ht="18.95" customHeight="1">
      <c r="A21" s="36"/>
      <c r="B21" s="36"/>
      <c r="C21" s="167"/>
      <c r="D21" s="162" t="s">
        <v>211</v>
      </c>
      <c r="E21" s="163">
        <v>0.02</v>
      </c>
      <c r="F21" s="164">
        <f t="shared" si="0"/>
        <v>52.142857142857146</v>
      </c>
      <c r="G21" s="164">
        <f>$B$3*E21*F21</f>
        <v>611049.10714285716</v>
      </c>
      <c r="H21" s="164">
        <f t="shared" si="1"/>
        <v>4800</v>
      </c>
      <c r="I21" s="164">
        <f>H21+G21</f>
        <v>615849.10714285716</v>
      </c>
      <c r="J21" s="155"/>
      <c r="K21" s="173" t="s">
        <v>212</v>
      </c>
      <c r="L21" s="174">
        <f>I20</f>
        <v>340877.00892857142</v>
      </c>
      <c r="M21" s="188">
        <f>IF(AND(Resum!B16=1,Resum!B17=1),L21,0)</f>
        <v>0</v>
      </c>
    </row>
    <row r="22" spans="1:13" ht="18.95" customHeight="1">
      <c r="A22" s="36"/>
      <c r="B22" s="36"/>
      <c r="C22" s="167"/>
      <c r="D22" s="162" t="s">
        <v>213</v>
      </c>
      <c r="E22" s="163">
        <v>8.9999999999999993E-3</v>
      </c>
      <c r="F22" s="164">
        <f t="shared" si="0"/>
        <v>52.142857142857146</v>
      </c>
      <c r="G22" s="164">
        <f>$B$3*E22*F22</f>
        <v>274972.09821428574</v>
      </c>
      <c r="H22" s="164">
        <f t="shared" ref="H22:H23" si="2">90*$B$5*12</f>
        <v>4320</v>
      </c>
      <c r="I22" s="164">
        <f>H22+G22</f>
        <v>279292.09821428574</v>
      </c>
      <c r="J22" s="155"/>
      <c r="K22" s="173" t="s">
        <v>214</v>
      </c>
      <c r="L22" s="174">
        <f>I21</f>
        <v>615849.10714285716</v>
      </c>
      <c r="M22" s="188">
        <f>IF(AND(Resum!B16=1,Resum!B17=0),L22,0)</f>
        <v>0</v>
      </c>
    </row>
    <row r="23" spans="1:13" ht="18.95" customHeight="1">
      <c r="A23" s="36"/>
      <c r="B23" s="36"/>
      <c r="C23" s="167"/>
      <c r="D23" s="162" t="s">
        <v>215</v>
      </c>
      <c r="E23" s="163">
        <v>1.9E-2</v>
      </c>
      <c r="F23" s="164">
        <f t="shared" si="0"/>
        <v>52.142857142857146</v>
      </c>
      <c r="G23" s="164">
        <f>$B$3*E23*F23</f>
        <v>580496.65178571432</v>
      </c>
      <c r="H23" s="164">
        <f t="shared" si="2"/>
        <v>4320</v>
      </c>
      <c r="I23" s="164">
        <f>H23+G23</f>
        <v>584816.65178571432</v>
      </c>
      <c r="J23" s="155"/>
      <c r="K23" s="173" t="s">
        <v>216</v>
      </c>
      <c r="L23" s="174">
        <f>I22</f>
        <v>279292.09821428574</v>
      </c>
      <c r="M23" s="189">
        <f>IF(AND(Resum!B16=2,Resum!B17=1),L23,0)</f>
        <v>279292.09821428574</v>
      </c>
    </row>
    <row r="24" spans="1:13" ht="18.95" customHeight="1">
      <c r="A24" s="36"/>
      <c r="B24" s="36"/>
      <c r="C24" s="167"/>
      <c r="D24" s="190"/>
      <c r="E24" s="191" t="s">
        <v>217</v>
      </c>
      <c r="F24" s="191" t="s">
        <v>218</v>
      </c>
      <c r="G24" s="191" t="s">
        <v>219</v>
      </c>
      <c r="H24" s="191" t="s">
        <v>220</v>
      </c>
      <c r="I24" s="191" t="s">
        <v>79</v>
      </c>
      <c r="J24" s="192"/>
      <c r="K24" s="173" t="s">
        <v>221</v>
      </c>
      <c r="L24" s="174">
        <f>I23</f>
        <v>584816.65178571432</v>
      </c>
      <c r="M24" s="188">
        <f>IF(AND(Resum!B16=2,Resum!B17=0),L24,0)</f>
        <v>0</v>
      </c>
    </row>
    <row r="25" spans="1:13" ht="18.95" customHeight="1">
      <c r="A25" s="36"/>
      <c r="B25" s="36"/>
      <c r="C25" s="167"/>
      <c r="D25" s="162" t="s">
        <v>222</v>
      </c>
      <c r="E25" s="164">
        <f>ROUNDUP($B$3/$B$6,0)</f>
        <v>1465</v>
      </c>
      <c r="F25" s="164">
        <f t="shared" si="0"/>
        <v>52.142857142857146</v>
      </c>
      <c r="G25" s="164">
        <f>120*F25*2</f>
        <v>12514.285714285716</v>
      </c>
      <c r="H25" s="164">
        <f>ROUNDUP(E25*$B$5/20,0)*100</f>
        <v>29300</v>
      </c>
      <c r="I25" s="164">
        <f>G25+H25</f>
        <v>41814.285714285717</v>
      </c>
      <c r="J25" s="155"/>
      <c r="K25" s="173" t="s">
        <v>223</v>
      </c>
      <c r="L25" s="174">
        <f>I25</f>
        <v>41814.285714285717</v>
      </c>
      <c r="M25" s="188">
        <f>IF(Resum!B16=3,L25,0)</f>
        <v>0</v>
      </c>
    </row>
    <row r="26" spans="1:13" ht="18.95" customHeight="1">
      <c r="A26" s="36"/>
      <c r="B26" s="36"/>
      <c r="C26" s="36"/>
      <c r="D26" s="193" t="s">
        <v>224</v>
      </c>
      <c r="E26" s="193" t="s">
        <v>225</v>
      </c>
      <c r="F26" s="193" t="s">
        <v>226</v>
      </c>
      <c r="G26" s="193" t="s">
        <v>227</v>
      </c>
      <c r="H26" s="194"/>
      <c r="I26" s="193" t="s">
        <v>79</v>
      </c>
      <c r="J26" s="36"/>
      <c r="K26" s="85"/>
      <c r="L26" s="85"/>
      <c r="M26" s="36"/>
    </row>
    <row r="27" spans="1:13" ht="18.95" customHeight="1">
      <c r="A27" s="36"/>
      <c r="B27" s="36"/>
      <c r="C27" s="36"/>
      <c r="D27" s="195"/>
      <c r="E27" s="196">
        <f>E25*B5</f>
        <v>5860</v>
      </c>
      <c r="F27" s="196">
        <f>IF($E$25&lt;24,2500,IF($E$25&lt;48,3800,IF($E$25&lt;96,12000,70000)))</f>
        <v>70000</v>
      </c>
      <c r="G27" s="196">
        <f>E27*100</f>
        <v>586000</v>
      </c>
      <c r="H27" s="195"/>
      <c r="I27" s="196">
        <f>(F27+G27)*B11</f>
        <v>656000</v>
      </c>
      <c r="J27" s="36"/>
      <c r="K27" s="36"/>
      <c r="L27" s="36"/>
      <c r="M27" s="43">
        <f>SUM(M21:M26)</f>
        <v>279292.09821428574</v>
      </c>
    </row>
    <row r="28" spans="1:13" ht="18.95" customHeight="1">
      <c r="A28" s="36"/>
      <c r="B28" s="36"/>
      <c r="C28" s="36"/>
      <c r="D28" s="197" t="s">
        <v>228</v>
      </c>
      <c r="E28" s="198"/>
      <c r="F28" s="197" t="s">
        <v>229</v>
      </c>
      <c r="G28" s="199" t="s">
        <v>230</v>
      </c>
      <c r="H28" s="199" t="s">
        <v>231</v>
      </c>
      <c r="I28" s="196"/>
      <c r="J28" s="36"/>
      <c r="K28" s="36"/>
      <c r="L28" s="36"/>
      <c r="M28" s="43"/>
    </row>
    <row r="29" spans="1:13" ht="18.95" customHeight="1">
      <c r="A29" s="36"/>
      <c r="B29" s="36"/>
      <c r="C29" s="36"/>
      <c r="D29" s="200">
        <f>IF($E$25&lt;24,168,IF($E$25&lt;48,312,IF($E$25&lt;96,560,1500)))/1000</f>
        <v>1.5</v>
      </c>
      <c r="E29" s="196"/>
      <c r="F29" s="201">
        <f>IF($E$25&lt;24,2,IF($E$25&lt;48,4,IF($E$25&lt;96,8,40)))</f>
        <v>40</v>
      </c>
      <c r="G29" s="202">
        <f>F29*B7</f>
        <v>40</v>
      </c>
      <c r="H29" s="203">
        <f>D29*B7</f>
        <v>1.5</v>
      </c>
      <c r="I29" s="196"/>
      <c r="J29" s="36"/>
      <c r="K29" s="199" t="s">
        <v>232</v>
      </c>
      <c r="L29" s="204">
        <f>$I$27</f>
        <v>656000</v>
      </c>
      <c r="M29" s="43">
        <f>L29*B10</f>
        <v>656000</v>
      </c>
    </row>
  </sheetData>
  <mergeCells count="13">
    <mergeCell ref="G3:H3"/>
    <mergeCell ref="D3:E3"/>
    <mergeCell ref="K19:L19"/>
    <mergeCell ref="G11:H11"/>
    <mergeCell ref="A2:B2"/>
    <mergeCell ref="D2:H2"/>
    <mergeCell ref="D11:E11"/>
    <mergeCell ref="D10:H10"/>
    <mergeCell ref="J4:L4"/>
    <mergeCell ref="D18:H18"/>
    <mergeCell ref="A8:B8"/>
    <mergeCell ref="J3:K3"/>
    <mergeCell ref="A9:B9"/>
  </mergeCells>
  <pageMargins left="1" right="1" top="1" bottom="1" header="0.25" footer="0.25"/>
  <pageSetup orientation="portrait"/>
  <headerFooter>
    <oddHeader>&amp;L&amp;"Calibri,Regular"&amp;12&amp;K000000Backup</oddHeader>
    <oddFooter>&amp;L&amp;"Calibri,Regular"&amp;12&amp;K000000Página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3"/>
  <sheetViews>
    <sheetView showGridLines="0" workbookViewId="0">
      <selection activeCell="E4" sqref="E4"/>
    </sheetView>
  </sheetViews>
  <sheetFormatPr defaultColWidth="12.875" defaultRowHeight="15.75" customHeight="1"/>
  <cols>
    <col min="1" max="1" width="14.5" style="35" customWidth="1"/>
    <col min="2" max="2" width="14.625" style="35" customWidth="1"/>
    <col min="3" max="3" width="13.5" style="35" customWidth="1"/>
    <col min="4" max="4" width="16.125" style="35" customWidth="1"/>
    <col min="5" max="5" width="18.375" style="35" customWidth="1"/>
    <col min="6" max="6" width="13.375" style="35" customWidth="1"/>
    <col min="7" max="7" width="15.125" style="35" customWidth="1"/>
    <col min="8" max="8" width="12.875" style="35" customWidth="1"/>
    <col min="9" max="9" width="5.375" style="35" customWidth="1"/>
    <col min="10" max="10" width="9.5" style="35" customWidth="1"/>
    <col min="11" max="11" width="12.375" style="35" customWidth="1"/>
    <col min="12" max="256" width="12.875" customWidth="1"/>
  </cols>
  <sheetData>
    <row r="1" spans="1:11" ht="18.95" customHeight="1">
      <c r="A1" s="205" t="s">
        <v>233</v>
      </c>
      <c r="B1" s="205" t="s">
        <v>234</v>
      </c>
      <c r="C1" s="205" t="s">
        <v>235</v>
      </c>
      <c r="D1" s="205" t="s">
        <v>236</v>
      </c>
      <c r="E1" s="205" t="s">
        <v>237</v>
      </c>
      <c r="F1" s="205" t="s">
        <v>238</v>
      </c>
      <c r="G1" s="206" t="s">
        <v>239</v>
      </c>
      <c r="H1" s="36"/>
      <c r="I1" s="36"/>
      <c r="J1" s="36"/>
      <c r="K1" s="36"/>
    </row>
    <row r="2" spans="1:11" ht="19.5" customHeight="1">
      <c r="A2" s="75">
        <v>1</v>
      </c>
      <c r="B2" s="207">
        <v>10</v>
      </c>
      <c r="C2" s="208" t="s">
        <v>240</v>
      </c>
      <c r="D2" s="209">
        <v>0.63</v>
      </c>
      <c r="E2" s="182">
        <f>IF(Resum!$B$24=1,Resum!B25,0)</f>
        <v>0</v>
      </c>
      <c r="F2" s="210">
        <f>D2*E2*12</f>
        <v>0</v>
      </c>
      <c r="G2" s="210">
        <f>F2*0.4</f>
        <v>0</v>
      </c>
      <c r="H2" s="211"/>
      <c r="I2" s="146"/>
      <c r="J2" s="146"/>
      <c r="K2" s="146"/>
    </row>
    <row r="3" spans="1:11" ht="19.5" customHeight="1">
      <c r="A3" s="75">
        <v>2</v>
      </c>
      <c r="B3" s="207">
        <v>100</v>
      </c>
      <c r="C3" s="208" t="s">
        <v>240</v>
      </c>
      <c r="D3" s="209">
        <v>6.3</v>
      </c>
      <c r="E3" s="182">
        <f>IF(Resum!$B$24=2,Resum!B25,0)</f>
        <v>0</v>
      </c>
      <c r="F3" s="210">
        <f>D3*E3*12</f>
        <v>0</v>
      </c>
      <c r="G3" s="210">
        <f>F3*0.4</f>
        <v>0</v>
      </c>
      <c r="H3" s="169"/>
      <c r="I3" s="170"/>
      <c r="J3" s="170"/>
      <c r="K3" s="170"/>
    </row>
    <row r="4" spans="1:11" ht="19.5" customHeight="1">
      <c r="A4" s="75">
        <v>3</v>
      </c>
      <c r="B4" s="207">
        <v>1000</v>
      </c>
      <c r="C4" s="208" t="s">
        <v>240</v>
      </c>
      <c r="D4" s="209">
        <v>63</v>
      </c>
      <c r="E4" s="182">
        <f>IF(Resum!$B$24=3,Resum!B25,0)</f>
        <v>0</v>
      </c>
      <c r="F4" s="210">
        <f>D4*E4*12</f>
        <v>0</v>
      </c>
      <c r="G4" s="210">
        <f>F4*0.4</f>
        <v>0</v>
      </c>
      <c r="H4" s="169"/>
      <c r="I4" s="170"/>
      <c r="J4" s="170"/>
      <c r="K4" s="170"/>
    </row>
    <row r="5" spans="1:11" ht="19.5" customHeight="1">
      <c r="A5" s="75">
        <v>4</v>
      </c>
      <c r="B5" s="207">
        <v>10000</v>
      </c>
      <c r="C5" s="208" t="s">
        <v>241</v>
      </c>
      <c r="D5" s="209">
        <v>630</v>
      </c>
      <c r="E5" s="182">
        <f>IF(Resum!$B$24=4,Resum!B25,0)</f>
        <v>1</v>
      </c>
      <c r="F5" s="210">
        <f>D5*E5*12</f>
        <v>7560</v>
      </c>
      <c r="G5" s="210">
        <f>F5*0.4</f>
        <v>3024</v>
      </c>
      <c r="H5" s="169"/>
      <c r="I5" s="170"/>
      <c r="J5" s="170"/>
      <c r="K5" s="170"/>
    </row>
    <row r="6" spans="1:11" ht="31.5" customHeight="1">
      <c r="A6" s="75">
        <v>5</v>
      </c>
      <c r="B6" s="207">
        <v>100000</v>
      </c>
      <c r="C6" s="208" t="s">
        <v>242</v>
      </c>
      <c r="D6" s="209">
        <v>6300</v>
      </c>
      <c r="E6" s="182">
        <f>IF(Resum!$B$24=5,Resum!B25,0)</f>
        <v>0</v>
      </c>
      <c r="F6" s="210">
        <f>D6*E6*12</f>
        <v>0</v>
      </c>
      <c r="G6" s="210">
        <f>F6*0.4</f>
        <v>0</v>
      </c>
      <c r="H6" s="169"/>
      <c r="I6" s="170"/>
      <c r="J6" s="170"/>
      <c r="K6" s="170"/>
    </row>
    <row r="7" spans="1:11" ht="17.100000000000001" customHeight="1">
      <c r="A7" s="212"/>
      <c r="B7" s="166"/>
      <c r="C7" s="166"/>
      <c r="D7" s="166"/>
      <c r="E7" s="213" t="s">
        <v>102</v>
      </c>
      <c r="F7" s="214">
        <f>SUM(F2:F6)</f>
        <v>7560</v>
      </c>
      <c r="G7" s="214">
        <f>IF(Resum!B20=3,SUM(G2:G6),0)</f>
        <v>3024</v>
      </c>
      <c r="H7" s="170"/>
      <c r="I7" s="170"/>
      <c r="J7" s="170"/>
      <c r="K7" s="170"/>
    </row>
    <row r="8" spans="1:11" ht="17.100000000000001" customHeight="1">
      <c r="A8" s="170"/>
      <c r="B8" s="170"/>
      <c r="C8" s="170"/>
      <c r="D8" s="170"/>
      <c r="E8" s="170"/>
      <c r="F8" s="180"/>
      <c r="G8" s="170"/>
      <c r="H8" s="170"/>
      <c r="I8" s="170"/>
      <c r="J8" s="170"/>
      <c r="K8" s="170"/>
    </row>
    <row r="9" spans="1:11" ht="17.100000000000001" customHeight="1">
      <c r="A9" s="170"/>
      <c r="B9" s="170"/>
      <c r="C9" s="170"/>
      <c r="D9" s="170"/>
      <c r="E9" s="170"/>
      <c r="F9" s="214">
        <f>IF(Resum!B26=0,F7,F7+G7)</f>
        <v>7560</v>
      </c>
      <c r="G9" s="170"/>
      <c r="H9" s="170"/>
      <c r="I9" s="170"/>
      <c r="J9" s="170"/>
      <c r="K9" s="170"/>
    </row>
    <row r="10" spans="1:11" ht="18.95" customHeigh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</row>
    <row r="11" spans="1:11" ht="18.95" customHeight="1">
      <c r="A11" s="146"/>
      <c r="B11" s="146"/>
      <c r="C11" s="146"/>
      <c r="D11" s="146"/>
      <c r="E11" s="146"/>
      <c r="F11" s="146"/>
      <c r="G11" s="146"/>
      <c r="H11" s="146"/>
      <c r="I11" s="146"/>
      <c r="J11" s="146"/>
      <c r="K11" s="146"/>
    </row>
    <row r="12" spans="1:11" ht="18.95" customHeigh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</row>
    <row r="13" spans="1:11" ht="18.95" customHeigh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Paula Barrachina</cp:lastModifiedBy>
  <cp:revision/>
  <dcterms:created xsi:type="dcterms:W3CDTF">2021-02-18T22:25:20Z</dcterms:created>
  <dcterms:modified xsi:type="dcterms:W3CDTF">2023-10-12T19:11:11Z</dcterms:modified>
  <cp:category/>
  <cp:contentStatus/>
</cp:coreProperties>
</file>