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1dvjnuptQ87ZfmsSDG7fl/oHKrrZdoNsoatXivBBb/w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<sst xmlns="http://schemas.openxmlformats.org/spreadsheetml/2006/main" count="332" uniqueCount="244">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</sst>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1.0"/>
      <color rgb="FF000000"/>
      <name val="Arial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readingOrder="0"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2" fillId="4" fontId="18" numFmtId="0" xfId="0" applyAlignment="1" applyBorder="1" applyFont="1">
      <alignment readingOrder="0"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9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20" numFmtId="172" xfId="0" applyAlignment="1" applyBorder="1" applyFont="1" applyNumberFormat="1">
      <alignment horizontal="center" shrinkToFit="0" vertical="center" wrapText="1"/>
    </xf>
    <xf borderId="42" fillId="0" fontId="20" numFmtId="49" xfId="0" applyAlignment="1" applyBorder="1" applyFont="1" applyNumberFormat="1">
      <alignment horizontal="center" shrinkToFit="0" vertical="center" wrapText="1"/>
    </xf>
    <xf borderId="42" fillId="0" fontId="20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45747"/>
        <c:axId val="174977245"/>
      </c:scatterChart>
      <c:valAx>
        <c:axId val="676745747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4977245"/>
        <c:majorUnit val="0.25"/>
        <c:minorUnit val="0.125"/>
      </c:valAx>
      <c:valAx>
        <c:axId val="174977245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76745747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370704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112.0</v>
      </c>
      <c r="C3" s="13"/>
      <c r="D3" s="14" t="s">
        <v>5</v>
      </c>
      <c r="E3" s="15">
        <f>Electricitat!F18</f>
        <v>69671.56241</v>
      </c>
      <c r="F3" s="15">
        <f>E3*5</f>
        <v>348357.812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350.0</v>
      </c>
      <c r="C5" s="13"/>
      <c r="D5" s="9" t="s">
        <v>9</v>
      </c>
      <c r="E5" s="15">
        <f>IF(B20=1,Infraestructura!J4,IF(B20=2,Infraestructura!J5,IF(B20=3,Infraestructura!J6,"error")))</f>
        <v>108450.7344</v>
      </c>
      <c r="F5" s="20">
        <f>E5*5</f>
        <v>542253.6718</v>
      </c>
      <c r="G5" s="10"/>
      <c r="H5" s="2"/>
      <c r="I5" s="2"/>
    </row>
    <row r="6" ht="24.75" customHeight="1">
      <c r="A6" s="11" t="s">
        <v>10</v>
      </c>
      <c r="B6" s="21">
        <v>0.06</v>
      </c>
      <c r="C6" s="13"/>
      <c r="D6" s="9" t="s">
        <v>11</v>
      </c>
      <c r="E6" s="22" t="str">
        <f>IF(B16=1,"Microworks Azure M-A",IF(B16=2,"MonsoonS3 MS3",IF(B16=3,"Take the tapes and run","error")))</f>
        <v>MonsoonS3 MS3</v>
      </c>
      <c r="F6" s="23"/>
      <c r="G6" s="24"/>
      <c r="H6" s="2"/>
      <c r="I6" s="2"/>
    </row>
    <row r="7" ht="24.75" customHeight="1">
      <c r="A7" s="11" t="s">
        <v>12</v>
      </c>
      <c r="B7" s="25">
        <v>100.0</v>
      </c>
      <c r="C7" s="13"/>
      <c r="D7" s="9" t="s">
        <v>13</v>
      </c>
      <c r="E7" s="15">
        <f>IF(B16=1,B17*Backup!L6,IF(B16=2,B17*Backup!L7,IF(B16=3,0,"error")))</f>
        <v>0</v>
      </c>
      <c r="F7" s="26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7">
        <v>1.0E7</v>
      </c>
      <c r="C8" s="13"/>
      <c r="D8" s="9" t="s">
        <v>15</v>
      </c>
      <c r="E8" s="15">
        <f>Backup!M27</f>
        <v>128543.3333</v>
      </c>
      <c r="F8" s="15">
        <f t="shared" si="1"/>
        <v>642716.6667</v>
      </c>
      <c r="G8" s="10"/>
      <c r="H8" s="2"/>
      <c r="I8" s="2"/>
    </row>
    <row r="9" ht="24.75" customHeight="1">
      <c r="A9" s="11" t="s">
        <v>16</v>
      </c>
      <c r="B9" s="27">
        <v>7500000.0</v>
      </c>
      <c r="C9" s="13"/>
      <c r="D9" s="9" t="s">
        <v>17</v>
      </c>
      <c r="E9" s="15">
        <f>'Bandwidth provider'!F9</f>
        <v>10584</v>
      </c>
      <c r="F9" s="15">
        <f t="shared" si="1"/>
        <v>52920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7500000</v>
      </c>
      <c r="F12" s="10"/>
      <c r="G12" s="2"/>
      <c r="H12" s="2"/>
      <c r="I12" s="2"/>
    </row>
    <row r="13" ht="24.75" customHeight="1">
      <c r="A13" s="11" t="s">
        <v>23</v>
      </c>
      <c r="B13" s="25">
        <v>500000.0</v>
      </c>
      <c r="C13" s="13"/>
      <c r="D13" s="9" t="s">
        <v>24</v>
      </c>
      <c r="E13" s="15">
        <f>SAN!B18</f>
        <v>414158</v>
      </c>
      <c r="F13" s="10"/>
      <c r="G13" s="2"/>
      <c r="H13" s="2"/>
      <c r="I13" s="2"/>
    </row>
    <row r="14" ht="24.75" customHeight="1">
      <c r="A14" s="11" t="s">
        <v>25</v>
      </c>
      <c r="B14" s="25">
        <v>30.0</v>
      </c>
      <c r="C14" s="13"/>
      <c r="D14" s="9" t="s">
        <v>26</v>
      </c>
      <c r="E14" s="15">
        <f>'Cabina de discos'!K24+Backup!M29</f>
        <v>365856</v>
      </c>
      <c r="F14" s="10"/>
      <c r="G14" s="2"/>
      <c r="H14" s="2"/>
      <c r="I14" s="2"/>
    </row>
    <row r="15" ht="24.75" customHeight="1">
      <c r="A15" s="11" t="s">
        <v>27</v>
      </c>
      <c r="B15" s="25">
        <v>12.0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2.0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0.0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25">
        <v>1.0</v>
      </c>
      <c r="C18" s="35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25">
        <v>3.0</v>
      </c>
      <c r="C20" s="13"/>
      <c r="D20" s="9" t="s">
        <v>34</v>
      </c>
      <c r="E20" s="15">
        <f>SUM(F3:F9)</f>
        <v>1586248.151</v>
      </c>
      <c r="F20" s="10"/>
      <c r="G20" s="2"/>
      <c r="H20" s="2"/>
      <c r="I20" s="2"/>
    </row>
    <row r="21" ht="24.75" customHeight="1">
      <c r="A21" s="37" t="s">
        <v>35</v>
      </c>
      <c r="B21" s="25">
        <v>0.0</v>
      </c>
      <c r="C21" s="13"/>
      <c r="D21" s="9" t="s">
        <v>36</v>
      </c>
      <c r="E21" s="15">
        <f>SUM(E12:E14)</f>
        <v>8280014</v>
      </c>
      <c r="F21" s="10"/>
      <c r="G21" s="2"/>
      <c r="H21" s="2"/>
      <c r="I21" s="2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9866262.151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8" t="s">
        <v>40</v>
      </c>
      <c r="E23" s="39">
        <f>B8-E22</f>
        <v>133737.8495</v>
      </c>
      <c r="F23" s="10"/>
      <c r="G23" s="2"/>
      <c r="H23" s="2"/>
      <c r="I23" s="2"/>
    </row>
    <row r="24" ht="39.0" customHeight="1">
      <c r="A24" s="11" t="s">
        <v>41</v>
      </c>
      <c r="B24" s="25">
        <v>4.0</v>
      </c>
      <c r="C24" s="35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25">
        <v>1.0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25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40" t="s">
        <v>44</v>
      </c>
      <c r="B27" s="25">
        <v>1.0</v>
      </c>
      <c r="C27" s="35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5">
        <v>8.0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5">
        <v>648.0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5">
        <v>4.0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5">
        <v>18.0</v>
      </c>
      <c r="C32" s="35"/>
      <c r="D32" s="2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5">
        <v>3.0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5">
        <v>68.0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5">
        <v>5.0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5">
        <v>2.0</v>
      </c>
      <c r="C37" s="35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8.0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8.0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8.0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8.0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8.0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8.0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8.0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8.0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8.0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8.0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8.0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8.0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8.0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8.0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8.0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8.0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8.0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8.0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8.0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8.0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8.0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8.0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8.0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8.0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8.0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8.0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8.0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8.0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8.0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8.0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8.0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8.0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8.0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8.0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8.0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8.0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8.0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8.0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8.0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8.0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8.0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8.0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8.0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8.0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8.0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8.0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8.0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8.0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8.0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8.0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8.0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8.0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8.0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8.0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8.0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8.0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8.0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8.0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8.0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8.0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8.0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8.0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8.0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8.0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8.0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8.0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8.0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8.0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8.0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8.0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8.0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8.0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8.0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8.0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8.0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8.0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8.0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8.0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8.0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8.0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8.0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8.0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8.0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8.0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8.0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8.0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8.0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8.0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8.0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8.0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8.0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8.0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8.0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8.0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8.0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8.0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8.0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8.0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8.0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8.0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8.0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8.0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8.0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8.0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8.0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8.0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8.0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8.0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8.0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8.0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8.0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8.0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8.0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8.0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8.0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8.0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8.0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8.0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8.0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8.0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8.0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8.0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8.0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8.0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8.0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8.0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8.0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8.0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8.0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8.0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8.0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8.0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8.0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8.0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8.0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8.0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8.0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8.0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8.0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8.0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8.0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8.0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8.0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8.0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8.0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8.0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8.0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8.0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8.0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8.0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8.0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8.0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8.0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8.0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8.0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8.0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8.0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8.0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8.0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8.0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8.0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8.0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8.0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8.0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8.0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8.0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8.0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8.0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8.0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8.0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8.0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8.0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8.0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8.0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8.0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8.0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8.0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8.0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8.0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8.0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8.0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8.0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8.0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8.0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8.0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8.0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8.0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8.0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8.0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8.0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8.0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8.0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8.0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8.0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8.0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8.0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8.0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8.0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8.0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8.0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8.0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8.0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8.0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8.0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8.0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8.0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8.0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8.0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8.0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8.0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8.0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8.0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8.0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8.0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8.0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8.0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8.0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8.0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8.0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8.0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8.0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8.0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8.0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8.0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8.0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8.0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8.0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8.0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8.0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8.0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8.0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8.0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8.0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8.0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8.0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8.0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8.0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8.0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8.0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8.0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8.0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8.0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8.0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8.0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8.0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8.0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8.0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8.0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8.0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8.0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8.0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8.0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8.0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8.0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8.0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8.0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8.0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8.0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8.0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8.0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8.0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8.0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8.0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8.0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8.0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8.0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8.0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8.0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8.0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8.0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8.0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8.0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8.0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8.0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8.0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8.0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8.0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8.0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8.0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8.0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8.0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8.0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8.0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8.0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8.0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8.0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8.0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8.0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8.0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8.0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8.0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8.0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8.0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8.0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8.0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8.0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8.0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8.0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8.0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8.0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8.0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8.0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8.0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8.0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8.0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8.0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8.0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8.0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8.0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8.0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8.0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8.0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8.0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8.0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8.0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8.0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8.0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8.0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8.0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8.0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8.0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8.0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8.0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8.0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8.0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8.0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8.0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8.0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8.0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8.0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8.0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8.0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8.0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8.0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8.0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8.0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8.0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8.0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8.0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8.0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8.0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8.0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8.0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8.0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8.0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8.0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8.0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8.0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8.0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8.0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8.0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8.0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8.0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8.0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8.0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8.0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8.0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8.0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8.0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8.0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8.0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8.0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8.0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8.0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8.0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8.0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8.0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8.0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8.0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8.0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8.0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8.0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8.0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8.0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8.0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8.0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8.0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8.0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8.0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8.0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8.0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8.0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8.0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8.0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8.0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8.0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8.0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8.0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8.0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8.0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8.0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8.0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8.0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8.0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8.0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8.0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8.0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8.0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8.0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8.0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8.0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8.0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8.0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8.0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8.0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8.0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8.0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8.0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8.0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8.0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8.0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8.0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8.0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8.0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8.0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8.0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8.0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8.0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8.0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8.0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8.0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8.0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8.0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8.0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8.0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8.0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8.0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8.0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8.0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8.0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8.0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8.0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8.0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8.0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8.0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8.0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8.0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8.0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8.0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8.0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8.0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8.0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8.0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8.0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8.0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8.0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8.0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8.0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8.0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8.0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8.0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8.0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8.0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8.0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8.0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8.0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8.0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8.0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8.0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8.0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8.0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8.0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8.0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8.0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8.0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8.0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8.0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8.0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8.0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8.0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8.0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8.0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8.0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8.0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8.0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8.0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8.0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8.0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8.0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8.0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8.0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8.0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8.0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8.0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8.0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8.0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8.0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8.0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8.0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8.0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8.0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8.0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8.0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8.0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8.0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8.0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8.0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8.0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8.0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8.0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8.0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8.0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8.0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8.0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8.0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8.0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8.0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8.0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8.0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8.0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8.0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8.0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8.0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8.0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8.0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8.0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8.0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8.0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8.0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8.0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8.0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8.0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8.0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8.0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8.0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8.0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8.0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8.0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8.0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8.0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8.0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8.0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8.0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8.0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8.0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8.0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8.0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8.0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8.0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8.0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8.0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8.0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8.0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8.0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8.0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8.0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8.0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8.0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8.0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8.0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8.0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8.0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8.0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8.0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8.0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8.0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8.0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8.0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8.0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8.0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8.0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8.0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8.0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8.0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8.0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8.0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8.0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8.0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8.0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8.0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8.0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8.0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8.0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8.0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8.0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8.0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8.0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8.0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8.0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8.0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8.0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8.0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8.0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8.0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8.0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8.0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8.0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8.0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8.0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8.0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8.0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8.0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8.0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8.0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8.0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8.0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8.0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8.0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8.0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8.0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8.0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8.0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8.0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8.0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8.0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8.0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8.0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8.0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8.0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8.0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8.0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8.0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8.0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8.0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8.0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8.0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8.0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8.0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8.0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8.0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8.0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8.0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8.0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8.0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8.0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8.0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8.0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8.0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8.0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8.0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8.0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8.0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8.0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8.0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8.0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8.0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8.0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8.0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8.0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8.0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8.0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8.0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8.0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8.0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8.0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8.0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8.0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8.0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8.0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8.0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8.0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8.0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8.0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8.0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8.0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8.0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8.0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8.0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8.0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8.0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8.0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8.0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8.0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8.0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8.0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8.0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8.0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8.0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8.0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8.0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8.0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8.0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8.0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8.0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8.0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8.0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8.0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8.0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8.0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8.0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8.0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8.0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8.0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8.0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8.0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8.0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8.0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8.0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8.0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8.0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8.0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8.0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8.0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8.0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8.0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8.0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8.0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8.0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8.0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8.0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8.0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8.0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8.0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8.0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8.0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8.0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8.0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8.0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8.0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8.0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8.0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8.0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8.0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8.0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8.0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8.0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8.0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8.0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8.0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8.0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8.0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8.0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8.0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8.0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8.0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8.0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8.0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8.0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8.0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8.0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8.0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8.0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8.0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8.0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8.0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8.0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8.0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8.0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8.0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8.0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8.0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8.0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8.0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8.0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8.0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8.0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8.0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8.0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8.0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8.0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8.0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8.0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8.0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8.0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8.0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8.0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8.0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8.0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8.0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8.0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8.0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8.0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8.0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8.0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8.0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8.0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8.0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8.0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8.0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8.0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8.0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8.0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8.0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8.0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8.0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8.0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8.0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8.0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8.0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8.0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8.0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8.0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8.0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8.0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8.0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8.0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8.0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8.0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8.0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8.0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8.0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8.0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8.0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8.0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8.0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8.0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8.0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8.0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8.0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8.0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8.0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8.0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8.0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8.0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8.0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8.0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8.0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8.0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8.0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8.0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8.0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8.0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8.0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8.0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8.0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8.0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8.0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8.0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8.0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8.0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8.0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8.0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8.0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8.0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8.0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8.0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8.0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8.0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8.0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8.0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8.0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8.0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8.0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8.0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8.0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8.0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8.0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8.0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8.0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8.0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8.0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8.0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8.0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8.0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8.0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8.0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8.0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8.0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8.0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8.0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8.0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8.0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8.0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8.0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8.0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8.0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8.0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8.0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8.0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8.0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8.0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8.0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8.0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8.0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8.0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8.0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8.0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8.0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8.0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8.0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8.0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8.0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8.0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8.0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8.0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8.0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8.0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8.0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8.0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8.0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8.0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8.0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8.0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8.0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8.0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8.0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8.0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8.0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8.0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8.0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8.0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8.0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8.0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8.0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8.0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8.0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8.0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8.0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8.0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8.0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8.0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8.0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8.0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8.0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8.0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8.0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8.0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8.0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8.0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8.0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8.0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8.0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8.0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8.0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8.0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8.0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8.0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8.0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8.0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8.0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8.0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8.0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8.0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8.0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8.0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8.0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8.0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8.0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8.0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8.0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8.0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8.0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8.0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8.0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8.0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8.0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8.0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8.0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8.0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8.0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8.0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8.0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8.0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8.0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8.0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8.0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8.0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8.0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8.0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8.0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8.0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8.0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8.0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8.0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8.0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8.0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8.0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ht="18.75" customHeight="1">
      <c r="A3" s="43"/>
      <c r="B3" s="43"/>
      <c r="C3" s="43"/>
      <c r="D3" s="43"/>
      <c r="E3" s="44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8.75" customHeight="1">
      <c r="A4" s="45" t="s">
        <v>53</v>
      </c>
      <c r="B4" s="45" t="s">
        <v>54</v>
      </c>
      <c r="C4" s="45" t="s">
        <v>55</v>
      </c>
      <c r="D4" s="45" t="s">
        <v>56</v>
      </c>
      <c r="E4" s="45" t="s">
        <v>57</v>
      </c>
      <c r="F4" s="45" t="s">
        <v>58</v>
      </c>
      <c r="G4" s="45" t="s">
        <v>59</v>
      </c>
      <c r="H4" s="45" t="s">
        <v>8</v>
      </c>
      <c r="I4" s="45" t="s">
        <v>60</v>
      </c>
      <c r="J4" s="45" t="s">
        <v>61</v>
      </c>
      <c r="K4" s="45" t="s">
        <v>62</v>
      </c>
      <c r="L4" s="44"/>
      <c r="M4" s="44"/>
      <c r="N4" s="43"/>
      <c r="O4" s="44"/>
    </row>
    <row r="5" ht="18.75" customHeight="1">
      <c r="A5" s="46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>Resum!$B$30</f>
        <v>648</v>
      </c>
      <c r="F5" s="42">
        <f>Resum!$B$35</f>
        <v>68</v>
      </c>
      <c r="G5" s="42">
        <f>Resum!$B$40</f>
        <v>0</v>
      </c>
      <c r="H5" s="47">
        <v>6.8</v>
      </c>
      <c r="I5" s="48">
        <v>235.0</v>
      </c>
      <c r="J5" s="47">
        <f t="shared" ref="J5:J14" si="1">H5*(B5*E5+C5*F5+D5*G5)</f>
        <v>0</v>
      </c>
      <c r="K5" s="48">
        <f t="shared" ref="K5:K14" si="2">I5*(B5*E5+C5*F5+D5*G5)</f>
        <v>0</v>
      </c>
      <c r="L5" s="42"/>
      <c r="M5" s="42"/>
      <c r="N5" s="42"/>
      <c r="O5" s="42"/>
    </row>
    <row r="6" ht="18.75" customHeight="1">
      <c r="A6" s="46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>Resum!$B$30</f>
        <v>648</v>
      </c>
      <c r="F6" s="42">
        <f>Resum!$B$35</f>
        <v>68</v>
      </c>
      <c r="G6" s="42">
        <f>Resum!$B$40</f>
        <v>0</v>
      </c>
      <c r="H6" s="47">
        <v>7.8</v>
      </c>
      <c r="I6" s="48">
        <v>520.0</v>
      </c>
      <c r="J6" s="47">
        <f t="shared" si="1"/>
        <v>0</v>
      </c>
      <c r="K6" s="48">
        <f t="shared" si="2"/>
        <v>0</v>
      </c>
      <c r="L6" s="42"/>
      <c r="M6" s="42"/>
      <c r="N6" s="42"/>
      <c r="O6" s="42"/>
    </row>
    <row r="7" ht="18.75" customHeight="1">
      <c r="A7" s="46" t="s">
        <v>65</v>
      </c>
      <c r="B7" s="42">
        <f>IF(Resum!$B$29=3,1,0)</f>
        <v>0</v>
      </c>
      <c r="C7" s="42">
        <f>IF(Resum!$B$34=3,1,0)</f>
        <v>1</v>
      </c>
      <c r="D7" s="42">
        <f>IF(Resum!B39=3,1,0)</f>
        <v>0</v>
      </c>
      <c r="E7" s="42">
        <f>Resum!$B$30</f>
        <v>648</v>
      </c>
      <c r="F7" s="42">
        <f>Resum!$B$35</f>
        <v>68</v>
      </c>
      <c r="G7" s="42">
        <f>Resum!$B$40</f>
        <v>0</v>
      </c>
      <c r="H7" s="47">
        <v>9.5</v>
      </c>
      <c r="I7" s="48">
        <v>350.0</v>
      </c>
      <c r="J7" s="47">
        <f t="shared" si="1"/>
        <v>646</v>
      </c>
      <c r="K7" s="48">
        <f t="shared" si="2"/>
        <v>23800</v>
      </c>
      <c r="L7" s="42"/>
      <c r="M7" s="42"/>
      <c r="N7" s="42"/>
      <c r="O7" s="42"/>
    </row>
    <row r="8" ht="18.75" customHeight="1">
      <c r="A8" s="46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>Resum!$B$30</f>
        <v>648</v>
      </c>
      <c r="F8" s="42">
        <f>Resum!$B$35</f>
        <v>68</v>
      </c>
      <c r="G8" s="42">
        <f>Resum!$B$40</f>
        <v>0</v>
      </c>
      <c r="H8" s="47">
        <v>7.0</v>
      </c>
      <c r="I8" s="48">
        <v>250.0</v>
      </c>
      <c r="J8" s="47">
        <f t="shared" si="1"/>
        <v>0</v>
      </c>
      <c r="K8" s="48">
        <f t="shared" si="2"/>
        <v>0</v>
      </c>
      <c r="L8" s="42"/>
      <c r="M8" s="42"/>
      <c r="N8" s="42"/>
      <c r="O8" s="42"/>
    </row>
    <row r="9" ht="18.75" customHeight="1">
      <c r="A9" s="46" t="s">
        <v>67</v>
      </c>
      <c r="B9" s="42">
        <f>IF(Resum!$B$29=5,1,0)</f>
        <v>0</v>
      </c>
      <c r="C9" s="42">
        <f>IF(Resum!$B$34=5,1,0)</f>
        <v>0</v>
      </c>
      <c r="D9" s="42">
        <f>IF(Resum!B39=5,1,0)</f>
        <v>0</v>
      </c>
      <c r="E9" s="42">
        <f>Resum!$B$30</f>
        <v>648</v>
      </c>
      <c r="F9" s="42">
        <f>Resum!$B$35</f>
        <v>68</v>
      </c>
      <c r="G9" s="42">
        <f>Resum!$B$40</f>
        <v>0</v>
      </c>
      <c r="H9" s="47">
        <v>7.1</v>
      </c>
      <c r="I9" s="48">
        <v>360.0</v>
      </c>
      <c r="J9" s="47">
        <f t="shared" si="1"/>
        <v>0</v>
      </c>
      <c r="K9" s="48">
        <f t="shared" si="2"/>
        <v>0</v>
      </c>
      <c r="L9" s="42"/>
      <c r="M9" s="42"/>
      <c r="N9" s="42"/>
      <c r="O9" s="42"/>
    </row>
    <row r="10" ht="18.75" customHeight="1">
      <c r="A10" s="46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>Resum!$B$30</f>
        <v>648</v>
      </c>
      <c r="F10" s="42">
        <f>Resum!$B$35</f>
        <v>68</v>
      </c>
      <c r="G10" s="42">
        <f>Resum!$B$40</f>
        <v>0</v>
      </c>
      <c r="H10" s="47">
        <v>2.2</v>
      </c>
      <c r="I10" s="48">
        <v>310.0</v>
      </c>
      <c r="J10" s="47">
        <f t="shared" si="1"/>
        <v>0</v>
      </c>
      <c r="K10" s="48">
        <f t="shared" si="2"/>
        <v>0</v>
      </c>
      <c r="L10" s="42"/>
      <c r="M10" s="42"/>
      <c r="N10" s="42"/>
      <c r="O10" s="42"/>
    </row>
    <row r="11" ht="18.75" customHeight="1">
      <c r="A11" s="46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>Resum!$B$30</f>
        <v>648</v>
      </c>
      <c r="F11" s="42">
        <f>Resum!$B$35</f>
        <v>68</v>
      </c>
      <c r="G11" s="42">
        <f>Resum!$B$40</f>
        <v>0</v>
      </c>
      <c r="H11" s="47">
        <v>5.8</v>
      </c>
      <c r="I11" s="48">
        <v>195.0</v>
      </c>
      <c r="J11" s="47">
        <f t="shared" si="1"/>
        <v>0</v>
      </c>
      <c r="K11" s="48">
        <f t="shared" si="2"/>
        <v>0</v>
      </c>
      <c r="L11" s="42"/>
      <c r="M11" s="42"/>
      <c r="N11" s="42"/>
      <c r="O11" s="42"/>
    </row>
    <row r="12" ht="18.75" customHeight="1">
      <c r="A12" s="46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>Resum!$B$30</f>
        <v>648</v>
      </c>
      <c r="F12" s="42">
        <f>Resum!$B$35</f>
        <v>68</v>
      </c>
      <c r="G12" s="42">
        <f>Resum!$B$40</f>
        <v>0</v>
      </c>
      <c r="H12" s="47">
        <v>9.0</v>
      </c>
      <c r="I12" s="48">
        <v>372.0</v>
      </c>
      <c r="J12" s="47">
        <f t="shared" si="1"/>
        <v>5832</v>
      </c>
      <c r="K12" s="48">
        <f t="shared" si="2"/>
        <v>241056</v>
      </c>
      <c r="L12" s="42"/>
      <c r="M12" s="42"/>
      <c r="N12" s="42"/>
      <c r="O12" s="42"/>
    </row>
    <row r="13" ht="18.75" customHeight="1">
      <c r="A13" s="46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0</v>
      </c>
      <c r="E13" s="42">
        <f>Resum!$B$30</f>
        <v>648</v>
      </c>
      <c r="F13" s="42">
        <f>Resum!$B$35</f>
        <v>68</v>
      </c>
      <c r="G13" s="42">
        <f>Resum!$B$40</f>
        <v>0</v>
      </c>
      <c r="H13" s="47">
        <v>12.0</v>
      </c>
      <c r="I13" s="48">
        <v>1545.0</v>
      </c>
      <c r="J13" s="47">
        <f t="shared" si="1"/>
        <v>0</v>
      </c>
      <c r="K13" s="48">
        <f t="shared" si="2"/>
        <v>0</v>
      </c>
      <c r="L13" s="42"/>
      <c r="M13" s="42"/>
      <c r="N13" s="42"/>
      <c r="O13" s="42"/>
    </row>
    <row r="14" ht="18.75" customHeight="1">
      <c r="A14" s="46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>Resum!$B$30</f>
        <v>648</v>
      </c>
      <c r="F14" s="42">
        <f>Resum!$B$35</f>
        <v>68</v>
      </c>
      <c r="G14" s="42">
        <f>Resum!$B$40</f>
        <v>0</v>
      </c>
      <c r="H14" s="47">
        <v>8.0</v>
      </c>
      <c r="I14" s="48">
        <v>750.0</v>
      </c>
      <c r="J14" s="47">
        <f t="shared" si="1"/>
        <v>0</v>
      </c>
      <c r="K14" s="48">
        <f t="shared" si="2"/>
        <v>0</v>
      </c>
      <c r="L14" s="42"/>
      <c r="M14" s="42"/>
      <c r="N14" s="42"/>
      <c r="O14" s="42"/>
    </row>
    <row r="15" ht="18.75" customHeight="1">
      <c r="A15" s="45" t="s">
        <v>73</v>
      </c>
      <c r="B15" s="42"/>
      <c r="C15" s="42"/>
      <c r="D15" s="42"/>
      <c r="E15" s="42"/>
      <c r="F15" s="42"/>
      <c r="G15" s="42"/>
      <c r="H15" s="42"/>
      <c r="I15" s="48"/>
      <c r="J15" s="47"/>
      <c r="K15" s="46" t="str">
        <f>IF(I15="","",I15*E15)</f>
        <v/>
      </c>
      <c r="L15" s="45" t="s">
        <v>74</v>
      </c>
      <c r="M15" s="45" t="s">
        <v>75</v>
      </c>
      <c r="N15" s="42"/>
      <c r="O15" s="42"/>
    </row>
    <row r="16" ht="18.75" customHeight="1">
      <c r="A16" s="46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>Resum!$B$32</f>
        <v>18</v>
      </c>
      <c r="F16" s="42">
        <f>Resum!$B$37</f>
        <v>2</v>
      </c>
      <c r="G16" s="42">
        <f>Resum!$B$42</f>
        <v>0</v>
      </c>
      <c r="H16" s="47">
        <v>800.0</v>
      </c>
      <c r="I16" s="48">
        <v>3400.0</v>
      </c>
      <c r="J16" s="47">
        <f t="shared" ref="J16:J21" si="3">H16*(B16*E16+C16*F16+D16*G16)</f>
        <v>0</v>
      </c>
      <c r="K16" s="48">
        <f t="shared" ref="K16:K21" si="4">I16*(B16*E16+C16*F16+D16*G16)</f>
        <v>0</v>
      </c>
      <c r="L16" s="42">
        <v>2.0</v>
      </c>
      <c r="M16" s="42">
        <f t="shared" ref="M16:M21" si="5">L16*(B16*E16+C16*F16+D16*G16)</f>
        <v>0</v>
      </c>
      <c r="N16" s="42"/>
      <c r="O16" s="42"/>
    </row>
    <row r="17" ht="18.75" customHeight="1">
      <c r="A17" s="46" t="s">
        <v>64</v>
      </c>
      <c r="B17" s="42">
        <f>IF(Resum!$B$31=2,1,0)</f>
        <v>0</v>
      </c>
      <c r="C17" s="42">
        <f>IF(Resum!$B$36=2,1,0)</f>
        <v>0</v>
      </c>
      <c r="D17" s="42">
        <f>IF(Resum!B41=2,1,0)</f>
        <v>0</v>
      </c>
      <c r="E17" s="42">
        <f>Resum!$B$32</f>
        <v>18</v>
      </c>
      <c r="F17" s="42">
        <f>Resum!$B$37</f>
        <v>2</v>
      </c>
      <c r="G17" s="42">
        <f>Resum!$B$42</f>
        <v>0</v>
      </c>
      <c r="H17" s="47">
        <v>1200.0</v>
      </c>
      <c r="I17" s="48">
        <v>4600.0</v>
      </c>
      <c r="J17" s="47">
        <f t="shared" si="3"/>
        <v>0</v>
      </c>
      <c r="K17" s="48">
        <f t="shared" si="4"/>
        <v>0</v>
      </c>
      <c r="L17" s="42">
        <v>4.0</v>
      </c>
      <c r="M17" s="42">
        <f t="shared" si="5"/>
        <v>0</v>
      </c>
      <c r="N17" s="42"/>
      <c r="O17" s="42"/>
    </row>
    <row r="18" ht="18.75" customHeight="1">
      <c r="A18" s="46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>Resum!$B$32</f>
        <v>18</v>
      </c>
      <c r="F18" s="42">
        <f>Resum!$B$37</f>
        <v>2</v>
      </c>
      <c r="G18" s="42">
        <f>Resum!$B$42</f>
        <v>0</v>
      </c>
      <c r="H18" s="47">
        <v>1216.0</v>
      </c>
      <c r="I18" s="48">
        <v>5100.0</v>
      </c>
      <c r="J18" s="47">
        <f t="shared" si="3"/>
        <v>0</v>
      </c>
      <c r="K18" s="48">
        <f t="shared" si="4"/>
        <v>0</v>
      </c>
      <c r="L18" s="42">
        <v>4.0</v>
      </c>
      <c r="M18" s="42">
        <f t="shared" si="5"/>
        <v>0</v>
      </c>
      <c r="N18" s="42"/>
      <c r="O18" s="42"/>
    </row>
    <row r="19" ht="18.75" customHeight="1">
      <c r="A19" s="46" t="s">
        <v>66</v>
      </c>
      <c r="B19" s="42">
        <f>IF(Resum!$B$31=4,1,0)</f>
        <v>1</v>
      </c>
      <c r="C19" s="42">
        <f>IF(Resum!$B$36=4,1,0)</f>
        <v>0</v>
      </c>
      <c r="D19" s="42">
        <f>IF(Resum!B41=4,1,0)</f>
        <v>0</v>
      </c>
      <c r="E19" s="42">
        <f>Resum!$B$32</f>
        <v>18</v>
      </c>
      <c r="F19" s="42">
        <f>Resum!$B$37</f>
        <v>2</v>
      </c>
      <c r="G19" s="42">
        <f>Resum!$B$42</f>
        <v>0</v>
      </c>
      <c r="H19" s="47">
        <v>1300.0</v>
      </c>
      <c r="I19" s="48">
        <v>5000.0</v>
      </c>
      <c r="J19" s="47">
        <f t="shared" si="3"/>
        <v>23400</v>
      </c>
      <c r="K19" s="48">
        <f t="shared" si="4"/>
        <v>90000</v>
      </c>
      <c r="L19" s="42">
        <v>4.0</v>
      </c>
      <c r="M19" s="42">
        <f t="shared" si="5"/>
        <v>72</v>
      </c>
      <c r="N19" s="42"/>
      <c r="O19" s="42"/>
    </row>
    <row r="20" ht="18.75" customHeight="1">
      <c r="A20" s="46" t="s">
        <v>67</v>
      </c>
      <c r="B20" s="42">
        <f>IF(Resum!$B$31=5,1,0)</f>
        <v>0</v>
      </c>
      <c r="C20" s="42">
        <f>IF(Resum!$B$36=5,1,0)</f>
        <v>1</v>
      </c>
      <c r="D20" s="42">
        <f>IF(Resum!B41=5,1,0)</f>
        <v>0</v>
      </c>
      <c r="E20" s="42">
        <f>Resum!$B$32</f>
        <v>18</v>
      </c>
      <c r="F20" s="42">
        <f>Resum!$B$37</f>
        <v>2</v>
      </c>
      <c r="G20" s="42">
        <f>Resum!$B$42</f>
        <v>0</v>
      </c>
      <c r="H20" s="47">
        <v>1316.0</v>
      </c>
      <c r="I20" s="48">
        <v>5500.0</v>
      </c>
      <c r="J20" s="47">
        <f t="shared" si="3"/>
        <v>2632</v>
      </c>
      <c r="K20" s="48">
        <f t="shared" si="4"/>
        <v>11000</v>
      </c>
      <c r="L20" s="42">
        <v>4.0</v>
      </c>
      <c r="M20" s="42">
        <f t="shared" si="5"/>
        <v>8</v>
      </c>
      <c r="N20" s="42"/>
      <c r="O20" s="42"/>
    </row>
    <row r="21" ht="18.75" customHeight="1">
      <c r="A21" s="46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0</v>
      </c>
      <c r="E21" s="42">
        <f>Resum!$B$32</f>
        <v>18</v>
      </c>
      <c r="F21" s="42">
        <f>Resum!$B$37</f>
        <v>2</v>
      </c>
      <c r="G21" s="42">
        <f>Resum!$B$42</f>
        <v>0</v>
      </c>
      <c r="H21" s="47">
        <v>1000.0</v>
      </c>
      <c r="I21" s="48">
        <v>2400.0</v>
      </c>
      <c r="J21" s="47">
        <f t="shared" si="3"/>
        <v>0</v>
      </c>
      <c r="K21" s="48">
        <f t="shared" si="4"/>
        <v>0</v>
      </c>
      <c r="L21" s="42">
        <v>4.0</v>
      </c>
      <c r="M21" s="42">
        <f t="shared" si="5"/>
        <v>0</v>
      </c>
      <c r="N21" s="42"/>
      <c r="O21" s="42"/>
    </row>
    <row r="22" ht="18.75" customHeight="1">
      <c r="A22" s="42"/>
      <c r="B22" s="42"/>
      <c r="C22" s="42"/>
      <c r="D22" s="42"/>
      <c r="E22" s="42"/>
      <c r="F22" s="47"/>
      <c r="G22" s="47"/>
      <c r="H22" s="48"/>
      <c r="I22" s="48"/>
      <c r="J22" s="47"/>
      <c r="K22" s="46" t="str">
        <f>IF(I22="","",I22*E22)</f>
        <v/>
      </c>
      <c r="L22" s="42"/>
      <c r="M22" s="42"/>
      <c r="N22" s="42"/>
      <c r="O22" s="42"/>
    </row>
    <row r="23" ht="18.75" customHeight="1">
      <c r="A23" s="42"/>
      <c r="B23" s="42"/>
      <c r="C23" s="42"/>
      <c r="D23" s="42"/>
      <c r="E23" s="42"/>
      <c r="F23" s="42"/>
      <c r="G23" s="42"/>
      <c r="H23" s="48"/>
      <c r="I23" s="48"/>
      <c r="J23" s="47"/>
      <c r="K23" s="48"/>
      <c r="L23" s="42"/>
      <c r="M23" s="42"/>
      <c r="N23" s="42"/>
      <c r="O23" s="42"/>
    </row>
    <row r="24" ht="18.75" customHeight="1">
      <c r="A24" s="43"/>
      <c r="B24" s="49" t="s">
        <v>76</v>
      </c>
      <c r="C24" s="44"/>
      <c r="D24" s="44"/>
      <c r="E24" s="44"/>
      <c r="F24" s="44"/>
      <c r="G24" s="44"/>
      <c r="H24" s="50"/>
      <c r="I24" s="50"/>
      <c r="J24" s="51">
        <f>SUM(J5:J22)/1000</f>
        <v>32.51</v>
      </c>
      <c r="K24" s="52">
        <f>SUM(K5:K22)</f>
        <v>365856</v>
      </c>
      <c r="L24" s="49" t="s">
        <v>77</v>
      </c>
      <c r="M24" s="53">
        <f>SUM(M16:M21)</f>
        <v>80</v>
      </c>
      <c r="N24" s="42"/>
      <c r="O24" s="42"/>
    </row>
    <row r="25" ht="18.75" customHeight="1">
      <c r="A25" s="43"/>
      <c r="B25" s="43"/>
      <c r="C25" s="44"/>
      <c r="D25" s="44"/>
      <c r="E25" s="44"/>
      <c r="F25" s="44"/>
      <c r="G25" s="44"/>
      <c r="H25" s="50"/>
      <c r="I25" s="50"/>
      <c r="J25" s="54"/>
      <c r="K25" s="50"/>
      <c r="L25" s="49" t="s">
        <v>73</v>
      </c>
      <c r="M25" s="55">
        <f>E16+F16+G16</f>
        <v>20</v>
      </c>
      <c r="N25" s="42"/>
      <c r="O25" s="42"/>
    </row>
    <row r="26" ht="18.75" customHeight="1">
      <c r="A26" s="43"/>
      <c r="B26" s="43"/>
      <c r="C26" s="44"/>
      <c r="D26" s="44"/>
      <c r="E26" s="44"/>
      <c r="F26" s="44"/>
      <c r="G26" s="44"/>
      <c r="H26" s="50"/>
      <c r="I26" s="50"/>
      <c r="J26" s="54"/>
      <c r="K26" s="50"/>
      <c r="L26" s="42"/>
      <c r="M26" s="42"/>
      <c r="N26" s="42"/>
      <c r="O26" s="42"/>
    </row>
    <row r="27" ht="18.75" customHeight="1">
      <c r="A27" s="43"/>
      <c r="B27" s="43"/>
      <c r="C27" s="44"/>
      <c r="D27" s="44"/>
      <c r="E27" s="44"/>
      <c r="F27" s="44"/>
      <c r="G27" s="44"/>
      <c r="H27" s="50"/>
      <c r="I27" s="50"/>
      <c r="J27" s="54"/>
      <c r="K27" s="50"/>
      <c r="L27" s="42"/>
      <c r="M27" s="42"/>
      <c r="N27" s="42"/>
      <c r="O27" s="42"/>
    </row>
    <row r="28" ht="18.75" customHeight="1">
      <c r="A28" s="43"/>
      <c r="B28" s="43"/>
      <c r="C28" s="44"/>
      <c r="D28" s="44"/>
      <c r="E28" s="44"/>
      <c r="F28" s="44"/>
      <c r="G28" s="44"/>
      <c r="H28" s="50"/>
      <c r="I28" s="50"/>
      <c r="J28" s="54"/>
      <c r="K28" s="50"/>
      <c r="L28" s="42"/>
      <c r="M28" s="42"/>
      <c r="N28" s="42"/>
      <c r="O28" s="42"/>
    </row>
    <row r="29" ht="18.75" customHeight="1">
      <c r="A29" s="43"/>
      <c r="B29" s="43"/>
      <c r="C29" s="44"/>
      <c r="D29" s="44"/>
      <c r="E29" s="44"/>
      <c r="F29" s="44"/>
      <c r="G29" s="44"/>
      <c r="H29" s="50"/>
      <c r="I29" s="50"/>
      <c r="J29" s="54"/>
      <c r="K29" s="50"/>
      <c r="L29" s="42"/>
      <c r="M29" s="42"/>
      <c r="N29" s="42"/>
      <c r="O29" s="42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7" t="s">
        <v>78</v>
      </c>
      <c r="G1" s="58"/>
      <c r="H1" s="57" t="s">
        <v>79</v>
      </c>
      <c r="I1" s="58"/>
    </row>
    <row r="2" ht="21.75" customHeight="1">
      <c r="A2" s="59" t="s">
        <v>80</v>
      </c>
      <c r="B2" s="58"/>
      <c r="C2" s="60" t="s">
        <v>81</v>
      </c>
      <c r="D2" s="61" t="s">
        <v>82</v>
      </c>
      <c r="E2" s="61" t="s">
        <v>83</v>
      </c>
      <c r="F2" s="61" t="s">
        <v>60</v>
      </c>
      <c r="G2" s="61" t="s">
        <v>8</v>
      </c>
      <c r="H2" s="61" t="s">
        <v>20</v>
      </c>
      <c r="I2" s="61" t="s">
        <v>8</v>
      </c>
    </row>
    <row r="3" ht="21.75" customHeight="1">
      <c r="A3" s="61" t="s">
        <v>84</v>
      </c>
      <c r="B3" s="62">
        <f>Resum!B7</f>
        <v>100</v>
      </c>
      <c r="C3" s="2">
        <f t="shared" ref="C3:C5" si="1">IF($B$6&lt;&gt;0,1,0)</f>
        <v>1</v>
      </c>
      <c r="D3" s="60" t="s">
        <v>85</v>
      </c>
      <c r="E3" s="2">
        <v>16.0</v>
      </c>
      <c r="F3" s="63">
        <v>400.0</v>
      </c>
      <c r="G3" s="64">
        <v>0.7</v>
      </c>
      <c r="H3" s="63">
        <f t="shared" ref="H3:H5" si="2">E3*F3*C3</f>
        <v>6400</v>
      </c>
      <c r="I3" s="64">
        <f t="shared" ref="I3:I15" si="3">G3*E3*C3</f>
        <v>11.2</v>
      </c>
    </row>
    <row r="4" ht="21.75" customHeight="1">
      <c r="A4" s="61" t="s">
        <v>86</v>
      </c>
      <c r="B4" s="65">
        <f>Resum!B4</f>
        <v>42</v>
      </c>
      <c r="C4" s="2">
        <f t="shared" si="1"/>
        <v>1</v>
      </c>
      <c r="D4" s="60" t="s">
        <v>87</v>
      </c>
      <c r="E4" s="2">
        <f>2*E19+B5*2</f>
        <v>10</v>
      </c>
      <c r="F4" s="63">
        <v>6000.0</v>
      </c>
      <c r="G4" s="64">
        <v>150.0</v>
      </c>
      <c r="H4" s="63">
        <f t="shared" si="2"/>
        <v>60000</v>
      </c>
      <c r="I4" s="64">
        <f t="shared" si="3"/>
        <v>1500</v>
      </c>
    </row>
    <row r="5" ht="36.0" customHeight="1">
      <c r="A5" s="61" t="s">
        <v>88</v>
      </c>
      <c r="B5" s="62">
        <f>ROUNDUP('Cabina de discos'!M24/B4,0)</f>
        <v>2</v>
      </c>
      <c r="C5" s="2">
        <f t="shared" si="1"/>
        <v>1</v>
      </c>
      <c r="D5" s="60" t="s">
        <v>89</v>
      </c>
      <c r="E5" s="2">
        <f>(B4-4)*2+E19+2+2</f>
        <v>83</v>
      </c>
      <c r="F5" s="63">
        <v>26.0</v>
      </c>
      <c r="G5" s="64">
        <v>0.0</v>
      </c>
      <c r="H5" s="63">
        <f t="shared" si="2"/>
        <v>2158</v>
      </c>
      <c r="I5" s="64">
        <f t="shared" si="3"/>
        <v>0</v>
      </c>
    </row>
    <row r="6" ht="21.75" customHeight="1">
      <c r="A6" s="61" t="s">
        <v>90</v>
      </c>
      <c r="B6" s="62">
        <f>Resum!B27</f>
        <v>1</v>
      </c>
      <c r="C6" s="2">
        <f t="shared" ref="C6:C7" si="4">IF($B$6=1,1,0)</f>
        <v>1</v>
      </c>
      <c r="D6" s="60" t="s">
        <v>91</v>
      </c>
      <c r="E6" s="2">
        <f>$B$3*2</f>
        <v>200</v>
      </c>
      <c r="F6" s="63">
        <v>1600.0</v>
      </c>
      <c r="G6" s="64">
        <v>6.2</v>
      </c>
      <c r="H6" s="63">
        <f t="shared" ref="H6:H15" si="5">C6*E6*F6</f>
        <v>320000</v>
      </c>
      <c r="I6" s="64">
        <f t="shared" si="3"/>
        <v>1240</v>
      </c>
    </row>
    <row r="7" ht="21.75" customHeight="1">
      <c r="A7" s="2"/>
      <c r="B7" s="2"/>
      <c r="C7" s="2">
        <f t="shared" si="4"/>
        <v>1</v>
      </c>
      <c r="D7" s="60" t="s">
        <v>92</v>
      </c>
      <c r="E7" s="2">
        <v>2.0</v>
      </c>
      <c r="F7" s="63">
        <v>12800.0</v>
      </c>
      <c r="G7" s="64">
        <v>600.0</v>
      </c>
      <c r="H7" s="63">
        <f t="shared" si="5"/>
        <v>25600</v>
      </c>
      <c r="I7" s="64">
        <f t="shared" si="3"/>
        <v>1200</v>
      </c>
    </row>
    <row r="8" ht="21.75" customHeight="1">
      <c r="A8" s="2"/>
      <c r="B8" s="2"/>
      <c r="C8" s="2">
        <f t="shared" ref="C8:C9" si="6">IF($B$6=2,1,0)</f>
        <v>0</v>
      </c>
      <c r="D8" s="60" t="s">
        <v>93</v>
      </c>
      <c r="E8" s="2">
        <f>$B$3*2</f>
        <v>200</v>
      </c>
      <c r="F8" s="63">
        <v>2800.0</v>
      </c>
      <c r="G8" s="64">
        <v>10.2</v>
      </c>
      <c r="H8" s="63">
        <f t="shared" si="5"/>
        <v>0</v>
      </c>
      <c r="I8" s="64">
        <f t="shared" si="3"/>
        <v>0</v>
      </c>
    </row>
    <row r="9" ht="21.75" customHeight="1">
      <c r="A9" s="2"/>
      <c r="B9" s="2"/>
      <c r="C9" s="2">
        <f t="shared" si="6"/>
        <v>0</v>
      </c>
      <c r="D9" s="60" t="s">
        <v>94</v>
      </c>
      <c r="E9" s="2">
        <v>2.0</v>
      </c>
      <c r="F9" s="63">
        <v>30000.0</v>
      </c>
      <c r="G9" s="64">
        <v>1800.0</v>
      </c>
      <c r="H9" s="63">
        <f t="shared" si="5"/>
        <v>0</v>
      </c>
      <c r="I9" s="64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60" t="s">
        <v>95</v>
      </c>
      <c r="E10" s="2">
        <f>$B$3*2</f>
        <v>200</v>
      </c>
      <c r="F10" s="63">
        <v>4200.0</v>
      </c>
      <c r="G10" s="64">
        <v>18.5</v>
      </c>
      <c r="H10" s="63">
        <f t="shared" si="5"/>
        <v>0</v>
      </c>
      <c r="I10" s="64">
        <f t="shared" si="3"/>
        <v>0</v>
      </c>
    </row>
    <row r="11" ht="21.75" customHeight="1">
      <c r="A11" s="2"/>
      <c r="B11" s="2"/>
      <c r="C11" s="2">
        <f t="shared" si="7"/>
        <v>0</v>
      </c>
      <c r="D11" s="60" t="s">
        <v>96</v>
      </c>
      <c r="E11" s="2">
        <v>2.0</v>
      </c>
      <c r="F11" s="63">
        <v>72200.0</v>
      </c>
      <c r="G11" s="64">
        <v>3500.0</v>
      </c>
      <c r="H11" s="63">
        <f t="shared" si="5"/>
        <v>0</v>
      </c>
      <c r="I11" s="64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0" t="s">
        <v>97</v>
      </c>
      <c r="E12" s="2">
        <f>$B$3*2</f>
        <v>200</v>
      </c>
      <c r="F12" s="63">
        <v>7000.0</v>
      </c>
      <c r="G12" s="64">
        <v>24.5</v>
      </c>
      <c r="H12" s="63">
        <f t="shared" si="5"/>
        <v>0</v>
      </c>
      <c r="I12" s="64">
        <f t="shared" si="3"/>
        <v>0</v>
      </c>
    </row>
    <row r="13" ht="21.75" customHeight="1">
      <c r="A13" s="2"/>
      <c r="B13" s="2"/>
      <c r="C13" s="2">
        <f t="shared" si="8"/>
        <v>0</v>
      </c>
      <c r="D13" s="60" t="s">
        <v>98</v>
      </c>
      <c r="E13" s="2">
        <v>2.0</v>
      </c>
      <c r="F13" s="63">
        <v>122200.0</v>
      </c>
      <c r="G13" s="64">
        <v>4600.0</v>
      </c>
      <c r="H13" s="63">
        <f t="shared" si="5"/>
        <v>0</v>
      </c>
      <c r="I13" s="64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0" t="s">
        <v>99</v>
      </c>
      <c r="E14" s="2">
        <f>$B$3*2</f>
        <v>200</v>
      </c>
      <c r="F14" s="63">
        <v>11200.0</v>
      </c>
      <c r="G14" s="64">
        <v>30.5</v>
      </c>
      <c r="H14" s="63">
        <f t="shared" si="5"/>
        <v>0</v>
      </c>
      <c r="I14" s="64">
        <f t="shared" si="3"/>
        <v>0</v>
      </c>
    </row>
    <row r="15" ht="21.75" customHeight="1">
      <c r="A15" s="2"/>
      <c r="B15" s="2"/>
      <c r="C15" s="2">
        <f t="shared" si="9"/>
        <v>0</v>
      </c>
      <c r="D15" s="60" t="s">
        <v>100</v>
      </c>
      <c r="E15" s="2">
        <v>2.0</v>
      </c>
      <c r="F15" s="63">
        <v>150000.0</v>
      </c>
      <c r="G15" s="64">
        <v>5500.0</v>
      </c>
      <c r="H15" s="63">
        <f t="shared" si="5"/>
        <v>0</v>
      </c>
      <c r="I15" s="64">
        <f t="shared" si="3"/>
        <v>0</v>
      </c>
    </row>
    <row r="16" ht="21.75" customHeight="1">
      <c r="A16" s="2"/>
      <c r="B16" s="2"/>
      <c r="C16" s="2"/>
      <c r="D16" s="60"/>
      <c r="E16" s="2"/>
      <c r="F16" s="63"/>
      <c r="G16" s="64"/>
      <c r="H16" s="63"/>
      <c r="I16" s="64"/>
    </row>
    <row r="17" ht="21.75" customHeight="1">
      <c r="A17" s="59" t="s">
        <v>101</v>
      </c>
      <c r="B17" s="58"/>
      <c r="C17" s="2"/>
      <c r="D17" s="66" t="s">
        <v>102</v>
      </c>
      <c r="E17" s="67"/>
      <c r="F17" s="67"/>
      <c r="G17" s="58"/>
      <c r="H17" s="63">
        <f t="shared" ref="H17:I17" si="10">SUM(H3:H16)</f>
        <v>414158</v>
      </c>
      <c r="I17" s="64">
        <f t="shared" si="10"/>
        <v>3951.2</v>
      </c>
    </row>
    <row r="18" ht="21.75" customHeight="1">
      <c r="A18" s="61" t="s">
        <v>103</v>
      </c>
      <c r="B18" s="68">
        <f>H17</f>
        <v>414158</v>
      </c>
      <c r="C18" s="2"/>
      <c r="D18" s="2"/>
      <c r="E18" s="2"/>
      <c r="F18" s="69"/>
      <c r="G18" s="64"/>
      <c r="H18" s="2"/>
      <c r="I18" s="64"/>
    </row>
    <row r="19" ht="21.75" customHeight="1">
      <c r="A19" s="61" t="s">
        <v>8</v>
      </c>
      <c r="B19" s="70">
        <f>I17/1000</f>
        <v>3.9512</v>
      </c>
      <c r="C19" s="2"/>
      <c r="D19" s="60" t="s">
        <v>104</v>
      </c>
      <c r="E19" s="2">
        <f>MROUND(B3/(B4-4),1)</f>
        <v>3</v>
      </c>
      <c r="F19" s="2"/>
      <c r="G19" s="2"/>
      <c r="H19" s="2"/>
      <c r="I19" s="2"/>
    </row>
    <row r="20" ht="19.5" customHeight="1">
      <c r="A20" s="41"/>
      <c r="B20" s="41"/>
      <c r="C20" s="41"/>
      <c r="D20" s="41"/>
      <c r="E20" s="41"/>
      <c r="F20" s="41"/>
      <c r="G20" s="41"/>
      <c r="H20" s="41"/>
      <c r="I20" s="41"/>
    </row>
    <row r="21" ht="19.5" customHeight="1">
      <c r="A21" s="41"/>
      <c r="B21" s="41"/>
      <c r="C21" s="41"/>
      <c r="D21" s="41"/>
      <c r="E21" s="41"/>
      <c r="F21" s="41"/>
      <c r="G21" s="41"/>
      <c r="H21" s="41"/>
      <c r="I21" s="41"/>
    </row>
    <row r="22" ht="19.5" customHeight="1">
      <c r="A22" s="41"/>
      <c r="B22" s="41"/>
      <c r="C22" s="41"/>
      <c r="D22" s="41"/>
      <c r="E22" s="41"/>
      <c r="F22" s="41"/>
      <c r="G22" s="41"/>
      <c r="H22" s="41"/>
      <c r="I22" s="41"/>
    </row>
    <row r="23" ht="19.5" customHeight="1">
      <c r="A23" s="41"/>
      <c r="B23" s="41"/>
      <c r="C23" s="41"/>
      <c r="D23" s="41"/>
      <c r="E23" s="41"/>
      <c r="F23" s="41"/>
      <c r="G23" s="41"/>
      <c r="H23" s="41"/>
      <c r="I23" s="41"/>
    </row>
    <row r="24" ht="19.5" customHeight="1">
      <c r="A24" s="41"/>
      <c r="B24" s="41"/>
      <c r="C24" s="41"/>
      <c r="D24" s="41"/>
      <c r="E24" s="41"/>
      <c r="F24" s="41"/>
      <c r="G24" s="41"/>
      <c r="H24" s="41"/>
      <c r="I24" s="41"/>
    </row>
    <row r="25" ht="19.5" customHeight="1">
      <c r="A25" s="41"/>
      <c r="B25" s="41"/>
      <c r="C25" s="41"/>
      <c r="D25" s="41"/>
      <c r="E25" s="41"/>
      <c r="F25" s="41"/>
      <c r="G25" s="41"/>
      <c r="H25" s="41"/>
      <c r="I25" s="41"/>
    </row>
    <row r="26" ht="19.5" customHeight="1">
      <c r="A26" s="41"/>
      <c r="B26" s="41"/>
      <c r="C26" s="41"/>
      <c r="D26" s="41"/>
      <c r="E26" s="41"/>
      <c r="F26" s="41"/>
      <c r="G26" s="41"/>
      <c r="H26" s="41"/>
      <c r="I26" s="41"/>
    </row>
    <row r="27" ht="19.5" customHeight="1">
      <c r="A27" s="41"/>
      <c r="B27" s="41"/>
      <c r="C27" s="41"/>
      <c r="D27" s="41"/>
      <c r="E27" s="41"/>
      <c r="F27" s="41"/>
      <c r="G27" s="41"/>
      <c r="H27" s="41"/>
      <c r="I27" s="41"/>
    </row>
    <row r="28" ht="19.5" customHeight="1">
      <c r="A28" s="41"/>
      <c r="B28" s="41"/>
      <c r="C28" s="41"/>
      <c r="D28" s="41"/>
      <c r="E28" s="41"/>
      <c r="F28" s="41"/>
      <c r="G28" s="41"/>
      <c r="H28" s="41"/>
      <c r="I28" s="41"/>
    </row>
    <row r="29" ht="19.5" customHeight="1">
      <c r="A29" s="41"/>
      <c r="B29" s="41"/>
      <c r="C29" s="41"/>
      <c r="D29" s="41"/>
      <c r="E29" s="41"/>
      <c r="F29" s="41"/>
      <c r="G29" s="41"/>
      <c r="H29" s="41"/>
      <c r="I29" s="41"/>
    </row>
    <row r="30" ht="19.5" customHeight="1">
      <c r="A30" s="41"/>
      <c r="B30" s="41"/>
      <c r="C30" s="41"/>
      <c r="D30" s="41"/>
      <c r="E30" s="41"/>
      <c r="F30" s="41"/>
      <c r="G30" s="41"/>
      <c r="H30" s="41"/>
      <c r="I30" s="41"/>
    </row>
    <row r="31" ht="19.5" customHeight="1">
      <c r="A31" s="41"/>
      <c r="B31" s="41"/>
      <c r="C31" s="41"/>
      <c r="D31" s="41"/>
      <c r="E31" s="41"/>
      <c r="F31" s="41"/>
      <c r="G31" s="41"/>
      <c r="H31" s="41"/>
      <c r="I31" s="41"/>
    </row>
    <row r="32" ht="19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ht="19.5" customHeight="1">
      <c r="A33" s="41"/>
      <c r="B33" s="41"/>
      <c r="C33" s="41"/>
      <c r="D33" s="41"/>
      <c r="E33" s="41"/>
      <c r="F33" s="41"/>
      <c r="G33" s="41"/>
      <c r="H33" s="41"/>
      <c r="I33" s="41"/>
    </row>
    <row r="34" ht="19.5" customHeight="1">
      <c r="A34" s="41"/>
      <c r="B34" s="41"/>
      <c r="C34" s="41"/>
      <c r="D34" s="41"/>
      <c r="E34" s="41"/>
      <c r="F34" s="41"/>
      <c r="G34" s="41"/>
      <c r="H34" s="41"/>
      <c r="I34" s="41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</row>
    <row r="36" ht="19.5" customHeight="1">
      <c r="A36" s="41"/>
      <c r="B36" s="41"/>
      <c r="C36" s="41"/>
      <c r="D36" s="41"/>
      <c r="E36" s="41"/>
      <c r="F36" s="41"/>
      <c r="G36" s="41"/>
      <c r="H36" s="41"/>
      <c r="I36" s="41"/>
    </row>
    <row r="37" ht="19.5" customHeight="1">
      <c r="A37" s="41"/>
      <c r="B37" s="41"/>
      <c r="C37" s="41"/>
      <c r="D37" s="41"/>
      <c r="E37" s="41"/>
      <c r="F37" s="41"/>
      <c r="G37" s="41"/>
      <c r="H37" s="41"/>
      <c r="I37" s="41"/>
    </row>
    <row r="38" ht="19.5" customHeight="1">
      <c r="A38" s="41"/>
      <c r="B38" s="41"/>
      <c r="C38" s="41"/>
      <c r="D38" s="41"/>
      <c r="E38" s="41"/>
      <c r="F38" s="41"/>
      <c r="G38" s="41"/>
      <c r="H38" s="41"/>
      <c r="I38" s="41"/>
    </row>
    <row r="39" ht="19.5" customHeight="1">
      <c r="A39" s="41"/>
      <c r="B39" s="41"/>
      <c r="C39" s="41"/>
      <c r="D39" s="41"/>
      <c r="E39" s="41"/>
      <c r="F39" s="41"/>
      <c r="G39" s="41"/>
      <c r="H39" s="41"/>
      <c r="I39" s="41"/>
    </row>
    <row r="40" ht="19.5" customHeight="1">
      <c r="A40" s="41"/>
      <c r="B40" s="41"/>
      <c r="C40" s="41"/>
      <c r="D40" s="41"/>
      <c r="E40" s="41"/>
      <c r="F40" s="41"/>
      <c r="G40" s="41"/>
      <c r="H40" s="41"/>
      <c r="I40" s="41"/>
    </row>
    <row r="41" ht="19.5" customHeight="1">
      <c r="A41" s="41"/>
      <c r="B41" s="41"/>
      <c r="C41" s="41"/>
      <c r="D41" s="41"/>
      <c r="E41" s="41"/>
      <c r="F41" s="41"/>
      <c r="G41" s="41"/>
      <c r="H41" s="41"/>
      <c r="I41" s="41"/>
    </row>
    <row r="42" ht="19.5" customHeight="1">
      <c r="A42" s="41"/>
      <c r="B42" s="41"/>
      <c r="C42" s="41"/>
      <c r="D42" s="41"/>
      <c r="E42" s="41"/>
      <c r="F42" s="41"/>
      <c r="G42" s="41"/>
      <c r="H42" s="41"/>
      <c r="I42" s="41"/>
    </row>
    <row r="43" ht="19.5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9.5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9.5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9.5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9.5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9.5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9.5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9.5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9.5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9.5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9.5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9.5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9.5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9.5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9.5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9.5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9.5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9.5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9.5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9.5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9.5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9.5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9.5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9.5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9.5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9.5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9.5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9.5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9.5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9.5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9.5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9.5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9.5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9.5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9.5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9.5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9.5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9.5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9.5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9.5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9.5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9.5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9.5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9.5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9.5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9.5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9.5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9.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9.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9.5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9.5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9.5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9.5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9.5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9.5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9.5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9.5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9.5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9.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9.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9.5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9.5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9.5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9.5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9.5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9.5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9.5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9.5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9.5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9.5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9.5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9.5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9.5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9.5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9.5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9.5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9.5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9.5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9.5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9.5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9.5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9.5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9.5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9.5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9.5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9.5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9.5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9.5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9.5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9.5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9.5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9.5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9.5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9.5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9.5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9.5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9.5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9.5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9.5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9.5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9.5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9.5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9.5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9.5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9.5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9.5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9.5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9.5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9.5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9.5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9.5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9.5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9.5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9.5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9.5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9.5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9.5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9.5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9.5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9.5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9.5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9.5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9.5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9.5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9.5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9.5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9.5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9.5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9.5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9.5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9.5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9.5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9.5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9.5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9.5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9.5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9.5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9.5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9.5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9.5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9.5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9.5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9.5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9.5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9.5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9.5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9.5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9.5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9.5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9.5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9.5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9.5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9.5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9.5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9.5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9.5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9.5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9.5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9.5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9.5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9.5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9.5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9.5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9.5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9.5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9.5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9.5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9.5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9.5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9.5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9.5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9.5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9.5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9.5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9.5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9.5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9.5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9.5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9.5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9.5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9.5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9.5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9.5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9.5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9.5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9.5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9.5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9.5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9.5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9.5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9.5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9.5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9.5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9.5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9.5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9.5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9.5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9.5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9.5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9.5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9.5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9.5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9.5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9.5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9.5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9.5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9.5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9.5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9.5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9.5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9.5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9.5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9.5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9.5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9.5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9.5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9.5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9.5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9.5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9.5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9.5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9.5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9.5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9.5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9.5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9.5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9.5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9.5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9.5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9.5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9.5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9.5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9.5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9.5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9.5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9.5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9.5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9.5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9.5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9.5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9.5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9.5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9.5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9.5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9.5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9.5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9.5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9.5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9.5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9.5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9.5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9.5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9.5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9.5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9.5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9.5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9.5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9.5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9.5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9.5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9.5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9.5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9.5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9.5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9.5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9.5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9.5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9.5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9.5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9.5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9.5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9.5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9.5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9.5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9.5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9.5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9.5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9.5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9.5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9.5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9.5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9.5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9.5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9.5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9.5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9.5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9.5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9.5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9.5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9.5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9.5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9.5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9.5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9.5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9.5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9.5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9.5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9.5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9.5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9.5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9.5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9.5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9.5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9.5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9.5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9.5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9.5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9.5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9.5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9.5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9.5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9.5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9.5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9.5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9.5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9.5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9.5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9.5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9.5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9.5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9.5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9.5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9.5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9.5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9.5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9.5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9.5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9.5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9.5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9.5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9.5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9.5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9.5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9.5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9.5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9.5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9.5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9.5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9.5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9.5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9.5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9.5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9.5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9.5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9.5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9.5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9.5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9.5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9.5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9.5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9.5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9.5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9.5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9.5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9.5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9.5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9.5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9.5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9.5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9.5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9.5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9.5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9.5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9.5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9.5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9.5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9.5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9.5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9.5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9.5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9.5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9.5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9.5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9.5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9.5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9.5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9.5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9.5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9.5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9.5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9.5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9.5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9.5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9.5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9.5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9.5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9.5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9.5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9.5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9.5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9.5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9.5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9.5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9.5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9.5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9.5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9.5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9.5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9.5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9.5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9.5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9.5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9.5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9.5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9.5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9.5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9.5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9.5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9.5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9.5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9.5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9.5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9.5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9.5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9.5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9.5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9.5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9.5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9.5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9.5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9.5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9.5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9.5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9.5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9.5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9.5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9.5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9.5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9.5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9.5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9.5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9.5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9.5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9.5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9.5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9.5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9.5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9.5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9.5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9.5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9.5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9.5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9.5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9.5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9.5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9.5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9.5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9.5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9.5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9.5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9.5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9.5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9.5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9.5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9.5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9.5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9.5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9.5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9.5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9.5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9.5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9.5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9.5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9.5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9.5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9.5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9.5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9.5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9.5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9.5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9.5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9.5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9.5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9.5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9.5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9.5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9.5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9.5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9.5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9.5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9.5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9.5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9.5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9.5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9.5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9.5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9.5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9.5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9.5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9.5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9.5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9.5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9.5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9.5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9.5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9.5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9.5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9.5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9.5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9.5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9.5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9.5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9.5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9.5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9.5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9.5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9.5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9.5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9.5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9.5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9.5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9.5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9.5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9.5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9.5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9.5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9.5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9.5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9.5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9.5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9.5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9.5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9.5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9.5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9.5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9.5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9.5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9.5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9.5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9.5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9.5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9.5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9.5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9.5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9.5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9.5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9.5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9.5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9.5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9.5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9.5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9.5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9.5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9.5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9.5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9.5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9.5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9.5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9.5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9.5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9.5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9.5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9.5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9.5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9.5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9.5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9.5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9.5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9.5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9.5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9.5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9.5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9.5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9.5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9.5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9.5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9.5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9.5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9.5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9.5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9.5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9.5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9.5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9.5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9.5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9.5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9.5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9.5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9.5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9.5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9.5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9.5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9.5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9.5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9.5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9.5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9.5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9.5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9.5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9.5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9.5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9.5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9.5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9.5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9.5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9.5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9.5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9.5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9.5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9.5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9.5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9.5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9.5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9.5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9.5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9.5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9.5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9.5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9.5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9.5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9.5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9.5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9.5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9.5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9.5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9.5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9.5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9.5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9.5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9.5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9.5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9.5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9.5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9.5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9.5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9.5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9.5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9.5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9.5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9.5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9.5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9.5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9.5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9.5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9.5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9.5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9.5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9.5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9.5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9.5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9.5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9.5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9.5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9.5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9.5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9.5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9.5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9.5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9.5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9.5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9.5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9.5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9.5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9.5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9.5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9.5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9.5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9.5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9.5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9.5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9.5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9.5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9.5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9.5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9.5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9.5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9.5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9.5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9.5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9.5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9.5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9.5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9.5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9.5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9.5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9.5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9.5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9.5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9.5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9.5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9.5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9.5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9.5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9.5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9.5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9.5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9.5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9.5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9.5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9.5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9.5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9.5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9.5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9.5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9.5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9.5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9.5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9.5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9.5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9.5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9.5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9.5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9.5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9.5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9.5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9.5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9.5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9.5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9.5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9.5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9.5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9.5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9.5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9.5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9.5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9.5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9.5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9.5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9.5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9.5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9.5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9.5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9.5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9.5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9.5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9.5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9.5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9.5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9.5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9.5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9.5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9.5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9.5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9.5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9.5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9.5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9.5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9.5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9.5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9.5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9.5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9.5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9.5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9.5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9.5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9.5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9.5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9.5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9.5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9.5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9.5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9.5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9.5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9.5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9.5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9.5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9.5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9.5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9.5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9.5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9.5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9.5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9.5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9.5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9.5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9.5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9.5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9.5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9.5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9.5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9.5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9.5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9.5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9.5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9.5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9.5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9.5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9.5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9.5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9.5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9.5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9.5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9.5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9.5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9.5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9.5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9.5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9.5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9.5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9.5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9.5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9.5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9.5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9.5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9.5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9.5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9.5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9.5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9.5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9.5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9.5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9.5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9.5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9.5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9.5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9.5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9.5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9.5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9.5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9.5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9.5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9.5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9.5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9.5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9.5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9.5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9.5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9.5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9.5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9.5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9.5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9.5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9.5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9.5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9.5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9.5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9.5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9.5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9.5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9.5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9.5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9.5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9.5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9.5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9.5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9.5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9.5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9.5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9.5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9.5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9.5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9.5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9.5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9.5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9.5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9.5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9.5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9.5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9.5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9.5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9.5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9.5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9.5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9.5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9.5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9.5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9.5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9.5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9.5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9.5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9.5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9.5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9.5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9.5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9.5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9.5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9.5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9.5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9.5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9.5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9.5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9.5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9.5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9.5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9.5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9.5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9.5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9.5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9.5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9.5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9.5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9.5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9.5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9.5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9.5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9.5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9.5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9.5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9.5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9.5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9.5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9.5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9.5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9.5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9.5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9.5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9.5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9.5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9.5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9.5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9.5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9.5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9.5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9.5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9.5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9.5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9.5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9.5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9.5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9.5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9.5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9.5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9.5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9.5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9.5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9.5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9.5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9.5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9.5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9.5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9.5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9.5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9.5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9.5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9.5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9.5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9.5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9.5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9.5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9.5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9.5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9.5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9.5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9.5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9.5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9.5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9.5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9.5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9.5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9.5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9.5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9.5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9.5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9.5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9.5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9.5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9.5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9.5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9.5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9.5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9.5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9.5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9.5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9.5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9.5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9.5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9.5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9.5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.0" customHeight="1">
      <c r="A2" s="72" t="s">
        <v>105</v>
      </c>
      <c r="B2" s="73"/>
      <c r="C2" s="73"/>
      <c r="D2" s="73"/>
      <c r="E2" s="73"/>
      <c r="F2" s="73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0" customHeight="1">
      <c r="A3" s="75" t="s">
        <v>106</v>
      </c>
      <c r="B3" s="76"/>
      <c r="C3" s="76"/>
      <c r="D3" s="76"/>
      <c r="E3" s="76"/>
      <c r="F3" s="76"/>
      <c r="G3" s="7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8.75" customHeight="1">
      <c r="A4" s="78"/>
      <c r="B4" s="79" t="s">
        <v>107</v>
      </c>
      <c r="C4" s="80"/>
      <c r="D4" s="80"/>
      <c r="E4" s="80"/>
      <c r="F4" s="80"/>
      <c r="G4" s="81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1"/>
    </row>
    <row r="5" ht="18.75" customHeight="1">
      <c r="A5" s="84"/>
      <c r="B5" s="85" t="s">
        <v>108</v>
      </c>
      <c r="C5" s="85" t="s">
        <v>109</v>
      </c>
      <c r="D5" s="85" t="s">
        <v>110</v>
      </c>
      <c r="E5" s="85" t="s">
        <v>111</v>
      </c>
      <c r="F5" s="85" t="s">
        <v>112</v>
      </c>
      <c r="G5" s="85" t="s">
        <v>113</v>
      </c>
      <c r="H5" s="86"/>
      <c r="I5" s="87" t="s">
        <v>114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2"/>
    </row>
    <row r="6" ht="18.0" customHeight="1">
      <c r="A6" s="88" t="s">
        <v>115</v>
      </c>
      <c r="B6" s="89">
        <v>17.683102</v>
      </c>
      <c r="C6" s="89">
        <v>8.849205</v>
      </c>
      <c r="D6" s="89">
        <v>6.476148</v>
      </c>
      <c r="E6" s="89">
        <v>6.476148</v>
      </c>
      <c r="F6" s="89">
        <v>6.476148</v>
      </c>
      <c r="G6" s="89">
        <v>2.954837</v>
      </c>
      <c r="H6" s="86"/>
      <c r="I6" s="84"/>
      <c r="J6" s="87" t="s">
        <v>108</v>
      </c>
      <c r="K6" s="87" t="s">
        <v>109</v>
      </c>
      <c r="L6" s="87" t="s">
        <v>110</v>
      </c>
      <c r="M6" s="87" t="s">
        <v>111</v>
      </c>
      <c r="N6" s="87" t="s">
        <v>112</v>
      </c>
      <c r="O6" s="87" t="s">
        <v>113</v>
      </c>
      <c r="P6" s="87" t="s">
        <v>116</v>
      </c>
      <c r="Q6" s="87" t="s">
        <v>117</v>
      </c>
      <c r="R6" s="87" t="s">
        <v>118</v>
      </c>
      <c r="S6" s="87" t="s">
        <v>119</v>
      </c>
      <c r="T6" s="82"/>
    </row>
    <row r="7" ht="18.0" customHeight="1">
      <c r="A7" s="88" t="s">
        <v>120</v>
      </c>
      <c r="B7" s="89">
        <v>0.075697</v>
      </c>
      <c r="C7" s="89">
        <v>0.056532</v>
      </c>
      <c r="D7" s="89">
        <v>0.030124</v>
      </c>
      <c r="E7" s="89">
        <v>0.014992</v>
      </c>
      <c r="F7" s="89">
        <v>0.009682</v>
      </c>
      <c r="G7" s="89">
        <v>0.006062</v>
      </c>
      <c r="H7" s="86"/>
      <c r="I7" s="87" t="s">
        <v>121</v>
      </c>
      <c r="J7" s="90">
        <v>6.0</v>
      </c>
      <c r="K7" s="84">
        <v>10.0</v>
      </c>
      <c r="L7" s="84">
        <v>0.0</v>
      </c>
      <c r="M7" s="84">
        <v>0.0</v>
      </c>
      <c r="N7" s="84">
        <v>0.0</v>
      </c>
      <c r="O7" s="84">
        <v>8.0</v>
      </c>
      <c r="P7" s="84">
        <v>23.0</v>
      </c>
      <c r="Q7" s="84">
        <v>8.0</v>
      </c>
      <c r="R7" s="84">
        <f t="shared" ref="R7:R20" si="1">P7+Q7</f>
        <v>31</v>
      </c>
      <c r="S7" s="91">
        <f t="shared" ref="S7:S19" si="2">R7*24</f>
        <v>744</v>
      </c>
      <c r="T7" s="82"/>
    </row>
    <row r="8" ht="18.75" customHeight="1">
      <c r="A8" s="92"/>
      <c r="B8" s="93"/>
      <c r="C8" s="92"/>
      <c r="D8" s="92"/>
      <c r="E8" s="92"/>
      <c r="F8" s="92"/>
      <c r="G8" s="94"/>
      <c r="H8" s="95"/>
      <c r="I8" s="87" t="s">
        <v>122</v>
      </c>
      <c r="J8" s="84">
        <v>6.0</v>
      </c>
      <c r="K8" s="84">
        <v>10.0</v>
      </c>
      <c r="L8" s="84">
        <v>0.0</v>
      </c>
      <c r="M8" s="84">
        <v>0.0</v>
      </c>
      <c r="N8" s="84">
        <v>0.0</v>
      </c>
      <c r="O8" s="84">
        <v>8.0</v>
      </c>
      <c r="P8" s="84">
        <v>20.0</v>
      </c>
      <c r="Q8" s="84">
        <v>8.0</v>
      </c>
      <c r="R8" s="84">
        <f t="shared" si="1"/>
        <v>28</v>
      </c>
      <c r="S8" s="91">
        <f t="shared" si="2"/>
        <v>672</v>
      </c>
      <c r="T8" s="82"/>
    </row>
    <row r="9" ht="18.75" customHeight="1">
      <c r="A9" s="96" t="s">
        <v>123</v>
      </c>
      <c r="B9" s="97">
        <f>Resum!B6</f>
        <v>0.06</v>
      </c>
      <c r="C9" s="98" t="s">
        <v>124</v>
      </c>
      <c r="D9" s="42"/>
      <c r="E9" s="42"/>
      <c r="F9" s="42"/>
      <c r="G9" s="99"/>
      <c r="H9" s="95"/>
      <c r="I9" s="87" t="s">
        <v>125</v>
      </c>
      <c r="J9" s="84">
        <v>0.0</v>
      </c>
      <c r="K9" s="84">
        <v>0.0</v>
      </c>
      <c r="L9" s="84">
        <v>6.0</v>
      </c>
      <c r="M9" s="84">
        <v>10.0</v>
      </c>
      <c r="N9" s="84">
        <v>0.0</v>
      </c>
      <c r="O9" s="84">
        <v>8.0</v>
      </c>
      <c r="P9" s="84">
        <v>23.0</v>
      </c>
      <c r="Q9" s="84">
        <v>8.0</v>
      </c>
      <c r="R9" s="84">
        <f t="shared" si="1"/>
        <v>31</v>
      </c>
      <c r="S9" s="91">
        <f t="shared" si="2"/>
        <v>744</v>
      </c>
      <c r="T9" s="82"/>
    </row>
    <row r="10" ht="18.75" customHeight="1">
      <c r="A10" s="88" t="s">
        <v>126</v>
      </c>
      <c r="B10" s="100">
        <f>Resum!B5+'Cabina de discos'!J24+SAN!B19+Backup!H29</f>
        <v>387.9612</v>
      </c>
      <c r="C10" s="98" t="s">
        <v>127</v>
      </c>
      <c r="D10" s="42"/>
      <c r="E10" s="42"/>
      <c r="F10" s="42"/>
      <c r="G10" s="99"/>
      <c r="H10" s="95"/>
      <c r="I10" s="87" t="s">
        <v>128</v>
      </c>
      <c r="J10" s="84">
        <v>0.0</v>
      </c>
      <c r="K10" s="84">
        <v>0.0</v>
      </c>
      <c r="L10" s="84">
        <v>0.0</v>
      </c>
      <c r="M10" s="84">
        <v>0.0</v>
      </c>
      <c r="N10" s="84">
        <v>16.0</v>
      </c>
      <c r="O10" s="84">
        <v>8.0</v>
      </c>
      <c r="P10" s="84">
        <v>22.0</v>
      </c>
      <c r="Q10" s="84">
        <v>8.0</v>
      </c>
      <c r="R10" s="84">
        <f t="shared" si="1"/>
        <v>30</v>
      </c>
      <c r="S10" s="91">
        <f t="shared" si="2"/>
        <v>720</v>
      </c>
      <c r="T10" s="82"/>
    </row>
    <row r="11" ht="18.75" customHeight="1">
      <c r="A11" s="101"/>
      <c r="B11" s="101"/>
      <c r="C11" s="42"/>
      <c r="D11" s="42"/>
      <c r="E11" s="42"/>
      <c r="F11" s="42"/>
      <c r="G11" s="99"/>
      <c r="H11" s="95"/>
      <c r="I11" s="87" t="s">
        <v>129</v>
      </c>
      <c r="J11" s="84">
        <v>0.0</v>
      </c>
      <c r="K11" s="84">
        <v>0.0</v>
      </c>
      <c r="L11" s="84">
        <v>0.0</v>
      </c>
      <c r="M11" s="84">
        <v>0.0</v>
      </c>
      <c r="N11" s="84">
        <v>16.0</v>
      </c>
      <c r="O11" s="84">
        <v>8.0</v>
      </c>
      <c r="P11" s="84">
        <v>23.0</v>
      </c>
      <c r="Q11" s="84">
        <v>8.0</v>
      </c>
      <c r="R11" s="84">
        <f t="shared" si="1"/>
        <v>31</v>
      </c>
      <c r="S11" s="91">
        <f t="shared" si="2"/>
        <v>744</v>
      </c>
      <c r="T11" s="82"/>
    </row>
    <row r="12" ht="18.75" customHeight="1">
      <c r="A12" s="102" t="s">
        <v>130</v>
      </c>
      <c r="B12" s="48"/>
      <c r="C12" s="42"/>
      <c r="D12" s="42"/>
      <c r="E12" s="42"/>
      <c r="F12" s="42"/>
      <c r="G12" s="99"/>
      <c r="H12" s="95"/>
      <c r="I12" s="87" t="s">
        <v>131</v>
      </c>
      <c r="J12" s="84">
        <v>0.0</v>
      </c>
      <c r="K12" s="84">
        <v>0.0</v>
      </c>
      <c r="L12" s="84">
        <v>6.0</v>
      </c>
      <c r="M12" s="84">
        <v>10.0</v>
      </c>
      <c r="N12" s="84">
        <v>0.0</v>
      </c>
      <c r="O12" s="84">
        <v>8.0</v>
      </c>
      <c r="P12" s="84">
        <v>11.0</v>
      </c>
      <c r="Q12" s="84">
        <v>4.0</v>
      </c>
      <c r="R12" s="84">
        <f t="shared" si="1"/>
        <v>15</v>
      </c>
      <c r="S12" s="91">
        <f t="shared" si="2"/>
        <v>360</v>
      </c>
      <c r="T12" s="82"/>
    </row>
    <row r="13" ht="18.75" customHeight="1">
      <c r="A13" s="103"/>
      <c r="B13" s="104"/>
      <c r="C13" s="103"/>
      <c r="D13" s="103"/>
      <c r="E13" s="103"/>
      <c r="F13" s="103"/>
      <c r="G13" s="105"/>
      <c r="H13" s="95"/>
      <c r="I13" s="87" t="s">
        <v>132</v>
      </c>
      <c r="J13" s="84">
        <v>8.0</v>
      </c>
      <c r="K13" s="84">
        <v>8.0</v>
      </c>
      <c r="L13" s="84">
        <v>0.0</v>
      </c>
      <c r="M13" s="84">
        <v>0.0</v>
      </c>
      <c r="N13" s="84">
        <v>0.0</v>
      </c>
      <c r="O13" s="84">
        <v>8.0</v>
      </c>
      <c r="P13" s="84">
        <v>11.0</v>
      </c>
      <c r="Q13" s="84">
        <v>4.0</v>
      </c>
      <c r="R13" s="84">
        <f t="shared" si="1"/>
        <v>15</v>
      </c>
      <c r="S13" s="91">
        <f t="shared" si="2"/>
        <v>360</v>
      </c>
      <c r="T13" s="82"/>
    </row>
    <row r="14" ht="18.75" customHeight="1">
      <c r="A14" s="106" t="s">
        <v>133</v>
      </c>
      <c r="B14" s="71"/>
      <c r="C14" s="71"/>
      <c r="D14" s="71"/>
      <c r="E14" s="71"/>
      <c r="F14" s="71"/>
      <c r="G14" s="71"/>
      <c r="H14" s="95"/>
      <c r="I14" s="87" t="s">
        <v>134</v>
      </c>
      <c r="J14" s="84">
        <v>8.0</v>
      </c>
      <c r="K14" s="84">
        <v>8.0</v>
      </c>
      <c r="L14" s="84">
        <v>0.0</v>
      </c>
      <c r="M14" s="84">
        <v>0.0</v>
      </c>
      <c r="N14" s="84">
        <v>0.0</v>
      </c>
      <c r="O14" s="84">
        <v>8.0</v>
      </c>
      <c r="P14" s="84">
        <v>23.0</v>
      </c>
      <c r="Q14" s="84">
        <v>8.0</v>
      </c>
      <c r="R14" s="84">
        <f t="shared" si="1"/>
        <v>31</v>
      </c>
      <c r="S14" s="91">
        <f t="shared" si="2"/>
        <v>744</v>
      </c>
      <c r="T14" s="82"/>
    </row>
    <row r="15" ht="18.75" customHeight="1">
      <c r="A15" s="71"/>
      <c r="B15" s="107"/>
      <c r="C15" s="71"/>
      <c r="D15" s="71"/>
      <c r="E15" s="71"/>
      <c r="F15" s="71"/>
      <c r="G15" s="71"/>
      <c r="H15" s="95"/>
      <c r="I15" s="87" t="s">
        <v>135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24.0</v>
      </c>
      <c r="P15" s="84">
        <v>23.0</v>
      </c>
      <c r="Q15" s="84">
        <v>8.0</v>
      </c>
      <c r="R15" s="84">
        <f t="shared" si="1"/>
        <v>31</v>
      </c>
      <c r="S15" s="91">
        <f t="shared" si="2"/>
        <v>744</v>
      </c>
      <c r="T15" s="82"/>
    </row>
    <row r="16" ht="18.75" customHeight="1">
      <c r="A16" s="83"/>
      <c r="B16" s="83"/>
      <c r="C16" s="83"/>
      <c r="D16" s="83"/>
      <c r="E16" s="83"/>
      <c r="F16" s="83"/>
      <c r="G16" s="71"/>
      <c r="H16" s="95"/>
      <c r="I16" s="87" t="s">
        <v>136</v>
      </c>
      <c r="J16" s="84">
        <v>0.0</v>
      </c>
      <c r="K16" s="84">
        <v>0.0</v>
      </c>
      <c r="L16" s="84">
        <v>6.0</v>
      </c>
      <c r="M16" s="84">
        <v>10.0</v>
      </c>
      <c r="N16" s="84">
        <v>0.0</v>
      </c>
      <c r="O16" s="84">
        <v>8.0</v>
      </c>
      <c r="P16" s="84">
        <v>22.0</v>
      </c>
      <c r="Q16" s="84">
        <v>8.0</v>
      </c>
      <c r="R16" s="84">
        <f t="shared" si="1"/>
        <v>30</v>
      </c>
      <c r="S16" s="91">
        <f t="shared" si="2"/>
        <v>720</v>
      </c>
      <c r="T16" s="82"/>
    </row>
    <row r="17" ht="47.25" customHeight="1">
      <c r="A17" s="108" t="s">
        <v>137</v>
      </c>
      <c r="B17" s="109" t="s">
        <v>138</v>
      </c>
      <c r="C17" s="110" t="s">
        <v>139</v>
      </c>
      <c r="D17" s="109" t="s">
        <v>140</v>
      </c>
      <c r="E17" s="109" t="s">
        <v>141</v>
      </c>
      <c r="F17" s="111" t="s">
        <v>142</v>
      </c>
      <c r="G17" s="112" t="s">
        <v>143</v>
      </c>
      <c r="H17" s="95"/>
      <c r="I17" s="87" t="s">
        <v>144</v>
      </c>
      <c r="J17" s="84">
        <v>0.0</v>
      </c>
      <c r="K17" s="84">
        <v>0.0</v>
      </c>
      <c r="L17" s="84">
        <v>6.0</v>
      </c>
      <c r="M17" s="84">
        <v>10.0</v>
      </c>
      <c r="N17" s="84">
        <v>0.0</v>
      </c>
      <c r="O17" s="84">
        <v>8.0</v>
      </c>
      <c r="P17" s="84">
        <v>23.0</v>
      </c>
      <c r="Q17" s="84">
        <v>8.0</v>
      </c>
      <c r="R17" s="84">
        <f t="shared" si="1"/>
        <v>31</v>
      </c>
      <c r="S17" s="91">
        <f t="shared" si="2"/>
        <v>744</v>
      </c>
      <c r="T17" s="82"/>
    </row>
    <row r="18" ht="18.75" customHeight="1">
      <c r="A18" s="113">
        <v>1.0</v>
      </c>
      <c r="B18" s="114">
        <f t="shared" ref="B18:B38" si="3">$B$10*A18</f>
        <v>387.9612</v>
      </c>
      <c r="C18" s="115">
        <f t="shared" ref="C18:C38" si="4">B18*(1+$B$9)</f>
        <v>411.238872</v>
      </c>
      <c r="D18" s="116">
        <f>SUM(B6:G6*C18)</f>
        <v>2663.243798</v>
      </c>
      <c r="E18" s="116">
        <f t="shared" ref="E18:E38" si="5">($J$38*$B$7+$K$38*$C$7+$L$38*$D$7+$M$38*$E$7+$N$38*$F$7+$O$38*$G$7+$P$38*$G$7)*B18</f>
        <v>67008.31861</v>
      </c>
      <c r="F18" s="117">
        <f t="shared" ref="F18:F38" si="6">D18+E18</f>
        <v>69671.56241</v>
      </c>
      <c r="G18" s="118">
        <f t="shared" ref="G18:G38" si="7">1-$F$18/F18</f>
        <v>0</v>
      </c>
      <c r="H18" s="95"/>
      <c r="I18" s="87" t="s">
        <v>145</v>
      </c>
      <c r="J18" s="84">
        <v>0.0</v>
      </c>
      <c r="K18" s="84">
        <v>0.0</v>
      </c>
      <c r="L18" s="84">
        <v>6.0</v>
      </c>
      <c r="M18" s="84">
        <v>10.0</v>
      </c>
      <c r="N18" s="84">
        <v>0.0</v>
      </c>
      <c r="O18" s="84">
        <v>8.0</v>
      </c>
      <c r="P18" s="84">
        <v>22.0</v>
      </c>
      <c r="Q18" s="84">
        <v>8.0</v>
      </c>
      <c r="R18" s="84">
        <f t="shared" si="1"/>
        <v>30</v>
      </c>
      <c r="S18" s="91">
        <f t="shared" si="2"/>
        <v>720</v>
      </c>
      <c r="T18" s="82"/>
    </row>
    <row r="19" ht="18.75" customHeight="1">
      <c r="A19" s="119">
        <v>1.05</v>
      </c>
      <c r="B19" s="120">
        <f t="shared" si="3"/>
        <v>407.35926</v>
      </c>
      <c r="C19" s="121">
        <f t="shared" si="4"/>
        <v>431.8008156</v>
      </c>
      <c r="D19" s="122">
        <v>1721.34541159056</v>
      </c>
      <c r="E19" s="122">
        <f t="shared" si="5"/>
        <v>70358.73454</v>
      </c>
      <c r="F19" s="123">
        <f t="shared" si="6"/>
        <v>72080.07995</v>
      </c>
      <c r="G19" s="124">
        <f t="shared" si="7"/>
        <v>0.03341446826</v>
      </c>
      <c r="H19" s="95"/>
      <c r="I19" s="87" t="s">
        <v>146</v>
      </c>
      <c r="J19" s="84">
        <v>6.0</v>
      </c>
      <c r="K19" s="84">
        <v>10.0</v>
      </c>
      <c r="L19" s="84">
        <v>0.0</v>
      </c>
      <c r="M19" s="84">
        <v>0.0</v>
      </c>
      <c r="N19" s="84">
        <v>0.0</v>
      </c>
      <c r="O19" s="84">
        <v>8.0</v>
      </c>
      <c r="P19" s="84">
        <v>23.0</v>
      </c>
      <c r="Q19" s="84">
        <v>7.0</v>
      </c>
      <c r="R19" s="84">
        <f t="shared" si="1"/>
        <v>30</v>
      </c>
      <c r="S19" s="91">
        <f t="shared" si="2"/>
        <v>720</v>
      </c>
      <c r="T19" s="82"/>
    </row>
    <row r="20" ht="18.75" customHeight="1">
      <c r="A20" s="119">
        <v>1.1</v>
      </c>
      <c r="B20" s="120">
        <f t="shared" si="3"/>
        <v>426.75732</v>
      </c>
      <c r="C20" s="121">
        <f t="shared" si="4"/>
        <v>452.3627592</v>
      </c>
      <c r="D20" s="122">
        <v>1803.314240713921</v>
      </c>
      <c r="E20" s="122">
        <f t="shared" si="5"/>
        <v>73709.15047</v>
      </c>
      <c r="F20" s="123">
        <f t="shared" si="6"/>
        <v>75512.46471</v>
      </c>
      <c r="G20" s="124">
        <f t="shared" si="7"/>
        <v>0.07735017425</v>
      </c>
      <c r="H20" s="71"/>
      <c r="I20" s="125"/>
      <c r="J20" s="125"/>
      <c r="K20" s="125"/>
      <c r="L20" s="125"/>
      <c r="M20" s="125"/>
      <c r="N20" s="125"/>
      <c r="O20" s="125"/>
      <c r="P20" s="126">
        <f t="shared" ref="P20:Q20" si="8">SUM(P7:P19)</f>
        <v>269</v>
      </c>
      <c r="Q20" s="126">
        <f t="shared" si="8"/>
        <v>95</v>
      </c>
      <c r="R20" s="126">
        <f t="shared" si="1"/>
        <v>364</v>
      </c>
      <c r="S20" s="126">
        <f>SUM(S7:S19)</f>
        <v>8736</v>
      </c>
      <c r="T20" s="71"/>
    </row>
    <row r="21" ht="18.75" customHeight="1">
      <c r="A21" s="119">
        <v>1.15</v>
      </c>
      <c r="B21" s="120">
        <f t="shared" si="3"/>
        <v>446.15538</v>
      </c>
      <c r="C21" s="121">
        <f t="shared" si="4"/>
        <v>472.9247028</v>
      </c>
      <c r="D21" s="122">
        <v>1885.28306983728</v>
      </c>
      <c r="E21" s="122">
        <f t="shared" si="5"/>
        <v>77059.5664</v>
      </c>
      <c r="F21" s="123">
        <f t="shared" si="6"/>
        <v>78944.84947</v>
      </c>
      <c r="G21" s="124">
        <f t="shared" si="7"/>
        <v>0.1174653841</v>
      </c>
      <c r="H21" s="71"/>
      <c r="I21" s="83"/>
      <c r="J21" s="83"/>
      <c r="K21" s="83"/>
      <c r="L21" s="83"/>
      <c r="M21" s="83"/>
      <c r="N21" s="83"/>
      <c r="O21" s="83"/>
      <c r="P21" s="83"/>
      <c r="Q21" s="71"/>
      <c r="R21" s="71"/>
      <c r="S21" s="71"/>
      <c r="T21" s="71"/>
    </row>
    <row r="22" ht="18.75" customHeight="1">
      <c r="A22" s="119">
        <v>1.2</v>
      </c>
      <c r="B22" s="120">
        <f t="shared" si="3"/>
        <v>465.55344</v>
      </c>
      <c r="C22" s="121">
        <f t="shared" si="4"/>
        <v>493.4866464</v>
      </c>
      <c r="D22" s="122">
        <v>1967.25189896064</v>
      </c>
      <c r="E22" s="122">
        <f t="shared" si="5"/>
        <v>80409.98233</v>
      </c>
      <c r="F22" s="123">
        <f t="shared" si="6"/>
        <v>82377.23423</v>
      </c>
      <c r="G22" s="124">
        <f t="shared" si="7"/>
        <v>0.1542376597</v>
      </c>
      <c r="H22" s="95"/>
      <c r="I22" s="87" t="s">
        <v>147</v>
      </c>
      <c r="J22" s="84"/>
      <c r="K22" s="84"/>
      <c r="L22" s="84"/>
      <c r="M22" s="84"/>
      <c r="N22" s="84"/>
      <c r="O22" s="84"/>
      <c r="P22" s="84"/>
      <c r="Q22" s="82"/>
      <c r="R22" s="71"/>
      <c r="S22" s="71"/>
      <c r="T22" s="71"/>
    </row>
    <row r="23" ht="18.75" customHeight="1">
      <c r="A23" s="119">
        <v>1.25</v>
      </c>
      <c r="B23" s="120">
        <f t="shared" si="3"/>
        <v>484.9515</v>
      </c>
      <c r="C23" s="121">
        <f t="shared" si="4"/>
        <v>514.04859</v>
      </c>
      <c r="D23" s="122">
        <v>2049.220728084</v>
      </c>
      <c r="E23" s="122">
        <f t="shared" si="5"/>
        <v>83760.39826</v>
      </c>
      <c r="F23" s="123">
        <f t="shared" si="6"/>
        <v>85809.61899</v>
      </c>
      <c r="G23" s="124">
        <f t="shared" si="7"/>
        <v>0.1880681533</v>
      </c>
      <c r="H23" s="95"/>
      <c r="I23" s="84"/>
      <c r="J23" s="87" t="s">
        <v>108</v>
      </c>
      <c r="K23" s="87" t="s">
        <v>109</v>
      </c>
      <c r="L23" s="87" t="s">
        <v>110</v>
      </c>
      <c r="M23" s="87" t="s">
        <v>111</v>
      </c>
      <c r="N23" s="87" t="s">
        <v>112</v>
      </c>
      <c r="O23" s="87" t="s">
        <v>113</v>
      </c>
      <c r="P23" s="87" t="s">
        <v>148</v>
      </c>
      <c r="Q23" s="82"/>
      <c r="R23" s="71"/>
      <c r="S23" s="71"/>
      <c r="T23" s="71"/>
    </row>
    <row r="24" ht="18.0" customHeight="1">
      <c r="A24" s="119">
        <v>1.3</v>
      </c>
      <c r="B24" s="120">
        <f t="shared" si="3"/>
        <v>504.34956</v>
      </c>
      <c r="C24" s="121">
        <f t="shared" si="4"/>
        <v>534.6105336</v>
      </c>
      <c r="D24" s="122">
        <v>2131.18955720736</v>
      </c>
      <c r="E24" s="122">
        <f t="shared" si="5"/>
        <v>87110.81419</v>
      </c>
      <c r="F24" s="123">
        <f t="shared" si="6"/>
        <v>89242.00375</v>
      </c>
      <c r="G24" s="124">
        <f t="shared" si="7"/>
        <v>0.2192963013</v>
      </c>
      <c r="H24" s="95"/>
      <c r="I24" s="87" t="s">
        <v>121</v>
      </c>
      <c r="J24" s="90">
        <f t="shared" ref="J24:O24" si="9">J7*$P7</f>
        <v>138</v>
      </c>
      <c r="K24" s="90">
        <f t="shared" si="9"/>
        <v>230</v>
      </c>
      <c r="L24" s="90">
        <f t="shared" si="9"/>
        <v>0</v>
      </c>
      <c r="M24" s="90">
        <f t="shared" si="9"/>
        <v>0</v>
      </c>
      <c r="N24" s="90">
        <f t="shared" si="9"/>
        <v>0</v>
      </c>
      <c r="O24" s="90">
        <f t="shared" si="9"/>
        <v>184</v>
      </c>
      <c r="P24" s="90">
        <f t="shared" ref="P24:P36" si="11">$Q7*24</f>
        <v>192</v>
      </c>
      <c r="Q24" s="82"/>
      <c r="R24" s="71"/>
      <c r="S24" s="71"/>
      <c r="T24" s="71"/>
    </row>
    <row r="25" ht="18.0" customHeight="1">
      <c r="A25" s="119">
        <v>1.35</v>
      </c>
      <c r="B25" s="120">
        <f t="shared" si="3"/>
        <v>523.74762</v>
      </c>
      <c r="C25" s="121">
        <f t="shared" si="4"/>
        <v>555.1724772</v>
      </c>
      <c r="D25" s="122">
        <v>2213.158386330721</v>
      </c>
      <c r="E25" s="122">
        <f t="shared" si="5"/>
        <v>90461.23012</v>
      </c>
      <c r="F25" s="123">
        <f t="shared" si="6"/>
        <v>92674.38851</v>
      </c>
      <c r="G25" s="124">
        <f t="shared" si="7"/>
        <v>0.2482112531</v>
      </c>
      <c r="H25" s="95"/>
      <c r="I25" s="87" t="s">
        <v>122</v>
      </c>
      <c r="J25" s="90">
        <f t="shared" ref="J25:O25" si="10">J8*$P8</f>
        <v>120</v>
      </c>
      <c r="K25" s="90">
        <f t="shared" si="10"/>
        <v>200</v>
      </c>
      <c r="L25" s="90">
        <f t="shared" si="10"/>
        <v>0</v>
      </c>
      <c r="M25" s="90">
        <f t="shared" si="10"/>
        <v>0</v>
      </c>
      <c r="N25" s="90">
        <f t="shared" si="10"/>
        <v>0</v>
      </c>
      <c r="O25" s="90">
        <f t="shared" si="10"/>
        <v>160</v>
      </c>
      <c r="P25" s="90">
        <f t="shared" si="11"/>
        <v>192</v>
      </c>
      <c r="Q25" s="82"/>
      <c r="R25" s="71"/>
      <c r="S25" s="71"/>
      <c r="T25" s="71"/>
    </row>
    <row r="26" ht="18.0" customHeight="1">
      <c r="A26" s="119">
        <v>1.4</v>
      </c>
      <c r="B26" s="120">
        <f t="shared" si="3"/>
        <v>543.14568</v>
      </c>
      <c r="C26" s="121">
        <f t="shared" si="4"/>
        <v>575.7344208</v>
      </c>
      <c r="D26" s="122">
        <v>2295.127215454081</v>
      </c>
      <c r="E26" s="122">
        <f t="shared" si="5"/>
        <v>93811.64605</v>
      </c>
      <c r="F26" s="123">
        <f t="shared" si="6"/>
        <v>96106.77327</v>
      </c>
      <c r="G26" s="124">
        <f t="shared" si="7"/>
        <v>0.2750608512</v>
      </c>
      <c r="H26" s="95"/>
      <c r="I26" s="87" t="s">
        <v>125</v>
      </c>
      <c r="J26" s="90">
        <f t="shared" ref="J26:O26" si="12">J9*$P9</f>
        <v>0</v>
      </c>
      <c r="K26" s="90">
        <f t="shared" si="12"/>
        <v>0</v>
      </c>
      <c r="L26" s="90">
        <f t="shared" si="12"/>
        <v>138</v>
      </c>
      <c r="M26" s="90">
        <f t="shared" si="12"/>
        <v>230</v>
      </c>
      <c r="N26" s="90">
        <f t="shared" si="12"/>
        <v>0</v>
      </c>
      <c r="O26" s="90">
        <f t="shared" si="12"/>
        <v>184</v>
      </c>
      <c r="P26" s="90">
        <f t="shared" si="11"/>
        <v>192</v>
      </c>
      <c r="Q26" s="82"/>
      <c r="R26" s="71"/>
      <c r="S26" s="71"/>
      <c r="T26" s="71"/>
    </row>
    <row r="27" ht="18.0" customHeight="1">
      <c r="A27" s="119">
        <v>1.45</v>
      </c>
      <c r="B27" s="120">
        <f t="shared" si="3"/>
        <v>562.54374</v>
      </c>
      <c r="C27" s="121">
        <f t="shared" si="4"/>
        <v>596.2963644</v>
      </c>
      <c r="D27" s="122">
        <v>2377.09604457744</v>
      </c>
      <c r="E27" s="122">
        <f t="shared" si="5"/>
        <v>97162.06198</v>
      </c>
      <c r="F27" s="123">
        <f t="shared" si="6"/>
        <v>99539.15803</v>
      </c>
      <c r="G27" s="124">
        <f t="shared" si="7"/>
        <v>0.3000587529</v>
      </c>
      <c r="H27" s="95"/>
      <c r="I27" s="87" t="s">
        <v>128</v>
      </c>
      <c r="J27" s="90">
        <f t="shared" ref="J27:O27" si="13">J10*$P10</f>
        <v>0</v>
      </c>
      <c r="K27" s="90">
        <f t="shared" si="13"/>
        <v>0</v>
      </c>
      <c r="L27" s="90">
        <f t="shared" si="13"/>
        <v>0</v>
      </c>
      <c r="M27" s="90">
        <f t="shared" si="13"/>
        <v>0</v>
      </c>
      <c r="N27" s="90">
        <f t="shared" si="13"/>
        <v>352</v>
      </c>
      <c r="O27" s="90">
        <f t="shared" si="13"/>
        <v>176</v>
      </c>
      <c r="P27" s="90">
        <f t="shared" si="11"/>
        <v>192</v>
      </c>
      <c r="Q27" s="82"/>
      <c r="R27" s="71"/>
      <c r="S27" s="71"/>
      <c r="T27" s="71"/>
    </row>
    <row r="28" ht="18.0" customHeight="1">
      <c r="A28" s="119">
        <v>1.5</v>
      </c>
      <c r="B28" s="120">
        <f t="shared" si="3"/>
        <v>581.9418</v>
      </c>
      <c r="C28" s="121">
        <f t="shared" si="4"/>
        <v>616.858308</v>
      </c>
      <c r="D28" s="122">
        <v>2459.0648737008</v>
      </c>
      <c r="E28" s="122">
        <f t="shared" si="5"/>
        <v>100512.4779</v>
      </c>
      <c r="F28" s="123">
        <f t="shared" si="6"/>
        <v>102971.5428</v>
      </c>
      <c r="G28" s="124">
        <f t="shared" si="7"/>
        <v>0.3233901278</v>
      </c>
      <c r="H28" s="95"/>
      <c r="I28" s="87" t="s">
        <v>129</v>
      </c>
      <c r="J28" s="90">
        <f t="shared" ref="J28:O28" si="14">J11*$P11</f>
        <v>0</v>
      </c>
      <c r="K28" s="90">
        <f t="shared" si="14"/>
        <v>0</v>
      </c>
      <c r="L28" s="90">
        <f t="shared" si="14"/>
        <v>0</v>
      </c>
      <c r="M28" s="90">
        <f t="shared" si="14"/>
        <v>0</v>
      </c>
      <c r="N28" s="90">
        <f t="shared" si="14"/>
        <v>368</v>
      </c>
      <c r="O28" s="90">
        <f t="shared" si="14"/>
        <v>184</v>
      </c>
      <c r="P28" s="90">
        <f t="shared" si="11"/>
        <v>192</v>
      </c>
      <c r="Q28" s="82"/>
      <c r="R28" s="71"/>
      <c r="S28" s="71"/>
      <c r="T28" s="71"/>
    </row>
    <row r="29" ht="18.0" customHeight="1">
      <c r="A29" s="119">
        <v>1.55</v>
      </c>
      <c r="B29" s="120">
        <f t="shared" si="3"/>
        <v>601.33986</v>
      </c>
      <c r="C29" s="121">
        <f t="shared" si="4"/>
        <v>637.4202516</v>
      </c>
      <c r="D29" s="122">
        <v>2541.033702824161</v>
      </c>
      <c r="E29" s="122">
        <f t="shared" si="5"/>
        <v>103862.8938</v>
      </c>
      <c r="F29" s="123">
        <f t="shared" si="6"/>
        <v>106403.9275</v>
      </c>
      <c r="G29" s="124">
        <f t="shared" si="7"/>
        <v>0.3452162527</v>
      </c>
      <c r="H29" s="95"/>
      <c r="I29" s="87" t="s">
        <v>131</v>
      </c>
      <c r="J29" s="90">
        <f t="shared" ref="J29:O29" si="15">J12*$P12</f>
        <v>0</v>
      </c>
      <c r="K29" s="90">
        <f t="shared" si="15"/>
        <v>0</v>
      </c>
      <c r="L29" s="90">
        <f t="shared" si="15"/>
        <v>66</v>
      </c>
      <c r="M29" s="90">
        <f t="shared" si="15"/>
        <v>110</v>
      </c>
      <c r="N29" s="90">
        <f t="shared" si="15"/>
        <v>0</v>
      </c>
      <c r="O29" s="90">
        <f t="shared" si="15"/>
        <v>88</v>
      </c>
      <c r="P29" s="90">
        <f t="shared" si="11"/>
        <v>96</v>
      </c>
      <c r="Q29" s="82"/>
      <c r="R29" s="71"/>
      <c r="S29" s="71"/>
      <c r="T29" s="71"/>
    </row>
    <row r="30" ht="18.0" customHeight="1">
      <c r="A30" s="119">
        <v>1.6</v>
      </c>
      <c r="B30" s="120">
        <f t="shared" si="3"/>
        <v>620.73792</v>
      </c>
      <c r="C30" s="121">
        <f t="shared" si="4"/>
        <v>657.9821952</v>
      </c>
      <c r="D30" s="122">
        <v>2623.00253194752</v>
      </c>
      <c r="E30" s="122">
        <f t="shared" si="5"/>
        <v>107213.3098</v>
      </c>
      <c r="F30" s="123">
        <f t="shared" si="6"/>
        <v>109836.3123</v>
      </c>
      <c r="G30" s="124">
        <f t="shared" si="7"/>
        <v>0.3656782448</v>
      </c>
      <c r="H30" s="95"/>
      <c r="I30" s="87" t="s">
        <v>132</v>
      </c>
      <c r="J30" s="90">
        <f t="shared" ref="J30:O30" si="16">J13*$P13</f>
        <v>88</v>
      </c>
      <c r="K30" s="90">
        <f t="shared" si="16"/>
        <v>88</v>
      </c>
      <c r="L30" s="90">
        <f t="shared" si="16"/>
        <v>0</v>
      </c>
      <c r="M30" s="90">
        <f t="shared" si="16"/>
        <v>0</v>
      </c>
      <c r="N30" s="90">
        <f t="shared" si="16"/>
        <v>0</v>
      </c>
      <c r="O30" s="90">
        <f t="shared" si="16"/>
        <v>88</v>
      </c>
      <c r="P30" s="90">
        <f t="shared" si="11"/>
        <v>96</v>
      </c>
      <c r="Q30" s="82"/>
      <c r="R30" s="71"/>
      <c r="S30" s="71"/>
      <c r="T30" s="71"/>
    </row>
    <row r="31" ht="18.0" customHeight="1">
      <c r="A31" s="119">
        <v>1.65</v>
      </c>
      <c r="B31" s="120">
        <f t="shared" si="3"/>
        <v>640.13598</v>
      </c>
      <c r="C31" s="121">
        <f t="shared" si="4"/>
        <v>678.5441388</v>
      </c>
      <c r="D31" s="122">
        <v>2704.97136107088</v>
      </c>
      <c r="E31" s="122">
        <f t="shared" si="5"/>
        <v>110563.7257</v>
      </c>
      <c r="F31" s="123">
        <f t="shared" si="6"/>
        <v>113268.6971</v>
      </c>
      <c r="G31" s="124">
        <f t="shared" si="7"/>
        <v>0.3849001162</v>
      </c>
      <c r="H31" s="95"/>
      <c r="I31" s="87" t="s">
        <v>134</v>
      </c>
      <c r="J31" s="90">
        <f t="shared" ref="J31:O31" si="17">J14*$P14</f>
        <v>184</v>
      </c>
      <c r="K31" s="90">
        <f t="shared" si="17"/>
        <v>184</v>
      </c>
      <c r="L31" s="90">
        <f t="shared" si="17"/>
        <v>0</v>
      </c>
      <c r="M31" s="90">
        <f t="shared" si="17"/>
        <v>0</v>
      </c>
      <c r="N31" s="90">
        <f t="shared" si="17"/>
        <v>0</v>
      </c>
      <c r="O31" s="90">
        <f t="shared" si="17"/>
        <v>184</v>
      </c>
      <c r="P31" s="90">
        <f t="shared" si="11"/>
        <v>192</v>
      </c>
      <c r="Q31" s="82"/>
      <c r="R31" s="71"/>
      <c r="S31" s="71"/>
      <c r="T31" s="71"/>
    </row>
    <row r="32" ht="18.0" customHeight="1">
      <c r="A32" s="119">
        <v>1.7</v>
      </c>
      <c r="B32" s="120">
        <f t="shared" si="3"/>
        <v>659.53404</v>
      </c>
      <c r="C32" s="121">
        <f t="shared" si="4"/>
        <v>699.1060824</v>
      </c>
      <c r="D32" s="122">
        <v>2786.940190194241</v>
      </c>
      <c r="E32" s="122">
        <f t="shared" si="5"/>
        <v>113914.1416</v>
      </c>
      <c r="F32" s="123">
        <f t="shared" si="6"/>
        <v>116701.0818</v>
      </c>
      <c r="G32" s="124">
        <f t="shared" si="7"/>
        <v>0.4029912892</v>
      </c>
      <c r="H32" s="95"/>
      <c r="I32" s="87" t="s">
        <v>135</v>
      </c>
      <c r="J32" s="90">
        <f t="shared" ref="J32:O32" si="18">J15*$P15</f>
        <v>0</v>
      </c>
      <c r="K32" s="90">
        <f t="shared" si="18"/>
        <v>0</v>
      </c>
      <c r="L32" s="90">
        <f t="shared" si="18"/>
        <v>0</v>
      </c>
      <c r="M32" s="90">
        <f t="shared" si="18"/>
        <v>0</v>
      </c>
      <c r="N32" s="90">
        <f t="shared" si="18"/>
        <v>0</v>
      </c>
      <c r="O32" s="90">
        <f t="shared" si="18"/>
        <v>552</v>
      </c>
      <c r="P32" s="90">
        <f t="shared" si="11"/>
        <v>192</v>
      </c>
      <c r="Q32" s="82"/>
      <c r="R32" s="71"/>
      <c r="S32" s="71"/>
      <c r="T32" s="71"/>
    </row>
    <row r="33" ht="18.0" customHeight="1">
      <c r="A33" s="119">
        <v>1.75</v>
      </c>
      <c r="B33" s="120">
        <f t="shared" si="3"/>
        <v>678.9321</v>
      </c>
      <c r="C33" s="121">
        <f t="shared" si="4"/>
        <v>719.668026</v>
      </c>
      <c r="D33" s="122">
        <v>2868.909019317601</v>
      </c>
      <c r="E33" s="122">
        <f t="shared" si="5"/>
        <v>117264.5576</v>
      </c>
      <c r="F33" s="123">
        <f t="shared" si="6"/>
        <v>120133.4666</v>
      </c>
      <c r="G33" s="124">
        <f t="shared" si="7"/>
        <v>0.420048681</v>
      </c>
      <c r="H33" s="95"/>
      <c r="I33" s="87" t="s">
        <v>136</v>
      </c>
      <c r="J33" s="90">
        <f t="shared" ref="J33:O33" si="19">J16*$P16</f>
        <v>0</v>
      </c>
      <c r="K33" s="90">
        <f t="shared" si="19"/>
        <v>0</v>
      </c>
      <c r="L33" s="90">
        <f t="shared" si="19"/>
        <v>132</v>
      </c>
      <c r="M33" s="90">
        <f t="shared" si="19"/>
        <v>220</v>
      </c>
      <c r="N33" s="90">
        <f t="shared" si="19"/>
        <v>0</v>
      </c>
      <c r="O33" s="90">
        <f t="shared" si="19"/>
        <v>176</v>
      </c>
      <c r="P33" s="90">
        <f t="shared" si="11"/>
        <v>192</v>
      </c>
      <c r="Q33" s="82"/>
      <c r="R33" s="71"/>
      <c r="S33" s="71"/>
      <c r="T33" s="71"/>
    </row>
    <row r="34" ht="18.0" customHeight="1">
      <c r="A34" s="119">
        <v>1.8</v>
      </c>
      <c r="B34" s="120">
        <f t="shared" si="3"/>
        <v>698.33016</v>
      </c>
      <c r="C34" s="121">
        <f t="shared" si="4"/>
        <v>740.2299696</v>
      </c>
      <c r="D34" s="122">
        <v>2950.87784844096</v>
      </c>
      <c r="E34" s="122">
        <f t="shared" si="5"/>
        <v>120614.9735</v>
      </c>
      <c r="F34" s="123">
        <f t="shared" si="6"/>
        <v>123565.8513</v>
      </c>
      <c r="G34" s="124">
        <f t="shared" si="7"/>
        <v>0.4361584398</v>
      </c>
      <c r="H34" s="95"/>
      <c r="I34" s="87" t="s">
        <v>144</v>
      </c>
      <c r="J34" s="90">
        <f t="shared" ref="J34:O34" si="20">J17*$P17</f>
        <v>0</v>
      </c>
      <c r="K34" s="90">
        <f t="shared" si="20"/>
        <v>0</v>
      </c>
      <c r="L34" s="90">
        <f t="shared" si="20"/>
        <v>138</v>
      </c>
      <c r="M34" s="90">
        <f t="shared" si="20"/>
        <v>230</v>
      </c>
      <c r="N34" s="90">
        <f t="shared" si="20"/>
        <v>0</v>
      </c>
      <c r="O34" s="90">
        <f t="shared" si="20"/>
        <v>184</v>
      </c>
      <c r="P34" s="90">
        <f t="shared" si="11"/>
        <v>192</v>
      </c>
      <c r="Q34" s="82"/>
      <c r="R34" s="71"/>
      <c r="S34" s="71"/>
      <c r="T34" s="71"/>
    </row>
    <row r="35" ht="18.0" customHeight="1">
      <c r="A35" s="119">
        <v>1.85</v>
      </c>
      <c r="B35" s="120">
        <f t="shared" si="3"/>
        <v>717.72822</v>
      </c>
      <c r="C35" s="121">
        <f t="shared" si="4"/>
        <v>760.7919132</v>
      </c>
      <c r="D35" s="122">
        <v>3032.846677564321</v>
      </c>
      <c r="E35" s="122">
        <f t="shared" si="5"/>
        <v>123965.3894</v>
      </c>
      <c r="F35" s="123">
        <f t="shared" si="6"/>
        <v>126998.2361</v>
      </c>
      <c r="G35" s="124">
        <f t="shared" si="7"/>
        <v>0.4513974009</v>
      </c>
      <c r="H35" s="95"/>
      <c r="I35" s="87" t="s">
        <v>145</v>
      </c>
      <c r="J35" s="90">
        <f t="shared" ref="J35:O35" si="21">J18*$P18</f>
        <v>0</v>
      </c>
      <c r="K35" s="90">
        <f t="shared" si="21"/>
        <v>0</v>
      </c>
      <c r="L35" s="90">
        <f t="shared" si="21"/>
        <v>132</v>
      </c>
      <c r="M35" s="90">
        <f t="shared" si="21"/>
        <v>220</v>
      </c>
      <c r="N35" s="90">
        <f t="shared" si="21"/>
        <v>0</v>
      </c>
      <c r="O35" s="90">
        <f t="shared" si="21"/>
        <v>176</v>
      </c>
      <c r="P35" s="90">
        <f t="shared" si="11"/>
        <v>192</v>
      </c>
      <c r="Q35" s="82"/>
      <c r="R35" s="71"/>
      <c r="S35" s="71"/>
      <c r="T35" s="71"/>
    </row>
    <row r="36" ht="18.0" customHeight="1">
      <c r="A36" s="119">
        <v>1.9</v>
      </c>
      <c r="B36" s="120">
        <f t="shared" si="3"/>
        <v>737.12628</v>
      </c>
      <c r="C36" s="121">
        <f t="shared" si="4"/>
        <v>781.3538568</v>
      </c>
      <c r="D36" s="122">
        <v>3114.81550668768</v>
      </c>
      <c r="E36" s="122">
        <f t="shared" si="5"/>
        <v>127315.8054</v>
      </c>
      <c r="F36" s="123">
        <f t="shared" si="6"/>
        <v>130430.6209</v>
      </c>
      <c r="G36" s="124">
        <f t="shared" si="7"/>
        <v>0.4658343114</v>
      </c>
      <c r="H36" s="95"/>
      <c r="I36" s="87" t="s">
        <v>146</v>
      </c>
      <c r="J36" s="90">
        <f t="shared" ref="J36:O36" si="22">J19*$P19</f>
        <v>138</v>
      </c>
      <c r="K36" s="90">
        <f t="shared" si="22"/>
        <v>230</v>
      </c>
      <c r="L36" s="90">
        <f t="shared" si="22"/>
        <v>0</v>
      </c>
      <c r="M36" s="90">
        <f t="shared" si="22"/>
        <v>0</v>
      </c>
      <c r="N36" s="90">
        <f t="shared" si="22"/>
        <v>0</v>
      </c>
      <c r="O36" s="90">
        <f t="shared" si="22"/>
        <v>184</v>
      </c>
      <c r="P36" s="90">
        <f t="shared" si="11"/>
        <v>168</v>
      </c>
      <c r="Q36" s="82"/>
      <c r="R36" s="71"/>
      <c r="S36" s="71"/>
      <c r="T36" s="71"/>
    </row>
    <row r="37" ht="18.75" customHeight="1">
      <c r="A37" s="119">
        <v>1.95</v>
      </c>
      <c r="B37" s="120">
        <f t="shared" si="3"/>
        <v>756.52434</v>
      </c>
      <c r="C37" s="121">
        <f t="shared" si="4"/>
        <v>801.9158004</v>
      </c>
      <c r="D37" s="122">
        <v>3196.784335811041</v>
      </c>
      <c r="E37" s="122">
        <f t="shared" si="5"/>
        <v>130666.2213</v>
      </c>
      <c r="F37" s="123">
        <f t="shared" si="6"/>
        <v>133863.0056</v>
      </c>
      <c r="G37" s="124">
        <f t="shared" si="7"/>
        <v>0.4795308675</v>
      </c>
      <c r="H37" s="95"/>
      <c r="I37" s="84"/>
      <c r="J37" s="84"/>
      <c r="K37" s="84"/>
      <c r="L37" s="84"/>
      <c r="M37" s="84"/>
      <c r="N37" s="84"/>
      <c r="O37" s="84"/>
      <c r="P37" s="84"/>
      <c r="Q37" s="82"/>
      <c r="R37" s="71"/>
      <c r="S37" s="71"/>
      <c r="T37" s="71"/>
    </row>
    <row r="38" ht="18.75" customHeight="1">
      <c r="A38" s="119">
        <v>2.0</v>
      </c>
      <c r="B38" s="120">
        <f t="shared" si="3"/>
        <v>775.9224</v>
      </c>
      <c r="C38" s="121">
        <f t="shared" si="4"/>
        <v>822.477744</v>
      </c>
      <c r="D38" s="122">
        <v>3278.753164934401</v>
      </c>
      <c r="E38" s="122">
        <f t="shared" si="5"/>
        <v>134016.6372</v>
      </c>
      <c r="F38" s="123">
        <f t="shared" si="6"/>
        <v>137295.3904</v>
      </c>
      <c r="G38" s="124">
        <f t="shared" si="7"/>
        <v>0.4925425958</v>
      </c>
      <c r="H38" s="95"/>
      <c r="I38" s="87" t="s">
        <v>149</v>
      </c>
      <c r="J38" s="84">
        <f t="shared" ref="J38:P38" si="23">SUM(J24:J36)</f>
        <v>668</v>
      </c>
      <c r="K38" s="84">
        <f t="shared" si="23"/>
        <v>932</v>
      </c>
      <c r="L38" s="84">
        <f t="shared" si="23"/>
        <v>606</v>
      </c>
      <c r="M38" s="84">
        <f t="shared" si="23"/>
        <v>1010</v>
      </c>
      <c r="N38" s="84">
        <f t="shared" si="23"/>
        <v>720</v>
      </c>
      <c r="O38" s="84">
        <f t="shared" si="23"/>
        <v>2520</v>
      </c>
      <c r="P38" s="84">
        <f t="shared" si="23"/>
        <v>2280</v>
      </c>
      <c r="Q38" s="127">
        <f>SUM(J38:P38)</f>
        <v>8736</v>
      </c>
      <c r="R38" s="128"/>
      <c r="S38" s="71"/>
      <c r="T38" s="71"/>
    </row>
    <row r="39" ht="18.0" customHeight="1">
      <c r="A39" s="125"/>
      <c r="B39" s="125"/>
      <c r="C39" s="125"/>
      <c r="D39" s="125"/>
      <c r="E39" s="125"/>
      <c r="F39" s="125"/>
      <c r="G39" s="71"/>
      <c r="H39" s="71"/>
      <c r="I39" s="125"/>
      <c r="J39" s="125"/>
      <c r="K39" s="125"/>
      <c r="L39" s="125"/>
      <c r="M39" s="125"/>
      <c r="N39" s="125"/>
      <c r="O39" s="125"/>
      <c r="P39" s="125"/>
      <c r="Q39" s="71"/>
      <c r="R39" s="71"/>
      <c r="S39" s="71"/>
      <c r="T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.0" customHeight="1">
      <c r="A42" s="129"/>
      <c r="B42" s="130"/>
      <c r="C42" s="130"/>
      <c r="D42" s="130"/>
      <c r="E42" s="130"/>
      <c r="F42" s="13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.0" customHeight="1">
      <c r="A43" s="132"/>
      <c r="B43" s="133"/>
      <c r="C43" s="133"/>
      <c r="D43" s="134"/>
      <c r="E43" s="134"/>
      <c r="F43" s="135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.0" customHeight="1">
      <c r="A44" s="132"/>
      <c r="B44" s="133"/>
      <c r="C44" s="133"/>
      <c r="D44" s="134"/>
      <c r="E44" s="134"/>
      <c r="F44" s="135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.0" customHeight="1">
      <c r="A45" s="132"/>
      <c r="B45" s="133"/>
      <c r="C45" s="133"/>
      <c r="D45" s="134"/>
      <c r="E45" s="134"/>
      <c r="F45" s="135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.0" customHeight="1">
      <c r="A46" s="132"/>
      <c r="B46" s="133"/>
      <c r="C46" s="133"/>
      <c r="D46" s="134"/>
      <c r="E46" s="134"/>
      <c r="F46" s="135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.0" customHeight="1">
      <c r="A47" s="132"/>
      <c r="B47" s="133"/>
      <c r="C47" s="133"/>
      <c r="D47" s="134"/>
      <c r="E47" s="134"/>
      <c r="F47" s="135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.0" customHeight="1">
      <c r="A48" s="132"/>
      <c r="B48" s="133"/>
      <c r="C48" s="133"/>
      <c r="D48" s="134"/>
      <c r="E48" s="134"/>
      <c r="F48" s="135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2"/>
      <c r="B1" s="42"/>
      <c r="C1" s="42"/>
      <c r="D1" s="136"/>
      <c r="E1" s="136"/>
      <c r="F1" s="136"/>
      <c r="G1" s="136"/>
      <c r="H1" s="42"/>
      <c r="I1" s="136"/>
      <c r="J1" s="136"/>
      <c r="K1" s="136"/>
    </row>
    <row r="2" ht="18.75" customHeight="1">
      <c r="A2" s="137" t="s">
        <v>150</v>
      </c>
      <c r="B2" s="138"/>
      <c r="C2" s="139"/>
      <c r="D2" s="140" t="s">
        <v>151</v>
      </c>
      <c r="E2" s="141"/>
      <c r="F2" s="141"/>
      <c r="G2" s="142"/>
      <c r="H2" s="143"/>
      <c r="I2" s="144" t="s">
        <v>152</v>
      </c>
      <c r="J2" s="141"/>
      <c r="K2" s="142"/>
    </row>
    <row r="3" ht="18.75" customHeight="1">
      <c r="A3" s="145" t="s">
        <v>153</v>
      </c>
      <c r="B3" s="146">
        <f>B4+B5+B6</f>
        <v>232</v>
      </c>
      <c r="C3" s="143"/>
      <c r="D3" s="140" t="s">
        <v>154</v>
      </c>
      <c r="E3" s="142"/>
      <c r="F3" s="140" t="s">
        <v>155</v>
      </c>
      <c r="G3" s="142"/>
      <c r="H3" s="143"/>
      <c r="I3" s="147" t="s">
        <v>156</v>
      </c>
      <c r="J3" s="147" t="s">
        <v>157</v>
      </c>
      <c r="K3" s="147" t="s">
        <v>158</v>
      </c>
    </row>
    <row r="4" ht="18.75" customHeight="1">
      <c r="A4" s="148" t="s">
        <v>159</v>
      </c>
      <c r="B4" s="149">
        <f>'Cabina de discos'!M24</f>
        <v>80</v>
      </c>
      <c r="C4" s="143"/>
      <c r="D4" s="150" t="s">
        <v>160</v>
      </c>
      <c r="E4" s="151">
        <v>19.0</v>
      </c>
      <c r="F4" s="150" t="s">
        <v>161</v>
      </c>
      <c r="G4" s="152">
        <f>ROUND(B3/(E4*E5),0)+1</f>
        <v>1</v>
      </c>
      <c r="H4" s="143"/>
      <c r="I4" s="153">
        <v>1.0</v>
      </c>
      <c r="J4" s="154">
        <f>G9</f>
        <v>137901.4687</v>
      </c>
      <c r="K4" s="154">
        <f t="shared" ref="K4:K6" si="1">J4*5</f>
        <v>689507.3436</v>
      </c>
    </row>
    <row r="5" ht="18.75" customHeight="1">
      <c r="A5" s="145" t="s">
        <v>162</v>
      </c>
      <c r="B5" s="149">
        <f>Resum!B3</f>
        <v>112</v>
      </c>
      <c r="C5" s="143"/>
      <c r="D5" s="150" t="s">
        <v>163</v>
      </c>
      <c r="E5" s="155">
        <f>Resum!B4</f>
        <v>42</v>
      </c>
      <c r="F5" s="150" t="s">
        <v>164</v>
      </c>
      <c r="G5" s="156">
        <f>G4*E6</f>
        <v>115000</v>
      </c>
      <c r="H5" s="143"/>
      <c r="I5" s="153">
        <v>2.0</v>
      </c>
      <c r="J5" s="154">
        <f>G21</f>
        <v>97175.62496</v>
      </c>
      <c r="K5" s="154">
        <f t="shared" si="1"/>
        <v>485878.1248</v>
      </c>
    </row>
    <row r="6" ht="18.75" customHeight="1">
      <c r="A6" s="157" t="s">
        <v>165</v>
      </c>
      <c r="B6" s="149">
        <f>Backup!G29</f>
        <v>40</v>
      </c>
      <c r="C6" s="143"/>
      <c r="D6" s="150" t="s">
        <v>166</v>
      </c>
      <c r="E6" s="158">
        <v>115000.0</v>
      </c>
      <c r="F6" s="150" t="s">
        <v>167</v>
      </c>
      <c r="G6" s="156">
        <f>E7*G4*B8</f>
        <v>2000</v>
      </c>
      <c r="H6" s="143"/>
      <c r="I6" s="153">
        <v>3.0</v>
      </c>
      <c r="J6" s="154">
        <f>G30</f>
        <v>108450.7344</v>
      </c>
      <c r="K6" s="154">
        <f t="shared" si="1"/>
        <v>542253.6718</v>
      </c>
    </row>
    <row r="7" ht="18.75" customHeight="1">
      <c r="A7" s="157" t="s">
        <v>168</v>
      </c>
      <c r="B7" s="159">
        <f>Electricitat!F18</f>
        <v>69671.56241</v>
      </c>
      <c r="C7" s="143"/>
      <c r="D7" s="150" t="s">
        <v>169</v>
      </c>
      <c r="E7" s="158">
        <v>2000.0</v>
      </c>
      <c r="F7" s="150" t="s">
        <v>170</v>
      </c>
      <c r="G7" s="156">
        <f>1500*12*B9</f>
        <v>0</v>
      </c>
      <c r="H7" s="160"/>
      <c r="I7" s="161"/>
      <c r="J7" s="161"/>
      <c r="K7" s="161"/>
    </row>
    <row r="8" ht="32.25" customHeight="1">
      <c r="A8" s="162" t="s">
        <v>171</v>
      </c>
      <c r="B8" s="163">
        <f>Resum!B22</f>
        <v>1</v>
      </c>
      <c r="C8" s="143"/>
      <c r="D8" s="151"/>
      <c r="E8" s="158"/>
      <c r="F8" s="164" t="s">
        <v>172</v>
      </c>
      <c r="G8" s="156">
        <f>B7*(E9-1)</f>
        <v>20901.46872</v>
      </c>
      <c r="H8" s="160"/>
      <c r="I8" s="42"/>
      <c r="J8" s="42"/>
      <c r="K8" s="42"/>
    </row>
    <row r="9" ht="18.75" customHeight="1">
      <c r="A9" s="165" t="s">
        <v>173</v>
      </c>
      <c r="B9" s="163">
        <f>Resum!B21</f>
        <v>0</v>
      </c>
      <c r="C9" s="143"/>
      <c r="D9" s="150" t="s">
        <v>137</v>
      </c>
      <c r="E9" s="151">
        <v>1.3</v>
      </c>
      <c r="F9" s="150" t="s">
        <v>174</v>
      </c>
      <c r="G9" s="156">
        <f>SUM(G5:G8)</f>
        <v>137901.4687</v>
      </c>
      <c r="H9" s="160"/>
      <c r="I9" s="42"/>
      <c r="J9" s="42"/>
      <c r="K9" s="42"/>
    </row>
    <row r="10" ht="18.75" customHeight="1">
      <c r="A10" s="42"/>
      <c r="B10" s="161"/>
      <c r="C10" s="139"/>
      <c r="D10" s="140" t="s">
        <v>175</v>
      </c>
      <c r="E10" s="142"/>
      <c r="F10" s="150" t="s">
        <v>176</v>
      </c>
      <c r="G10" s="166">
        <f>ROUND(B3/E5,0)+1</f>
        <v>7</v>
      </c>
      <c r="H10" s="160"/>
      <c r="I10" s="42"/>
      <c r="J10" s="42"/>
      <c r="K10" s="42"/>
    </row>
    <row r="11" ht="18.75" customHeight="1">
      <c r="A11" s="42"/>
      <c r="B11" s="42"/>
      <c r="C11" s="42"/>
      <c r="D11" s="161"/>
      <c r="E11" s="161"/>
      <c r="F11" s="161"/>
      <c r="G11" s="161"/>
      <c r="H11" s="42"/>
      <c r="I11" s="42"/>
      <c r="J11" s="42"/>
      <c r="K11" s="42"/>
    </row>
    <row r="12" ht="18.75" customHeight="1">
      <c r="A12" s="42"/>
      <c r="B12" s="42"/>
      <c r="C12" s="42"/>
      <c r="D12" s="167"/>
      <c r="E12" s="167"/>
      <c r="F12" s="42"/>
      <c r="G12" s="42"/>
      <c r="H12" s="42"/>
      <c r="I12" s="42"/>
      <c r="J12" s="42"/>
      <c r="K12" s="42"/>
    </row>
    <row r="13" ht="18.75" customHeight="1">
      <c r="A13" s="42"/>
      <c r="B13" s="42"/>
      <c r="C13" s="42"/>
      <c r="D13" s="168"/>
      <c r="E13" s="168"/>
      <c r="F13" s="136"/>
      <c r="G13" s="136"/>
      <c r="H13" s="42"/>
      <c r="I13" s="42"/>
      <c r="J13" s="42"/>
      <c r="K13" s="42"/>
    </row>
    <row r="14" ht="18.75" customHeight="1">
      <c r="A14" s="42"/>
      <c r="B14" s="42"/>
      <c r="C14" s="139"/>
      <c r="D14" s="140" t="s">
        <v>177</v>
      </c>
      <c r="E14" s="141"/>
      <c r="F14" s="141"/>
      <c r="G14" s="142"/>
      <c r="H14" s="160"/>
      <c r="I14" s="42"/>
      <c r="J14" s="42"/>
      <c r="K14" s="42"/>
    </row>
    <row r="15" ht="18.75" customHeight="1">
      <c r="A15" s="42"/>
      <c r="B15" s="42"/>
      <c r="C15" s="139"/>
      <c r="D15" s="140" t="s">
        <v>154</v>
      </c>
      <c r="E15" s="142"/>
      <c r="F15" s="140" t="s">
        <v>155</v>
      </c>
      <c r="G15" s="142"/>
      <c r="H15" s="160"/>
      <c r="I15" s="42"/>
      <c r="J15" s="42"/>
      <c r="K15" s="42"/>
    </row>
    <row r="16" ht="18.75" customHeight="1">
      <c r="A16" s="42"/>
      <c r="B16" s="42"/>
      <c r="C16" s="139"/>
      <c r="D16" s="150" t="s">
        <v>86</v>
      </c>
      <c r="E16" s="155">
        <f>Resum!B4</f>
        <v>42</v>
      </c>
      <c r="F16" s="150" t="s">
        <v>176</v>
      </c>
      <c r="G16" s="166">
        <f>ROUND(B3/E16,0)+1</f>
        <v>7</v>
      </c>
      <c r="H16" s="160"/>
      <c r="I16" s="42"/>
      <c r="J16" s="42"/>
      <c r="K16" s="42"/>
    </row>
    <row r="17" ht="18.75" customHeight="1">
      <c r="A17" s="42"/>
      <c r="B17" s="42"/>
      <c r="C17" s="139"/>
      <c r="D17" s="150" t="s">
        <v>178</v>
      </c>
      <c r="E17" s="158">
        <v>9000.0</v>
      </c>
      <c r="F17" s="150" t="s">
        <v>179</v>
      </c>
      <c r="G17" s="156">
        <f>G16*E17</f>
        <v>63000</v>
      </c>
      <c r="H17" s="160"/>
      <c r="I17" s="42"/>
      <c r="J17" s="42"/>
      <c r="K17" s="42"/>
    </row>
    <row r="18" ht="18.75" customHeight="1">
      <c r="A18" s="42"/>
      <c r="B18" s="42"/>
      <c r="C18" s="139"/>
      <c r="D18" s="150" t="s">
        <v>180</v>
      </c>
      <c r="E18" s="158">
        <v>900.0</v>
      </c>
      <c r="F18" s="150" t="s">
        <v>181</v>
      </c>
      <c r="G18" s="156">
        <f>B7*(E19-1)</f>
        <v>27868.62496</v>
      </c>
      <c r="H18" s="160"/>
      <c r="I18" s="42"/>
      <c r="J18" s="42"/>
      <c r="K18" s="42"/>
    </row>
    <row r="19" ht="18.75" customHeight="1">
      <c r="A19" s="42"/>
      <c r="B19" s="42"/>
      <c r="C19" s="139"/>
      <c r="D19" s="150" t="s">
        <v>137</v>
      </c>
      <c r="E19" s="151">
        <v>1.4</v>
      </c>
      <c r="F19" s="150" t="s">
        <v>167</v>
      </c>
      <c r="G19" s="156">
        <f>B8*E18*G16</f>
        <v>6300</v>
      </c>
      <c r="H19" s="160"/>
      <c r="I19" s="42"/>
      <c r="J19" s="42"/>
      <c r="K19" s="42"/>
    </row>
    <row r="20" ht="18.75" customHeight="1">
      <c r="A20" s="42"/>
      <c r="B20" s="42"/>
      <c r="C20" s="42"/>
      <c r="D20" s="169"/>
      <c r="E20" s="170"/>
      <c r="F20" s="150" t="s">
        <v>170</v>
      </c>
      <c r="G20" s="156">
        <f>B9*2000*12</f>
        <v>0</v>
      </c>
      <c r="H20" s="160"/>
      <c r="I20" s="42"/>
      <c r="J20" s="42"/>
      <c r="K20" s="42"/>
    </row>
    <row r="21" ht="18.75" customHeight="1">
      <c r="A21" s="42"/>
      <c r="B21" s="42"/>
      <c r="C21" s="42"/>
      <c r="D21" s="171"/>
      <c r="E21" s="172"/>
      <c r="F21" s="150" t="s">
        <v>174</v>
      </c>
      <c r="G21" s="156">
        <f>SUM(G16:G20)</f>
        <v>97175.62496</v>
      </c>
      <c r="H21" s="160"/>
      <c r="I21" s="42"/>
      <c r="J21" s="42"/>
      <c r="K21" s="42"/>
    </row>
    <row r="22" ht="18.75" customHeight="1">
      <c r="A22" s="42"/>
      <c r="B22" s="42"/>
      <c r="C22" s="42"/>
      <c r="D22" s="42"/>
      <c r="E22" s="42"/>
      <c r="F22" s="161"/>
      <c r="G22" s="161"/>
      <c r="H22" s="42"/>
      <c r="I22" s="42"/>
      <c r="J22" s="42"/>
      <c r="K22" s="42"/>
    </row>
    <row r="23" ht="18.75" customHeight="1">
      <c r="A23" s="42"/>
      <c r="B23" s="42"/>
      <c r="C23" s="42"/>
      <c r="D23" s="136"/>
      <c r="E23" s="136"/>
      <c r="F23" s="136"/>
      <c r="G23" s="136"/>
      <c r="H23" s="42"/>
      <c r="I23" s="42"/>
      <c r="J23" s="42"/>
      <c r="K23" s="42"/>
    </row>
    <row r="24" ht="18.75" customHeight="1">
      <c r="A24" s="42"/>
      <c r="B24" s="42"/>
      <c r="C24" s="139"/>
      <c r="D24" s="140" t="s">
        <v>182</v>
      </c>
      <c r="E24" s="141"/>
      <c r="F24" s="141"/>
      <c r="G24" s="142"/>
      <c r="H24" s="160"/>
      <c r="I24" s="42"/>
      <c r="J24" s="42"/>
      <c r="K24" s="42"/>
    </row>
    <row r="25" ht="18.75" customHeight="1">
      <c r="A25" s="42"/>
      <c r="B25" s="42"/>
      <c r="C25" s="139"/>
      <c r="D25" s="140" t="s">
        <v>154</v>
      </c>
      <c r="E25" s="142"/>
      <c r="F25" s="140" t="s">
        <v>155</v>
      </c>
      <c r="G25" s="142"/>
      <c r="H25" s="160"/>
      <c r="I25" s="42"/>
      <c r="J25" s="42"/>
      <c r="K25" s="42"/>
    </row>
    <row r="26" ht="18.75" customHeight="1">
      <c r="A26" s="42"/>
      <c r="B26" s="42"/>
      <c r="C26" s="139"/>
      <c r="D26" s="150" t="s">
        <v>86</v>
      </c>
      <c r="E26" s="155">
        <f>Resum!B4</f>
        <v>42</v>
      </c>
      <c r="F26" s="150" t="s">
        <v>176</v>
      </c>
      <c r="G26" s="166">
        <f>ROUND(B3/E26,0)+1</f>
        <v>7</v>
      </c>
      <c r="H26" s="160"/>
      <c r="I26" s="42"/>
      <c r="J26" s="42"/>
      <c r="K26" s="42"/>
    </row>
    <row r="27" ht="18.75" customHeight="1">
      <c r="A27" s="42"/>
      <c r="B27" s="42"/>
      <c r="C27" s="139"/>
      <c r="D27" s="150" t="s">
        <v>178</v>
      </c>
      <c r="E27" s="158">
        <v>14000.0</v>
      </c>
      <c r="F27" s="150" t="s">
        <v>179</v>
      </c>
      <c r="G27" s="156">
        <f>G26*E27</f>
        <v>98000</v>
      </c>
      <c r="H27" s="160"/>
      <c r="I27" s="42"/>
      <c r="J27" s="42"/>
      <c r="K27" s="42"/>
    </row>
    <row r="28" ht="18.75" customHeight="1">
      <c r="A28" s="42"/>
      <c r="B28" s="42"/>
      <c r="C28" s="139"/>
      <c r="D28" s="150" t="s">
        <v>137</v>
      </c>
      <c r="E28" s="151">
        <v>1.15</v>
      </c>
      <c r="F28" s="150" t="s">
        <v>183</v>
      </c>
      <c r="G28" s="156">
        <f>B7*(E28-1)</f>
        <v>10450.73436</v>
      </c>
      <c r="H28" s="160"/>
      <c r="I28" s="42"/>
      <c r="J28" s="42"/>
      <c r="K28" s="42"/>
    </row>
    <row r="29" ht="18.75" customHeight="1">
      <c r="A29" s="42"/>
      <c r="B29" s="42"/>
      <c r="C29" s="42"/>
      <c r="D29" s="173"/>
      <c r="E29" s="170"/>
      <c r="F29" s="150" t="s">
        <v>170</v>
      </c>
      <c r="G29" s="156">
        <f>B9*3500*12</f>
        <v>0</v>
      </c>
      <c r="H29" s="160"/>
      <c r="I29" s="42"/>
      <c r="J29" s="42"/>
      <c r="K29" s="42"/>
    </row>
    <row r="30" ht="18.75" customHeight="1">
      <c r="A30" s="42"/>
      <c r="B30" s="42"/>
      <c r="C30" s="42"/>
      <c r="D30" s="174"/>
      <c r="E30" s="172"/>
      <c r="F30" s="150" t="s">
        <v>174</v>
      </c>
      <c r="G30" s="156">
        <f>SUM(G27:G29)</f>
        <v>108450.7344</v>
      </c>
      <c r="H30" s="160"/>
      <c r="I30" s="42"/>
      <c r="J30" s="42"/>
      <c r="K30" s="42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5"/>
      <c r="B1" s="175"/>
      <c r="C1" s="42"/>
      <c r="D1" s="175"/>
      <c r="E1" s="175"/>
      <c r="F1" s="175"/>
      <c r="G1" s="175"/>
      <c r="H1" s="175"/>
      <c r="I1" s="42"/>
      <c r="J1" s="42"/>
      <c r="K1" s="42"/>
      <c r="L1" s="42"/>
      <c r="M1" s="42"/>
    </row>
    <row r="2" ht="18.75" customHeight="1">
      <c r="A2" s="176" t="s">
        <v>184</v>
      </c>
      <c r="B2" s="81"/>
      <c r="C2" s="177"/>
      <c r="D2" s="178" t="s">
        <v>185</v>
      </c>
      <c r="E2" s="80"/>
      <c r="F2" s="80"/>
      <c r="G2" s="80"/>
      <c r="H2" s="81"/>
      <c r="I2" s="179"/>
      <c r="J2" s="42"/>
      <c r="K2" s="42"/>
      <c r="L2" s="42"/>
      <c r="M2" s="42"/>
    </row>
    <row r="3" ht="15.0" customHeight="1">
      <c r="A3" s="180" t="s">
        <v>186</v>
      </c>
      <c r="B3" s="181">
        <f>Resum!B13</f>
        <v>500000</v>
      </c>
      <c r="C3" s="177"/>
      <c r="D3" s="178" t="s">
        <v>154</v>
      </c>
      <c r="E3" s="81"/>
      <c r="F3" s="182" t="s">
        <v>187</v>
      </c>
      <c r="G3" s="178" t="s">
        <v>155</v>
      </c>
      <c r="H3" s="81"/>
      <c r="I3" s="179"/>
      <c r="J3" s="183"/>
      <c r="K3" s="184"/>
      <c r="L3" s="175"/>
      <c r="M3" s="42"/>
    </row>
    <row r="4" ht="18.75" customHeight="1">
      <c r="A4" s="185" t="s">
        <v>25</v>
      </c>
      <c r="B4" s="186">
        <f>Resum!B14</f>
        <v>30</v>
      </c>
      <c r="C4" s="177"/>
      <c r="D4" s="187" t="s">
        <v>188</v>
      </c>
      <c r="E4" s="188">
        <v>0.09</v>
      </c>
      <c r="F4" s="189">
        <f>IF($B$3&gt;1000,1000,MAX($B$3,0))</f>
        <v>1000</v>
      </c>
      <c r="G4" s="187" t="s">
        <v>189</v>
      </c>
      <c r="H4" s="189">
        <f>F4*E4+F5*E5+F6*E6+F7*E7+F8*E8</f>
        <v>33015</v>
      </c>
      <c r="I4" s="177"/>
      <c r="J4" s="190" t="s">
        <v>190</v>
      </c>
      <c r="K4" s="80"/>
      <c r="L4" s="81"/>
      <c r="M4" s="179"/>
    </row>
    <row r="5" ht="18.75" customHeight="1">
      <c r="A5" s="180" t="s">
        <v>27</v>
      </c>
      <c r="B5" s="186">
        <f>Resum!B15</f>
        <v>12</v>
      </c>
      <c r="C5" s="177"/>
      <c r="D5" s="187" t="s">
        <v>191</v>
      </c>
      <c r="E5" s="188">
        <v>0.075</v>
      </c>
      <c r="F5" s="189">
        <f>IF($B$3&gt;50*1000,50*1000-F4,MAX($B$3-F4,0))</f>
        <v>49000</v>
      </c>
      <c r="G5" s="191"/>
      <c r="H5" s="192"/>
      <c r="I5" s="193"/>
      <c r="J5" s="194" t="s">
        <v>192</v>
      </c>
      <c r="K5" s="194" t="s">
        <v>156</v>
      </c>
      <c r="L5" s="194" t="s">
        <v>157</v>
      </c>
      <c r="M5" s="179"/>
    </row>
    <row r="6" ht="18.75" customHeight="1">
      <c r="A6" s="180" t="s">
        <v>193</v>
      </c>
      <c r="B6" s="195">
        <v>400.0</v>
      </c>
      <c r="C6" s="177"/>
      <c r="D6" s="187" t="s">
        <v>194</v>
      </c>
      <c r="E6" s="188">
        <v>0.065</v>
      </c>
      <c r="F6" s="189">
        <f>IF($B$3&gt;500*1000,500*1000-F5-F4,MAX($B$3-F5-F4,0))</f>
        <v>450000</v>
      </c>
      <c r="G6" s="196"/>
      <c r="H6" s="197"/>
      <c r="I6" s="198" t="str">
        <f>IF(Resum!B16=1,"X","")</f>
        <v/>
      </c>
      <c r="J6" s="199">
        <v>1.0</v>
      </c>
      <c r="K6" s="200" t="s">
        <v>195</v>
      </c>
      <c r="L6" s="201">
        <f>H4*12</f>
        <v>396180</v>
      </c>
      <c r="M6" s="179"/>
    </row>
    <row r="7" ht="18.75" customHeight="1">
      <c r="A7" s="185" t="s">
        <v>30</v>
      </c>
      <c r="B7" s="202">
        <f>IF(Resum!B18=1,1,0)</f>
        <v>1</v>
      </c>
      <c r="C7" s="177"/>
      <c r="D7" s="187" t="s">
        <v>196</v>
      </c>
      <c r="E7" s="188">
        <v>0.055</v>
      </c>
      <c r="F7" s="189">
        <f>IF($B$3&gt;5000*1000,5000*1000-F6-F5-F4,MAX($B$3-F6-F5-F4,0))</f>
        <v>0</v>
      </c>
      <c r="G7" s="196"/>
      <c r="H7" s="197"/>
      <c r="I7" s="198" t="str">
        <f>IF(Resum!B16=2,"X","")</f>
        <v>X</v>
      </c>
      <c r="J7" s="199">
        <v>2.0</v>
      </c>
      <c r="K7" s="200" t="s">
        <v>197</v>
      </c>
      <c r="L7" s="201">
        <f>H12*12</f>
        <v>425004</v>
      </c>
      <c r="M7" s="179"/>
    </row>
    <row r="8" ht="18.75" customHeight="1">
      <c r="A8" s="203" t="s">
        <v>198</v>
      </c>
      <c r="B8" s="81"/>
      <c r="C8" s="177"/>
      <c r="D8" s="187" t="s">
        <v>199</v>
      </c>
      <c r="E8" s="188">
        <v>0.05</v>
      </c>
      <c r="F8" s="189">
        <f>IF($B$3&gt;5000*1000,$B$3-F7-F6-F5-F4,0)</f>
        <v>0</v>
      </c>
      <c r="G8" s="179"/>
      <c r="H8" s="204"/>
      <c r="I8" s="198" t="str">
        <f>IF(Resum!B16=3,"X","")</f>
        <v/>
      </c>
      <c r="J8" s="199">
        <v>3.0</v>
      </c>
      <c r="K8" s="200" t="s">
        <v>200</v>
      </c>
      <c r="L8" s="199">
        <v>0.0</v>
      </c>
      <c r="M8" s="179"/>
    </row>
    <row r="9" ht="18.75" customHeight="1">
      <c r="A9" s="205" t="str">
        <f>IF(Resum!B16=1,"Microworks Azure M-A",IF(Resum!B16=2,"MonsoonS3 MS3",IF(Resum!B16=3,"Take the tapes and run","error")))</f>
        <v>MonsoonS3 MS3</v>
      </c>
      <c r="B9" s="81"/>
      <c r="C9" s="177"/>
      <c r="D9" s="206"/>
      <c r="E9" s="207"/>
      <c r="F9" s="207"/>
      <c r="G9" s="208"/>
      <c r="H9" s="208"/>
      <c r="I9" s="42"/>
      <c r="J9" s="101"/>
      <c r="K9" s="101"/>
      <c r="L9" s="101"/>
      <c r="M9" s="42"/>
    </row>
    <row r="10" ht="18.75" customHeight="1">
      <c r="A10" s="209" t="s">
        <v>201</v>
      </c>
      <c r="B10" s="210">
        <f>Resum!B17</f>
        <v>0</v>
      </c>
      <c r="C10" s="177"/>
      <c r="D10" s="178" t="s">
        <v>202</v>
      </c>
      <c r="E10" s="80"/>
      <c r="F10" s="80"/>
      <c r="G10" s="80"/>
      <c r="H10" s="81"/>
      <c r="I10" s="179"/>
      <c r="J10" s="42"/>
      <c r="K10" s="42"/>
      <c r="L10" s="42"/>
      <c r="M10" s="42"/>
    </row>
    <row r="11" ht="18.75" customHeight="1">
      <c r="A11" s="209" t="s">
        <v>203</v>
      </c>
      <c r="B11" s="210">
        <f>Resum!B18</f>
        <v>1</v>
      </c>
      <c r="C11" s="177"/>
      <c r="D11" s="178" t="s">
        <v>154</v>
      </c>
      <c r="E11" s="81"/>
      <c r="F11" s="182" t="s">
        <v>187</v>
      </c>
      <c r="G11" s="178" t="s">
        <v>155</v>
      </c>
      <c r="H11" s="81"/>
      <c r="I11" s="179"/>
      <c r="J11" s="42"/>
      <c r="K11" s="42"/>
      <c r="L11" s="42"/>
      <c r="M11" s="42"/>
    </row>
    <row r="12" ht="18.75" customHeight="1">
      <c r="A12" s="101"/>
      <c r="B12" s="101"/>
      <c r="C12" s="193"/>
      <c r="D12" s="187" t="s">
        <v>188</v>
      </c>
      <c r="E12" s="188">
        <v>0.095</v>
      </c>
      <c r="F12" s="189">
        <f>IF($B$3&gt;1000,1000,MAX($B$3,0))</f>
        <v>1000</v>
      </c>
      <c r="G12" s="187" t="s">
        <v>189</v>
      </c>
      <c r="H12" s="189">
        <f>F12*E12+F13*E13+F14*E14+F15*E15+F16*E16</f>
        <v>35417</v>
      </c>
      <c r="I12" s="179"/>
      <c r="J12" s="42"/>
      <c r="K12" s="42"/>
      <c r="L12" s="42"/>
      <c r="M12" s="42"/>
    </row>
    <row r="13" ht="18.75" customHeight="1">
      <c r="A13" s="42"/>
      <c r="B13" s="42"/>
      <c r="C13" s="193"/>
      <c r="D13" s="187" t="s">
        <v>191</v>
      </c>
      <c r="E13" s="188">
        <v>0.078</v>
      </c>
      <c r="F13" s="189">
        <f>IF($B$3&gt;50*1000,50*1000-F12,MAX($B$3-F12,0))</f>
        <v>49000</v>
      </c>
      <c r="G13" s="191"/>
      <c r="H13" s="192"/>
      <c r="I13" s="42"/>
      <c r="J13" s="42"/>
      <c r="K13" s="42"/>
      <c r="L13" s="42"/>
      <c r="M13" s="42"/>
    </row>
    <row r="14" ht="18.75" customHeight="1">
      <c r="A14" s="42"/>
      <c r="B14" s="42"/>
      <c r="C14" s="193"/>
      <c r="D14" s="187" t="s">
        <v>194</v>
      </c>
      <c r="E14" s="188">
        <v>0.07</v>
      </c>
      <c r="F14" s="189">
        <f>IF($B$3&gt;500*1000,500*1000-F13-F12,MAX($B$3-F13-F12,0))</f>
        <v>450000</v>
      </c>
      <c r="G14" s="196"/>
      <c r="H14" s="197"/>
      <c r="I14" s="42"/>
      <c r="J14" s="42"/>
      <c r="K14" s="42"/>
      <c r="L14" s="42"/>
      <c r="M14" s="42"/>
    </row>
    <row r="15" ht="18.75" customHeight="1">
      <c r="A15" s="42"/>
      <c r="B15" s="42"/>
      <c r="C15" s="193"/>
      <c r="D15" s="187" t="s">
        <v>196</v>
      </c>
      <c r="E15" s="188">
        <v>0.065</v>
      </c>
      <c r="F15" s="189">
        <f>IF($B$3&gt;5000*1000,5000*1000-F14-F13-F12,MAX($B$3-F14-F13-F12,0))</f>
        <v>0</v>
      </c>
      <c r="G15" s="196"/>
      <c r="H15" s="197"/>
      <c r="I15" s="42"/>
      <c r="J15" s="42"/>
      <c r="K15" s="42"/>
      <c r="L15" s="42"/>
      <c r="M15" s="42"/>
    </row>
    <row r="16" ht="18.75" customHeight="1">
      <c r="A16" s="42"/>
      <c r="B16" s="42"/>
      <c r="C16" s="193"/>
      <c r="D16" s="187" t="s">
        <v>199</v>
      </c>
      <c r="E16" s="188">
        <v>0.055</v>
      </c>
      <c r="F16" s="189">
        <f>IF($B$3&gt;5000*1000,$B$3-F15-F14-F13-F12,0)</f>
        <v>0</v>
      </c>
      <c r="G16" s="196"/>
      <c r="H16" s="204"/>
      <c r="I16" s="42"/>
      <c r="J16" s="42"/>
      <c r="K16" s="42"/>
      <c r="L16" s="42"/>
      <c r="M16" s="42"/>
    </row>
    <row r="17" ht="18.75" customHeight="1">
      <c r="A17" s="42"/>
      <c r="B17" s="42"/>
      <c r="C17" s="193"/>
      <c r="D17" s="206"/>
      <c r="E17" s="207"/>
      <c r="F17" s="207"/>
      <c r="G17" s="208"/>
      <c r="H17" s="211"/>
      <c r="I17" s="42"/>
      <c r="J17" s="42"/>
      <c r="K17" s="42"/>
      <c r="L17" s="42"/>
      <c r="M17" s="42"/>
    </row>
    <row r="18" ht="18.75" customHeight="1">
      <c r="A18" s="42"/>
      <c r="B18" s="42"/>
      <c r="C18" s="193"/>
      <c r="D18" s="212" t="s">
        <v>204</v>
      </c>
      <c r="E18" s="213"/>
      <c r="F18" s="213"/>
      <c r="G18" s="213"/>
      <c r="H18" s="214"/>
      <c r="I18" s="215"/>
      <c r="J18" s="42"/>
      <c r="K18" s="175"/>
      <c r="L18" s="175"/>
      <c r="M18" s="42"/>
    </row>
    <row r="19" ht="18.75" customHeight="1">
      <c r="A19" s="42"/>
      <c r="B19" s="42"/>
      <c r="C19" s="193"/>
      <c r="D19" s="182" t="s">
        <v>204</v>
      </c>
      <c r="E19" s="182" t="s">
        <v>205</v>
      </c>
      <c r="F19" s="182" t="s">
        <v>206</v>
      </c>
      <c r="G19" s="182" t="s">
        <v>207</v>
      </c>
      <c r="H19" s="216" t="s">
        <v>208</v>
      </c>
      <c r="I19" s="182" t="s">
        <v>79</v>
      </c>
      <c r="J19" s="177"/>
      <c r="K19" s="190" t="s">
        <v>209</v>
      </c>
      <c r="L19" s="81"/>
      <c r="M19" s="179"/>
    </row>
    <row r="20" ht="18.75" customHeight="1">
      <c r="A20" s="42"/>
      <c r="B20" s="42"/>
      <c r="C20" s="193"/>
      <c r="D20" s="187" t="s">
        <v>210</v>
      </c>
      <c r="E20" s="188">
        <v>0.011</v>
      </c>
      <c r="F20" s="189">
        <f t="shared" ref="F20:F23" si="1">365/$B$4</f>
        <v>12.16666667</v>
      </c>
      <c r="G20" s="189">
        <f t="shared" ref="G20:G23" si="2">$B$3*E20*F20</f>
        <v>66916.66667</v>
      </c>
      <c r="H20" s="189">
        <f t="shared" ref="H20:H21" si="3">100*$B$5*12</f>
        <v>14400</v>
      </c>
      <c r="I20" s="189">
        <f t="shared" ref="I20:I23" si="4">H20+G20</f>
        <v>81316.66667</v>
      </c>
      <c r="J20" s="177"/>
      <c r="K20" s="217" t="s">
        <v>156</v>
      </c>
      <c r="L20" s="194" t="s">
        <v>157</v>
      </c>
      <c r="M20" s="218" t="s">
        <v>211</v>
      </c>
    </row>
    <row r="21" ht="18.75" customHeight="1">
      <c r="A21" s="42"/>
      <c r="B21" s="42"/>
      <c r="C21" s="193"/>
      <c r="D21" s="187" t="s">
        <v>212</v>
      </c>
      <c r="E21" s="188">
        <v>0.02</v>
      </c>
      <c r="F21" s="189">
        <f t="shared" si="1"/>
        <v>12.16666667</v>
      </c>
      <c r="G21" s="189">
        <f t="shared" si="2"/>
        <v>121666.6667</v>
      </c>
      <c r="H21" s="189">
        <f t="shared" si="3"/>
        <v>14400</v>
      </c>
      <c r="I21" s="189">
        <f t="shared" si="4"/>
        <v>136066.6667</v>
      </c>
      <c r="J21" s="177"/>
      <c r="K21" s="200" t="s">
        <v>213</v>
      </c>
      <c r="L21" s="201">
        <f t="shared" ref="L21:L24" si="5">I20</f>
        <v>81316.66667</v>
      </c>
      <c r="M21" s="179">
        <f>IF(AND(Resum!B16=1,Resum!B17=1),L21,0)</f>
        <v>0</v>
      </c>
    </row>
    <row r="22" ht="18.75" customHeight="1">
      <c r="A22" s="42"/>
      <c r="B22" s="42"/>
      <c r="C22" s="193"/>
      <c r="D22" s="187" t="s">
        <v>214</v>
      </c>
      <c r="E22" s="188">
        <v>0.009</v>
      </c>
      <c r="F22" s="189">
        <f t="shared" si="1"/>
        <v>12.16666667</v>
      </c>
      <c r="G22" s="189">
        <f t="shared" si="2"/>
        <v>54750</v>
      </c>
      <c r="H22" s="189">
        <f t="shared" ref="H22:H23" si="6">90*$B$5*12</f>
        <v>12960</v>
      </c>
      <c r="I22" s="189">
        <f t="shared" si="4"/>
        <v>67710</v>
      </c>
      <c r="J22" s="177"/>
      <c r="K22" s="200" t="s">
        <v>215</v>
      </c>
      <c r="L22" s="201">
        <f t="shared" si="5"/>
        <v>136066.6667</v>
      </c>
      <c r="M22" s="179">
        <f>IF(AND(Resum!B16=1,Resum!B17=0),L22,0)</f>
        <v>0</v>
      </c>
    </row>
    <row r="23" ht="18.75" customHeight="1">
      <c r="A23" s="42"/>
      <c r="B23" s="42"/>
      <c r="C23" s="193"/>
      <c r="D23" s="187" t="s">
        <v>216</v>
      </c>
      <c r="E23" s="188">
        <v>0.019</v>
      </c>
      <c r="F23" s="189">
        <f t="shared" si="1"/>
        <v>12.16666667</v>
      </c>
      <c r="G23" s="189">
        <f t="shared" si="2"/>
        <v>115583.3333</v>
      </c>
      <c r="H23" s="189">
        <f t="shared" si="6"/>
        <v>12960</v>
      </c>
      <c r="I23" s="189">
        <f t="shared" si="4"/>
        <v>128543.3333</v>
      </c>
      <c r="J23" s="177"/>
      <c r="K23" s="200" t="s">
        <v>217</v>
      </c>
      <c r="L23" s="201">
        <f t="shared" si="5"/>
        <v>67710</v>
      </c>
      <c r="M23" s="219">
        <f>IF(AND(Resum!B16=2,Resum!B17=1),L23,0)</f>
        <v>0</v>
      </c>
    </row>
    <row r="24" ht="18.75" customHeight="1">
      <c r="A24" s="42"/>
      <c r="B24" s="42"/>
      <c r="C24" s="193"/>
      <c r="D24" s="220"/>
      <c r="E24" s="221" t="s">
        <v>218</v>
      </c>
      <c r="F24" s="221" t="s">
        <v>219</v>
      </c>
      <c r="G24" s="221" t="s">
        <v>220</v>
      </c>
      <c r="H24" s="221" t="s">
        <v>221</v>
      </c>
      <c r="I24" s="221" t="s">
        <v>79</v>
      </c>
      <c r="J24" s="222"/>
      <c r="K24" s="200" t="s">
        <v>222</v>
      </c>
      <c r="L24" s="201">
        <f t="shared" si="5"/>
        <v>128543.3333</v>
      </c>
      <c r="M24" s="219">
        <f>IF(AND(Resum!B16=2,Resum!B17=0),L24,0)</f>
        <v>128543.3333</v>
      </c>
    </row>
    <row r="25" ht="18.75" customHeight="1">
      <c r="A25" s="42"/>
      <c r="B25" s="42"/>
      <c r="C25" s="193"/>
      <c r="D25" s="187" t="s">
        <v>223</v>
      </c>
      <c r="E25" s="189">
        <f>ROUNDUP($B$3/$B$6,0)</f>
        <v>1250</v>
      </c>
      <c r="F25" s="189">
        <f>365/$B$4</f>
        <v>12.16666667</v>
      </c>
      <c r="G25" s="189">
        <f>120*F25*2</f>
        <v>2920</v>
      </c>
      <c r="H25" s="189">
        <f>ROUNDUP(E25*$B$5/20,0)*100</f>
        <v>75000</v>
      </c>
      <c r="I25" s="189">
        <f>G25+H25</f>
        <v>77920</v>
      </c>
      <c r="J25" s="177"/>
      <c r="K25" s="200" t="s">
        <v>224</v>
      </c>
      <c r="L25" s="201">
        <f>I25</f>
        <v>77920</v>
      </c>
      <c r="M25" s="179">
        <f>IF(Resum!B16=3,L25,0)</f>
        <v>0</v>
      </c>
    </row>
    <row r="26" ht="18.75" customHeight="1">
      <c r="A26" s="42"/>
      <c r="B26" s="42"/>
      <c r="C26" s="42"/>
      <c r="D26" s="223" t="s">
        <v>225</v>
      </c>
      <c r="E26" s="223" t="s">
        <v>226</v>
      </c>
      <c r="F26" s="223" t="s">
        <v>227</v>
      </c>
      <c r="G26" s="223" t="s">
        <v>228</v>
      </c>
      <c r="H26" s="224"/>
      <c r="I26" s="223" t="s">
        <v>79</v>
      </c>
      <c r="J26" s="42"/>
      <c r="K26" s="101"/>
      <c r="L26" s="101"/>
      <c r="M26" s="42"/>
    </row>
    <row r="27" ht="18.75" customHeight="1">
      <c r="A27" s="42"/>
      <c r="B27" s="42"/>
      <c r="C27" s="42"/>
      <c r="D27" s="225"/>
      <c r="E27" s="225">
        <f>E25*B5</f>
        <v>15000</v>
      </c>
      <c r="F27" s="225">
        <f>IF($E$25&lt;24,2500,IF($E$25&lt;48,3800,IF($E$25&lt;96,12000,70000)))</f>
        <v>70000</v>
      </c>
      <c r="G27" s="225">
        <f>E27*100</f>
        <v>1500000</v>
      </c>
      <c r="H27" s="225"/>
      <c r="I27" s="225">
        <f>(F27+G27)*B11</f>
        <v>1570000</v>
      </c>
      <c r="J27" s="42"/>
      <c r="K27" s="42"/>
      <c r="L27" s="42"/>
      <c r="M27" s="48">
        <f>SUM(M21:M26)</f>
        <v>128543.3333</v>
      </c>
    </row>
    <row r="28" ht="18.75" customHeight="1">
      <c r="A28" s="42"/>
      <c r="B28" s="42"/>
      <c r="C28" s="42"/>
      <c r="D28" s="226" t="s">
        <v>229</v>
      </c>
      <c r="E28" s="227"/>
      <c r="F28" s="226" t="s">
        <v>230</v>
      </c>
      <c r="G28" s="228" t="s">
        <v>231</v>
      </c>
      <c r="H28" s="228" t="s">
        <v>232</v>
      </c>
      <c r="I28" s="225"/>
      <c r="J28" s="42"/>
      <c r="K28" s="42"/>
      <c r="L28" s="42"/>
      <c r="M28" s="48"/>
    </row>
    <row r="29" ht="18.75" customHeight="1">
      <c r="A29" s="42"/>
      <c r="B29" s="42"/>
      <c r="C29" s="42"/>
      <c r="D29" s="229">
        <f>IF($E$25&lt;24,168,IF($E$25&lt;48,312,IF($E$25&lt;96,560,1500)))/1000</f>
        <v>1.5</v>
      </c>
      <c r="E29" s="225"/>
      <c r="F29" s="230">
        <f>IF($E$25&lt;24,2,IF($E$25&lt;48,4,IF($E$25&lt;96,8,40)))</f>
        <v>40</v>
      </c>
      <c r="G29" s="231">
        <f>F29*B7</f>
        <v>40</v>
      </c>
      <c r="H29" s="232">
        <f>D29*B7</f>
        <v>1.5</v>
      </c>
      <c r="I29" s="225"/>
      <c r="J29" s="42"/>
      <c r="K29" s="228" t="s">
        <v>233</v>
      </c>
      <c r="L29" s="233">
        <f>$I$27</f>
        <v>1570000</v>
      </c>
      <c r="M29" s="48">
        <f>L29*B10</f>
        <v>0</v>
      </c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4" t="s">
        <v>234</v>
      </c>
      <c r="B1" s="234" t="s">
        <v>235</v>
      </c>
      <c r="C1" s="234" t="s">
        <v>236</v>
      </c>
      <c r="D1" s="234" t="s">
        <v>237</v>
      </c>
      <c r="E1" s="234" t="s">
        <v>238</v>
      </c>
      <c r="F1" s="234" t="s">
        <v>239</v>
      </c>
      <c r="G1" s="235" t="s">
        <v>240</v>
      </c>
      <c r="H1" s="42"/>
      <c r="I1" s="42"/>
      <c r="J1" s="42"/>
      <c r="K1" s="42"/>
    </row>
    <row r="2" ht="19.5" customHeight="1">
      <c r="A2" s="91">
        <v>1.0</v>
      </c>
      <c r="B2" s="236">
        <v>10.0</v>
      </c>
      <c r="C2" s="237" t="s">
        <v>241</v>
      </c>
      <c r="D2" s="238">
        <v>0.63</v>
      </c>
      <c r="E2" s="210">
        <f>IF(Resum!$B$24=1,Resum!B25,0)</f>
        <v>0</v>
      </c>
      <c r="F2" s="239">
        <f t="shared" ref="F2:F6" si="1">D2*E2*12</f>
        <v>0</v>
      </c>
      <c r="G2" s="239">
        <f t="shared" ref="G2:G6" si="2">F2*0.4</f>
        <v>0</v>
      </c>
      <c r="H2" s="240"/>
      <c r="I2" s="167"/>
      <c r="J2" s="167"/>
      <c r="K2" s="167"/>
    </row>
    <row r="3" ht="19.5" customHeight="1">
      <c r="A3" s="91">
        <v>2.0</v>
      </c>
      <c r="B3" s="236">
        <v>100.0</v>
      </c>
      <c r="C3" s="237" t="s">
        <v>241</v>
      </c>
      <c r="D3" s="238">
        <v>6.3</v>
      </c>
      <c r="E3" s="210">
        <f>IF(Resum!$B$24=2,Resum!B25,0)</f>
        <v>0</v>
      </c>
      <c r="F3" s="239">
        <f t="shared" si="1"/>
        <v>0</v>
      </c>
      <c r="G3" s="239">
        <f t="shared" si="2"/>
        <v>0</v>
      </c>
      <c r="H3" s="196"/>
      <c r="I3" s="197"/>
      <c r="J3" s="197"/>
      <c r="K3" s="197"/>
    </row>
    <row r="4" ht="19.5" customHeight="1">
      <c r="A4" s="91">
        <v>3.0</v>
      </c>
      <c r="B4" s="236">
        <v>1000.0</v>
      </c>
      <c r="C4" s="237" t="s">
        <v>241</v>
      </c>
      <c r="D4" s="238">
        <v>63.0</v>
      </c>
      <c r="E4" s="210">
        <f>IF(Resum!$B$24=3,Resum!B25,0)</f>
        <v>0</v>
      </c>
      <c r="F4" s="239">
        <f t="shared" si="1"/>
        <v>0</v>
      </c>
      <c r="G4" s="239">
        <f t="shared" si="2"/>
        <v>0</v>
      </c>
      <c r="H4" s="196"/>
      <c r="I4" s="197"/>
      <c r="J4" s="197"/>
      <c r="K4" s="197"/>
    </row>
    <row r="5" ht="19.5" customHeight="1">
      <c r="A5" s="91">
        <v>4.0</v>
      </c>
      <c r="B5" s="236">
        <v>10000.0</v>
      </c>
      <c r="C5" s="237" t="s">
        <v>242</v>
      </c>
      <c r="D5" s="238">
        <v>630.0</v>
      </c>
      <c r="E5" s="210">
        <f>IF(Resum!$B$24=4,Resum!B25,0)</f>
        <v>1</v>
      </c>
      <c r="F5" s="239">
        <f t="shared" si="1"/>
        <v>7560</v>
      </c>
      <c r="G5" s="239">
        <f t="shared" si="2"/>
        <v>3024</v>
      </c>
      <c r="H5" s="196"/>
      <c r="I5" s="197"/>
      <c r="J5" s="197"/>
      <c r="K5" s="197"/>
    </row>
    <row r="6" ht="31.5" customHeight="1">
      <c r="A6" s="91">
        <v>5.0</v>
      </c>
      <c r="B6" s="236">
        <v>100000.0</v>
      </c>
      <c r="C6" s="237" t="s">
        <v>243</v>
      </c>
      <c r="D6" s="238">
        <v>6300.0</v>
      </c>
      <c r="E6" s="210">
        <f>IF(Resum!$B$24=5,Resum!B25,0)</f>
        <v>0</v>
      </c>
      <c r="F6" s="239">
        <f t="shared" si="1"/>
        <v>0</v>
      </c>
      <c r="G6" s="239">
        <f t="shared" si="2"/>
        <v>0</v>
      </c>
      <c r="H6" s="196"/>
      <c r="I6" s="197"/>
      <c r="J6" s="197"/>
      <c r="K6" s="197"/>
    </row>
    <row r="7" ht="16.5" customHeight="1">
      <c r="A7" s="241"/>
      <c r="B7" s="192"/>
      <c r="C7" s="192"/>
      <c r="D7" s="192"/>
      <c r="E7" s="242" t="s">
        <v>102</v>
      </c>
      <c r="F7" s="243">
        <f>SUM(F2:F6)</f>
        <v>7560</v>
      </c>
      <c r="G7" s="243">
        <f>IF(Resum!B20=3,SUM(G2:G6),0)</f>
        <v>3024</v>
      </c>
      <c r="H7" s="197"/>
      <c r="I7" s="197"/>
      <c r="J7" s="197"/>
      <c r="K7" s="197"/>
    </row>
    <row r="8" ht="16.5" customHeight="1">
      <c r="A8" s="197"/>
      <c r="B8" s="197"/>
      <c r="C8" s="197"/>
      <c r="D8" s="197"/>
      <c r="E8" s="197"/>
      <c r="F8" s="208"/>
      <c r="G8" s="197"/>
      <c r="H8" s="197"/>
      <c r="I8" s="197"/>
      <c r="J8" s="197"/>
      <c r="K8" s="197"/>
    </row>
    <row r="9" ht="16.5" customHeight="1">
      <c r="A9" s="197"/>
      <c r="B9" s="197"/>
      <c r="C9" s="197"/>
      <c r="D9" s="197"/>
      <c r="E9" s="197"/>
      <c r="F9" s="243">
        <f>IF(Resum!B26=0,F7,F7+G7)</f>
        <v>10584</v>
      </c>
      <c r="G9" s="197"/>
      <c r="H9" s="197"/>
      <c r="I9" s="197"/>
      <c r="J9" s="197"/>
      <c r="K9" s="197"/>
    </row>
    <row r="10" ht="18.75" customHeight="1">
      <c r="A10" s="167"/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ht="18.75" customHeight="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ht="18.75" customHeight="1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ht="18.75" customHeight="1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