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<sst xmlns="http://schemas.openxmlformats.org/spreadsheetml/2006/main" count="332" uniqueCount="244">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</sst>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872"/>
        <c:axId val="1706508028"/>
      </c:scatterChart>
      <c:valAx>
        <c:axId val="52368872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06508028"/>
        <c:majorUnit val="0.25"/>
        <c:minorUnit val="0.125"/>
      </c:valAx>
      <c:valAx>
        <c:axId val="1706508028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2368872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112.0</v>
      </c>
      <c r="C3" s="13"/>
      <c r="D3" s="14" t="s">
        <v>5</v>
      </c>
      <c r="E3" s="15">
        <f>Electricitat!F18</f>
        <v>65865.21382</v>
      </c>
      <c r="F3" s="15">
        <f>E3*5</f>
        <v>329326.0691</v>
      </c>
      <c r="G3" s="10"/>
      <c r="H3" s="2"/>
      <c r="I3" s="2"/>
    </row>
    <row r="4" ht="24.75" customHeight="1">
      <c r="A4" s="11" t="s">
        <v>6</v>
      </c>
      <c r="B4" s="12">
        <v>42.0</v>
      </c>
      <c r="C4" s="13"/>
      <c r="D4" s="9" t="s">
        <v>7</v>
      </c>
      <c r="E4" s="16" t="str">
        <f>IF(B20=1,"MOCOSA",IF(B20=2,"CPDs Céspedes",IF(B20=3,"Mordor","error")))</f>
        <v>Mordor</v>
      </c>
      <c r="F4" s="17"/>
      <c r="G4" s="2"/>
      <c r="H4" s="2"/>
      <c r="I4" s="2"/>
    </row>
    <row r="5" ht="39.0" customHeight="1">
      <c r="A5" s="11" t="s">
        <v>8</v>
      </c>
      <c r="B5" s="18">
        <v>360.0</v>
      </c>
      <c r="C5" s="13"/>
      <c r="D5" s="9" t="s">
        <v>9</v>
      </c>
      <c r="E5" s="15">
        <f>IF(B20=1,Infraestructura!J4,IF(B20=2,Infraestructura!J5,IF(B20=3,Infraestructura!J6,"error")))</f>
        <v>65879.78207</v>
      </c>
      <c r="F5" s="19">
        <f>E5*5</f>
        <v>329398.9104</v>
      </c>
      <c r="G5" s="10"/>
      <c r="H5" s="2"/>
      <c r="I5" s="2"/>
    </row>
    <row r="6" ht="24.75" customHeight="1">
      <c r="A6" s="11" t="s">
        <v>10</v>
      </c>
      <c r="B6" s="20">
        <v>0.07</v>
      </c>
      <c r="C6" s="13"/>
      <c r="D6" s="9" t="s">
        <v>11</v>
      </c>
      <c r="E6" s="21" t="str">
        <f>IF(B16=1,"Microworks Azure M-A",IF(B16=2,"MonsoonS3 MS3",IF(B16=3,"Take the tapes and run","error")))</f>
        <v>MonsoonS3 MS3</v>
      </c>
      <c r="F6" s="22"/>
      <c r="G6" s="23"/>
      <c r="H6" s="2"/>
      <c r="I6" s="2"/>
    </row>
    <row r="7" ht="24.75" customHeight="1">
      <c r="A7" s="11" t="s">
        <v>12</v>
      </c>
      <c r="B7" s="24">
        <v>56.0</v>
      </c>
      <c r="C7" s="13"/>
      <c r="D7" s="9" t="s">
        <v>13</v>
      </c>
      <c r="E7" s="15">
        <f>IF(B16=1,B17*Backup!L6,IF(B16=2,B17*Backup!L7,IF(B16=3,0,"error")))</f>
        <v>3516.99072</v>
      </c>
      <c r="F7" s="25">
        <f t="shared" ref="F7:F9" si="1">E7*5</f>
        <v>17584.9536</v>
      </c>
      <c r="G7" s="10"/>
      <c r="H7" s="2"/>
      <c r="I7" s="2"/>
    </row>
    <row r="8" ht="24.75" customHeight="1">
      <c r="A8" s="11" t="s">
        <v>14</v>
      </c>
      <c r="B8" s="26">
        <v>1.0E7</v>
      </c>
      <c r="C8" s="13"/>
      <c r="D8" s="9" t="s">
        <v>15</v>
      </c>
      <c r="E8" s="15">
        <f>Backup!M27</f>
        <v>26747.3232</v>
      </c>
      <c r="F8" s="15">
        <f t="shared" si="1"/>
        <v>133736.616</v>
      </c>
      <c r="G8" s="10"/>
      <c r="H8" s="2"/>
      <c r="I8" s="2"/>
    </row>
    <row r="9" ht="24.75" customHeight="1">
      <c r="A9" s="11" t="s">
        <v>16</v>
      </c>
      <c r="B9" s="26">
        <v>7500000.0</v>
      </c>
      <c r="C9" s="13"/>
      <c r="D9" s="9" t="s">
        <v>17</v>
      </c>
      <c r="E9" s="15">
        <f>'Bandwidth provider'!F9</f>
        <v>21168</v>
      </c>
      <c r="F9" s="15">
        <f t="shared" si="1"/>
        <v>105840</v>
      </c>
      <c r="G9" s="10"/>
      <c r="H9" s="2"/>
      <c r="I9" s="2"/>
    </row>
    <row r="10" ht="24.75" customHeight="1">
      <c r="A10" s="27"/>
      <c r="B10" s="27"/>
      <c r="C10" s="2"/>
      <c r="D10" s="28"/>
      <c r="E10" s="29"/>
      <c r="F10" s="30"/>
      <c r="G10" s="2"/>
      <c r="H10" s="2"/>
      <c r="I10" s="2"/>
    </row>
    <row r="11" ht="24.75" customHeight="1">
      <c r="A11" s="31" t="s">
        <v>18</v>
      </c>
      <c r="B11" s="5"/>
      <c r="C11" s="6"/>
      <c r="D11" s="32" t="s">
        <v>19</v>
      </c>
      <c r="E11" s="8" t="s">
        <v>20</v>
      </c>
      <c r="F11" s="10"/>
      <c r="G11" s="2"/>
      <c r="H11" s="2"/>
      <c r="I11" s="2"/>
    </row>
    <row r="12" ht="24.75" customHeight="1">
      <c r="A12" s="33" t="s">
        <v>21</v>
      </c>
      <c r="B12" s="5"/>
      <c r="C12" s="13"/>
      <c r="D12" s="9" t="s">
        <v>22</v>
      </c>
      <c r="E12" s="15">
        <f>B9</f>
        <v>7500000</v>
      </c>
      <c r="F12" s="10"/>
      <c r="G12" s="2"/>
      <c r="H12" s="2"/>
      <c r="I12" s="2"/>
    </row>
    <row r="13" ht="24.75" customHeight="1">
      <c r="A13" s="11" t="s">
        <v>23</v>
      </c>
      <c r="B13" s="34">
        <v>3539.52</v>
      </c>
      <c r="C13" s="13"/>
      <c r="D13" s="9" t="s">
        <v>24</v>
      </c>
      <c r="E13" s="15">
        <f>SAN!B18</f>
        <v>406106</v>
      </c>
      <c r="F13" s="10"/>
      <c r="G13" s="2"/>
      <c r="H13" s="2"/>
      <c r="I13" s="2"/>
    </row>
    <row r="14" ht="24.75" customHeight="1">
      <c r="A14" s="11" t="s">
        <v>25</v>
      </c>
      <c r="B14" s="24">
        <v>1.0</v>
      </c>
      <c r="C14" s="13"/>
      <c r="D14" s="9" t="s">
        <v>26</v>
      </c>
      <c r="E14" s="15">
        <f>'Cabina de discos'!K24+Backup!M29</f>
        <v>12100</v>
      </c>
      <c r="F14" s="10"/>
      <c r="G14" s="2"/>
      <c r="H14" s="2"/>
      <c r="I14" s="2"/>
    </row>
    <row r="15" ht="24.75" customHeight="1">
      <c r="A15" s="11" t="s">
        <v>27</v>
      </c>
      <c r="B15" s="24">
        <v>14.0</v>
      </c>
      <c r="C15" s="35"/>
      <c r="D15" s="30"/>
      <c r="E15" s="30"/>
      <c r="F15" s="2"/>
      <c r="G15" s="2"/>
      <c r="H15" s="2"/>
      <c r="I15" s="2"/>
    </row>
    <row r="16" ht="24.75" customHeight="1">
      <c r="A16" s="11" t="s">
        <v>28</v>
      </c>
      <c r="B16" s="24">
        <v>2.0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4">
        <v>1.0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34">
        <v>0.0</v>
      </c>
      <c r="C18" s="35"/>
      <c r="D18" s="1"/>
      <c r="E18" s="2"/>
      <c r="F18" s="2"/>
      <c r="G18" s="2"/>
      <c r="H18" s="2"/>
      <c r="I18" s="2"/>
    </row>
    <row r="19" ht="24.75" customHeight="1">
      <c r="A19" s="33" t="s">
        <v>31</v>
      </c>
      <c r="B19" s="5"/>
      <c r="C19" s="6"/>
      <c r="D19" s="32" t="s">
        <v>32</v>
      </c>
      <c r="E19" s="36"/>
      <c r="F19" s="2"/>
      <c r="G19" s="2"/>
      <c r="H19" s="2"/>
      <c r="I19" s="2"/>
    </row>
    <row r="20" ht="39.0" customHeight="1">
      <c r="A20" s="11" t="s">
        <v>33</v>
      </c>
      <c r="B20" s="24">
        <v>3.0</v>
      </c>
      <c r="C20" s="13"/>
      <c r="D20" s="9" t="s">
        <v>34</v>
      </c>
      <c r="E20" s="15">
        <f>SUM(F3:F9)</f>
        <v>915886.5491</v>
      </c>
      <c r="F20" s="10"/>
      <c r="G20" s="2"/>
      <c r="H20" s="2"/>
      <c r="I20" s="2"/>
    </row>
    <row r="21" ht="24.75" customHeight="1">
      <c r="A21" s="11" t="s">
        <v>35</v>
      </c>
      <c r="B21" s="34">
        <v>0.0</v>
      </c>
      <c r="C21" s="13"/>
      <c r="D21" s="9" t="s">
        <v>36</v>
      </c>
      <c r="E21" s="15">
        <f>SUM(E12:E14)</f>
        <v>7918206</v>
      </c>
      <c r="F21" s="10"/>
      <c r="G21" s="2"/>
      <c r="H21" s="2"/>
      <c r="I21" s="2"/>
    </row>
    <row r="22" ht="24.75" customHeight="1">
      <c r="A22" s="11" t="s">
        <v>37</v>
      </c>
      <c r="B22" s="24">
        <v>1.0</v>
      </c>
      <c r="C22" s="13"/>
      <c r="D22" s="9" t="s">
        <v>38</v>
      </c>
      <c r="E22" s="15">
        <f>E20+E21</f>
        <v>8834092.549</v>
      </c>
      <c r="F22" s="10"/>
      <c r="G22" s="2"/>
      <c r="H22" s="2"/>
      <c r="I22" s="2"/>
    </row>
    <row r="23" ht="24.75" customHeight="1">
      <c r="A23" s="33" t="s">
        <v>39</v>
      </c>
      <c r="B23" s="5"/>
      <c r="C23" s="13"/>
      <c r="D23" s="37" t="s">
        <v>40</v>
      </c>
      <c r="E23" s="38">
        <f>B8-E22</f>
        <v>1165907.451</v>
      </c>
      <c r="F23" s="10"/>
      <c r="G23" s="2"/>
      <c r="H23" s="2"/>
      <c r="I23" s="2"/>
    </row>
    <row r="24" ht="39.0" customHeight="1">
      <c r="A24" s="11" t="s">
        <v>41</v>
      </c>
      <c r="B24" s="24">
        <v>4.0</v>
      </c>
      <c r="C24" s="35"/>
      <c r="D24" s="30"/>
      <c r="E24" s="30"/>
      <c r="F24" s="2"/>
      <c r="G24" s="2"/>
      <c r="H24" s="2"/>
      <c r="I24" s="2"/>
    </row>
    <row r="25" ht="24.75" customHeight="1">
      <c r="A25" s="11" t="s">
        <v>42</v>
      </c>
      <c r="B25" s="24">
        <v>2.0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24">
        <v>1.0</v>
      </c>
      <c r="C26" s="35"/>
      <c r="D26" s="2"/>
      <c r="E26" s="2"/>
      <c r="F26" s="2"/>
      <c r="G26" s="2"/>
      <c r="H26" s="2"/>
      <c r="I26" s="2"/>
    </row>
    <row r="27" ht="39.0" customHeight="1">
      <c r="A27" s="39" t="s">
        <v>44</v>
      </c>
      <c r="B27" s="24">
        <v>2.0</v>
      </c>
      <c r="C27" s="35"/>
      <c r="D27" s="2"/>
      <c r="E27" s="2"/>
      <c r="F27" s="2"/>
      <c r="G27" s="2"/>
      <c r="H27" s="2"/>
      <c r="I27" s="2"/>
    </row>
    <row r="28" ht="24.75" customHeight="1">
      <c r="A28" s="33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4">
        <v>10.0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4">
        <v>10.0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4">
        <v>2.0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4">
        <v>1.0</v>
      </c>
      <c r="C32" s="35"/>
      <c r="D32" s="2"/>
      <c r="E32" s="2"/>
      <c r="F32" s="2"/>
      <c r="G32" s="2"/>
      <c r="H32" s="2"/>
      <c r="I32" s="2"/>
    </row>
    <row r="33" ht="24.75" customHeight="1">
      <c r="A33" s="33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4">
        <v>0.0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4">
        <v>0.0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4">
        <v>0.0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4">
        <v>0.0</v>
      </c>
      <c r="C37" s="35"/>
      <c r="D37" s="2"/>
      <c r="E37" s="2"/>
      <c r="F37" s="2"/>
      <c r="G37" s="2"/>
      <c r="H37" s="2"/>
      <c r="I37" s="2"/>
    </row>
    <row r="38" ht="24.75" customHeight="1">
      <c r="A38" s="33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4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4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4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4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8.0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8.0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8.0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8.0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8.0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8.0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8.0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8.0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8.0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8.0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8.0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8.0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8.0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8.0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8.0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8.0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8.0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8.0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8.0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8.0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8.0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8.0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8.0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8.0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8.0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8.0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8.0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8.0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8.0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8.0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8.0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8.0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8.0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8.0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8.0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8.0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8.0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8.0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8.0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8.0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8.0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8.0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8.0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8.0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8.0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8.0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8.0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8.0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8.0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8.0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8.0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8.0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8.0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8.0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8.0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8.0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8.0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8.0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8.0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8.0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8.0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8.0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8.0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8.0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8.0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8.0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8.0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8.0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8.0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8.0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8.0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8.0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8.0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8.0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8.0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8.0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8.0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8.0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8.0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8.0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8.0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8.0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8.0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8.0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8.0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8.0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8.0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8.0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8.0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8.0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8.0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8.0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8.0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8.0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8.0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8.0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8.0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8.0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8.0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8.0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8.0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8.0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8.0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8.0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8.0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8.0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8.0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8.0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8.0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8.0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8.0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8.0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8.0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8.0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8.0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8.0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8.0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8.0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8.0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8.0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8.0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8.0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8.0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8.0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8.0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8.0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8.0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8.0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8.0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8.0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8.0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8.0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8.0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8.0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8.0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8.0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8.0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8.0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8.0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8.0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8.0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8.0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8.0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8.0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8.0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8.0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8.0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8.0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8.0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8.0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8.0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8.0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8.0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8.0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8.0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8.0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8.0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8.0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8.0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8.0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8.0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8.0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8.0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8.0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8.0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8.0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8.0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8.0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8.0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8.0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8.0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8.0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8.0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8.0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8.0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8.0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8.0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8.0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8.0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8.0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8.0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8.0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8.0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8.0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8.0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8.0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8.0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8.0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8.0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8.0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8.0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8.0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8.0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8.0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8.0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8.0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8.0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8.0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8.0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8.0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8.0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8.0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8.0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8.0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8.0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8.0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8.0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8.0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8.0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8.0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8.0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8.0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8.0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8.0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8.0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8.0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8.0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8.0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8.0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8.0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8.0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8.0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8.0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8.0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8.0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8.0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8.0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8.0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8.0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8.0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8.0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8.0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8.0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8.0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8.0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8.0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8.0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8.0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8.0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8.0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8.0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8.0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8.0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8.0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8.0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8.0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8.0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8.0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8.0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8.0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8.0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8.0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8.0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8.0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8.0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8.0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8.0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8.0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8.0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8.0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8.0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8.0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8.0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8.0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8.0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8.0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8.0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8.0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8.0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8.0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8.0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8.0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8.0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8.0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8.0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8.0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8.0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8.0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8.0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8.0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8.0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8.0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8.0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8.0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8.0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8.0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8.0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8.0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8.0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8.0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8.0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8.0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8.0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8.0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8.0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8.0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8.0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8.0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8.0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8.0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8.0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8.0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8.0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8.0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8.0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8.0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8.0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8.0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8.0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8.0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8.0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8.0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8.0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8.0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8.0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8.0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8.0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8.0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8.0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8.0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8.0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8.0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8.0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8.0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8.0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8.0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8.0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8.0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8.0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8.0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8.0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8.0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8.0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8.0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8.0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8.0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8.0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8.0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8.0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8.0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8.0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8.0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8.0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8.0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8.0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8.0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8.0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8.0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8.0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8.0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8.0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8.0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8.0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8.0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8.0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8.0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8.0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8.0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8.0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8.0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8.0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8.0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8.0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8.0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8.0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8.0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8.0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8.0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8.0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8.0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8.0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8.0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8.0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8.0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8.0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8.0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8.0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8.0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8.0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8.0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8.0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8.0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8.0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8.0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8.0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8.0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8.0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8.0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8.0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8.0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8.0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8.0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8.0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8.0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8.0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8.0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8.0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8.0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8.0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8.0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8.0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8.0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8.0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8.0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8.0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8.0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8.0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8.0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8.0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8.0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8.0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8.0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8.0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8.0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8.0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8.0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8.0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8.0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8.0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8.0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8.0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8.0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8.0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8.0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8.0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8.0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8.0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8.0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8.0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8.0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8.0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8.0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8.0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8.0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8.0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8.0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8.0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8.0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8.0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8.0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8.0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8.0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8.0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8.0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8.0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8.0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8.0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8.0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8.0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8.0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8.0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8.0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8.0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8.0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8.0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8.0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8.0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8.0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8.0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8.0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8.0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8.0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8.0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8.0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8.0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8.0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8.0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8.0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8.0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8.0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8.0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8.0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8.0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8.0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8.0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8.0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8.0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8.0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8.0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8.0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8.0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8.0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8.0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8.0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8.0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8.0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8.0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8.0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8.0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8.0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8.0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8.0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8.0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8.0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8.0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8.0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8.0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8.0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8.0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8.0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8.0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8.0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8.0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8.0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8.0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8.0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8.0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8.0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8.0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8.0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8.0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8.0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8.0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8.0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8.0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8.0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8.0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8.0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8.0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8.0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8.0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8.0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8.0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8.0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8.0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8.0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8.0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8.0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8.0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8.0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8.0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8.0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8.0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8.0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8.0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8.0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8.0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8.0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8.0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8.0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8.0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8.0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8.0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8.0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8.0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8.0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8.0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8.0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8.0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8.0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8.0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8.0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8.0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8.0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8.0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8.0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8.0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8.0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8.0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8.0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8.0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8.0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8.0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8.0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8.0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8.0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8.0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8.0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8.0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8.0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8.0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8.0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8.0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8.0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8.0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8.0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8.0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8.0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8.0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8.0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8.0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8.0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8.0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8.0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8.0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8.0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8.0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8.0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8.0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8.0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8.0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8.0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8.0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8.0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8.0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8.0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8.0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8.0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8.0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8.0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8.0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8.0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8.0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8.0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8.0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8.0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8.0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8.0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8.0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8.0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8.0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8.0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8.0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8.0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8.0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8.0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8.0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8.0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8.0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8.0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8.0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8.0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8.0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8.0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8.0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8.0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8.0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8.0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8.0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8.0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8.0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8.0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8.0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8.0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8.0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8.0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8.0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8.0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8.0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8.0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8.0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8.0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8.0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8.0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8.0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8.0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8.0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8.0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8.0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8.0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8.0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8.0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8.0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8.0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8.0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8.0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8.0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8.0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8.0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8.0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8.0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8.0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8.0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8.0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8.0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8.0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8.0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8.0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8.0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8.0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8.0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8.0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8.0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8.0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8.0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8.0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8.0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8.0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8.0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8.0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8.0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8.0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8.0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8.0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8.0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8.0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8.0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8.0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8.0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8.0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8.0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8.0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8.0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8.0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8.0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8.0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8.0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8.0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8.0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8.0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8.0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8.0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8.0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8.0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8.0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8.0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8.0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8.0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8.0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8.0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8.0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8.0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8.0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8.0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8.0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8.0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8.0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8.0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8.0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8.0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8.0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8.0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8.0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8.0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8.0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8.0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8.0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8.0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8.0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8.0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8.0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8.0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8.0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8.0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8.0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8.0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8.0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8.0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8.0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8.0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8.0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8.0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8.0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8.0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8.0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8.0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8.0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8.0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8.0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8.0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8.0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8.0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8.0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8.0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8.0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8.0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8.0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8.0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8.0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8.0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8.0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8.0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8.0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8.0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8.0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8.0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8.0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8.0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8.0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8.0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8.0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8.0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8.0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8.0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8.0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8.0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8.0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8.0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8.0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8.0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8.0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8.0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8.0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8.0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8.0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8.0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8.0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8.0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8.0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8.0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8.0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8.0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8.0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8.0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8.0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8.0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8.0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8.0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8.0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8.0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8.0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8.0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8.0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8.0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8.0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8.0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8.0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8.0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8.0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8.0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8.0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8.0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8.0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8.0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8.0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8.0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8.0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8.0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8.0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8.0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8.0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8.0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8.0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8.0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8.0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8.0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8.0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8.0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8.0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8.0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8.0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8.0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8.0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8.0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8.0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8.0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8.0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8.0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8.0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8.0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8.0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8.0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8.0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8.0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8.0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8.0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8.0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8.0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8.0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8.0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8.0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8.0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8.0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8.0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8.0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8.0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8.0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8.0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8.0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8.0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8.0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8.0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8.0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8.0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8.0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8.0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8.0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8.0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8.0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8.0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8.0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8.0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8.0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8.0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8.0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8.0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8.0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8.0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8.0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8.0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8.0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8.0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8.0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8.0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8.0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8.0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8.0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8.0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8.0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8.0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8.0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8.0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8.0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8.0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8.0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8.0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8.0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8.0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8.0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8.0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8.0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8.0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8.0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8.0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8.0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8.0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8.0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8.0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8.0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8.0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8.0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8.0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8.0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8.0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8.0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8.0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8.0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8.0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8.0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8.0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8.0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8.0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8.0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8.0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8.0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8.0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8.0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8.0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8.0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8.0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8.0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8.0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8.0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8.0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8.0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8.0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8.0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8.0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8.0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8.0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8.0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8.0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8.0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8.0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8.0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8.0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8.0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8.0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8.0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8.0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8.0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8.0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8.0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8.0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8.0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8.0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8.0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ht="18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ht="18.75" customHeight="1">
      <c r="A3" s="42"/>
      <c r="B3" s="42"/>
      <c r="C3" s="42"/>
      <c r="D3" s="42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ht="18.75" customHeight="1">
      <c r="A4" s="44" t="s">
        <v>53</v>
      </c>
      <c r="B4" s="44" t="s">
        <v>54</v>
      </c>
      <c r="C4" s="44" t="s">
        <v>55</v>
      </c>
      <c r="D4" s="44" t="s">
        <v>56</v>
      </c>
      <c r="E4" s="44" t="s">
        <v>57</v>
      </c>
      <c r="F4" s="44" t="s">
        <v>58</v>
      </c>
      <c r="G4" s="44" t="s">
        <v>59</v>
      </c>
      <c r="H4" s="44" t="s">
        <v>8</v>
      </c>
      <c r="I4" s="44" t="s">
        <v>60</v>
      </c>
      <c r="J4" s="44" t="s">
        <v>61</v>
      </c>
      <c r="K4" s="44" t="s">
        <v>62</v>
      </c>
      <c r="L4" s="43"/>
      <c r="M4" s="43"/>
      <c r="N4" s="42"/>
      <c r="O4" s="43"/>
    </row>
    <row r="5" ht="18.75" customHeight="1">
      <c r="A5" s="45" t="s">
        <v>63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10</v>
      </c>
      <c r="F5" s="41">
        <f>Resum!$B$35</f>
        <v>0</v>
      </c>
      <c r="G5" s="41">
        <f>Resum!$B$40</f>
        <v>0</v>
      </c>
      <c r="H5" s="46">
        <v>6.8</v>
      </c>
      <c r="I5" s="47">
        <v>235.0</v>
      </c>
      <c r="J5" s="46">
        <f t="shared" ref="J5:J14" si="1">H5*(B5*E5+C5*F5+D5*G5)</f>
        <v>0</v>
      </c>
      <c r="K5" s="47">
        <f t="shared" ref="K5:K14" si="2">I5*(B5*E5+C5*F5+D5*G5)</f>
        <v>0</v>
      </c>
      <c r="L5" s="41"/>
      <c r="M5" s="41"/>
      <c r="N5" s="41"/>
      <c r="O5" s="41"/>
    </row>
    <row r="6" ht="18.75" customHeight="1">
      <c r="A6" s="45" t="s">
        <v>64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10</v>
      </c>
      <c r="F6" s="41">
        <f>Resum!$B$35</f>
        <v>0</v>
      </c>
      <c r="G6" s="41">
        <f>Resum!$B$40</f>
        <v>0</v>
      </c>
      <c r="H6" s="46">
        <v>7.8</v>
      </c>
      <c r="I6" s="47">
        <v>520.0</v>
      </c>
      <c r="J6" s="46">
        <f t="shared" si="1"/>
        <v>0</v>
      </c>
      <c r="K6" s="47">
        <f t="shared" si="2"/>
        <v>0</v>
      </c>
      <c r="L6" s="41"/>
      <c r="M6" s="41"/>
      <c r="N6" s="41"/>
      <c r="O6" s="41"/>
    </row>
    <row r="7" ht="18.75" customHeight="1">
      <c r="A7" s="45" t="s">
        <v>65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10</v>
      </c>
      <c r="F7" s="41">
        <f>Resum!$B$35</f>
        <v>0</v>
      </c>
      <c r="G7" s="41">
        <f>Resum!$B$40</f>
        <v>0</v>
      </c>
      <c r="H7" s="46">
        <v>9.5</v>
      </c>
      <c r="I7" s="47">
        <v>350.0</v>
      </c>
      <c r="J7" s="46">
        <f t="shared" si="1"/>
        <v>0</v>
      </c>
      <c r="K7" s="47">
        <f t="shared" si="2"/>
        <v>0</v>
      </c>
      <c r="L7" s="41"/>
      <c r="M7" s="41"/>
      <c r="N7" s="41"/>
      <c r="O7" s="41"/>
    </row>
    <row r="8" ht="18.75" customHeight="1">
      <c r="A8" s="45" t="s">
        <v>66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10</v>
      </c>
      <c r="F8" s="41">
        <f>Resum!$B$35</f>
        <v>0</v>
      </c>
      <c r="G8" s="41">
        <f>Resum!$B$40</f>
        <v>0</v>
      </c>
      <c r="H8" s="46">
        <v>7.0</v>
      </c>
      <c r="I8" s="47">
        <v>250.0</v>
      </c>
      <c r="J8" s="46">
        <f t="shared" si="1"/>
        <v>0</v>
      </c>
      <c r="K8" s="47">
        <f t="shared" si="2"/>
        <v>0</v>
      </c>
      <c r="L8" s="41"/>
      <c r="M8" s="41"/>
      <c r="N8" s="41"/>
      <c r="O8" s="41"/>
    </row>
    <row r="9" ht="18.75" customHeight="1">
      <c r="A9" s="45" t="s">
        <v>67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10</v>
      </c>
      <c r="F9" s="41">
        <f>Resum!$B$35</f>
        <v>0</v>
      </c>
      <c r="G9" s="41">
        <f>Resum!$B$40</f>
        <v>0</v>
      </c>
      <c r="H9" s="46">
        <v>7.1</v>
      </c>
      <c r="I9" s="47">
        <v>360.0</v>
      </c>
      <c r="J9" s="46">
        <f t="shared" si="1"/>
        <v>0</v>
      </c>
      <c r="K9" s="47">
        <f t="shared" si="2"/>
        <v>0</v>
      </c>
      <c r="L9" s="41"/>
      <c r="M9" s="41"/>
      <c r="N9" s="41"/>
      <c r="O9" s="41"/>
    </row>
    <row r="10" ht="18.75" customHeight="1">
      <c r="A10" s="45" t="s">
        <v>68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10</v>
      </c>
      <c r="F10" s="41">
        <f>Resum!$B$35</f>
        <v>0</v>
      </c>
      <c r="G10" s="41">
        <f>Resum!$B$40</f>
        <v>0</v>
      </c>
      <c r="H10" s="46">
        <v>2.2</v>
      </c>
      <c r="I10" s="47">
        <v>310.0</v>
      </c>
      <c r="J10" s="46">
        <f t="shared" si="1"/>
        <v>0</v>
      </c>
      <c r="K10" s="47">
        <f t="shared" si="2"/>
        <v>0</v>
      </c>
      <c r="L10" s="41"/>
      <c r="M10" s="41"/>
      <c r="N10" s="41"/>
      <c r="O10" s="41"/>
    </row>
    <row r="11" ht="18.75" customHeight="1">
      <c r="A11" s="45" t="s">
        <v>69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10</v>
      </c>
      <c r="F11" s="41">
        <f>Resum!$B$35</f>
        <v>0</v>
      </c>
      <c r="G11" s="41">
        <f>Resum!$B$40</f>
        <v>0</v>
      </c>
      <c r="H11" s="46">
        <v>5.8</v>
      </c>
      <c r="I11" s="47">
        <v>195.0</v>
      </c>
      <c r="J11" s="46">
        <f t="shared" si="1"/>
        <v>0</v>
      </c>
      <c r="K11" s="47">
        <f t="shared" si="2"/>
        <v>0</v>
      </c>
      <c r="L11" s="41"/>
      <c r="M11" s="41"/>
      <c r="N11" s="41"/>
      <c r="O11" s="41"/>
    </row>
    <row r="12" ht="18.75" customHeight="1">
      <c r="A12" s="45" t="s">
        <v>70</v>
      </c>
      <c r="B12" s="41">
        <f>IF(Resum!$B$29=8,1,0)</f>
        <v>0</v>
      </c>
      <c r="C12" s="41">
        <f>IF(Resum!$B$34=8,1,0)</f>
        <v>0</v>
      </c>
      <c r="D12" s="41">
        <f>IF(Resum!B39=8,1,0)</f>
        <v>0</v>
      </c>
      <c r="E12" s="41">
        <f>Resum!$B$30</f>
        <v>10</v>
      </c>
      <c r="F12" s="41">
        <f>Resum!$B$35</f>
        <v>0</v>
      </c>
      <c r="G12" s="41">
        <f>Resum!$B$40</f>
        <v>0</v>
      </c>
      <c r="H12" s="46">
        <v>9.0</v>
      </c>
      <c r="I12" s="47">
        <v>372.0</v>
      </c>
      <c r="J12" s="46">
        <f t="shared" si="1"/>
        <v>0</v>
      </c>
      <c r="K12" s="47">
        <f t="shared" si="2"/>
        <v>0</v>
      </c>
      <c r="L12" s="41"/>
      <c r="M12" s="41"/>
      <c r="N12" s="41"/>
      <c r="O12" s="41"/>
    </row>
    <row r="13" ht="18.75" customHeight="1">
      <c r="A13" s="45" t="s">
        <v>71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10</v>
      </c>
      <c r="F13" s="41">
        <f>Resum!$B$35</f>
        <v>0</v>
      </c>
      <c r="G13" s="41">
        <f>Resum!$B$40</f>
        <v>0</v>
      </c>
      <c r="H13" s="46">
        <v>12.0</v>
      </c>
      <c r="I13" s="47">
        <v>1545.0</v>
      </c>
      <c r="J13" s="46">
        <f t="shared" si="1"/>
        <v>0</v>
      </c>
      <c r="K13" s="47">
        <f t="shared" si="2"/>
        <v>0</v>
      </c>
      <c r="L13" s="41"/>
      <c r="M13" s="41"/>
      <c r="N13" s="41"/>
      <c r="O13" s="41"/>
    </row>
    <row r="14" ht="18.75" customHeight="1">
      <c r="A14" s="45" t="s">
        <v>72</v>
      </c>
      <c r="B14" s="41">
        <f>IF(Resum!$B$29=10,1,0)</f>
        <v>1</v>
      </c>
      <c r="C14" s="41">
        <f>IF(Resum!$B$34=10,1,0)</f>
        <v>0</v>
      </c>
      <c r="D14" s="41">
        <f>IF(Resum!B39=10,1,0)</f>
        <v>0</v>
      </c>
      <c r="E14" s="41">
        <f>Resum!$B$30</f>
        <v>10</v>
      </c>
      <c r="F14" s="41">
        <f>Resum!$B$35</f>
        <v>0</v>
      </c>
      <c r="G14" s="41">
        <f>Resum!$B$40</f>
        <v>0</v>
      </c>
      <c r="H14" s="46">
        <v>8.0</v>
      </c>
      <c r="I14" s="47">
        <v>750.0</v>
      </c>
      <c r="J14" s="46">
        <f t="shared" si="1"/>
        <v>80</v>
      </c>
      <c r="K14" s="47">
        <f t="shared" si="2"/>
        <v>7500</v>
      </c>
      <c r="L14" s="41"/>
      <c r="M14" s="41"/>
      <c r="N14" s="41"/>
      <c r="O14" s="41"/>
    </row>
    <row r="15" ht="18.75" customHeight="1">
      <c r="A15" s="44" t="s">
        <v>73</v>
      </c>
      <c r="B15" s="41"/>
      <c r="C15" s="41"/>
      <c r="D15" s="41"/>
      <c r="E15" s="41"/>
      <c r="F15" s="41"/>
      <c r="G15" s="41"/>
      <c r="H15" s="41"/>
      <c r="I15" s="47"/>
      <c r="J15" s="46"/>
      <c r="K15" s="45" t="str">
        <f>IF(I15="","",I15*E15)</f>
        <v/>
      </c>
      <c r="L15" s="44" t="s">
        <v>74</v>
      </c>
      <c r="M15" s="44" t="s">
        <v>75</v>
      </c>
      <c r="N15" s="41"/>
      <c r="O15" s="41"/>
    </row>
    <row r="16" ht="18.75" customHeight="1">
      <c r="A16" s="45" t="s">
        <v>63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1</v>
      </c>
      <c r="F16" s="41">
        <f>Resum!$B$37</f>
        <v>0</v>
      </c>
      <c r="G16" s="41">
        <f>Resum!$B$42</f>
        <v>0</v>
      </c>
      <c r="H16" s="46">
        <v>800.0</v>
      </c>
      <c r="I16" s="47">
        <v>3400.0</v>
      </c>
      <c r="J16" s="46">
        <f t="shared" ref="J16:J21" si="3">H16*(B16*E16+C16*F16+D16*G16)</f>
        <v>0</v>
      </c>
      <c r="K16" s="47">
        <f t="shared" ref="K16:K21" si="4">I16*(B16*E16+C16*F16+D16*G16)</f>
        <v>0</v>
      </c>
      <c r="L16" s="41">
        <v>2.0</v>
      </c>
      <c r="M16" s="41">
        <f t="shared" ref="M16:M21" si="5">L16*(B16*E16+C16*F16+D16*G16)</f>
        <v>0</v>
      </c>
      <c r="N16" s="41"/>
      <c r="O16" s="41"/>
    </row>
    <row r="17" ht="18.75" customHeight="1">
      <c r="A17" s="45" t="s">
        <v>64</v>
      </c>
      <c r="B17" s="41">
        <f>IF(Resum!$B$31=2,1,0)</f>
        <v>1</v>
      </c>
      <c r="C17" s="41">
        <f>IF(Resum!$B$36=2,1,0)</f>
        <v>0</v>
      </c>
      <c r="D17" s="41">
        <f>IF(Resum!B41=2,1,0)</f>
        <v>0</v>
      </c>
      <c r="E17" s="41">
        <f>Resum!$B$32</f>
        <v>1</v>
      </c>
      <c r="F17" s="41">
        <f>Resum!$B$37</f>
        <v>0</v>
      </c>
      <c r="G17" s="41">
        <f>Resum!$B$42</f>
        <v>0</v>
      </c>
      <c r="H17" s="46">
        <v>1200.0</v>
      </c>
      <c r="I17" s="47">
        <v>4600.0</v>
      </c>
      <c r="J17" s="46">
        <f t="shared" si="3"/>
        <v>1200</v>
      </c>
      <c r="K17" s="47">
        <f t="shared" si="4"/>
        <v>4600</v>
      </c>
      <c r="L17" s="41">
        <v>4.0</v>
      </c>
      <c r="M17" s="41">
        <f t="shared" si="5"/>
        <v>4</v>
      </c>
      <c r="N17" s="41"/>
      <c r="O17" s="41"/>
    </row>
    <row r="18" ht="18.75" customHeight="1">
      <c r="A18" s="45" t="s">
        <v>65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1</v>
      </c>
      <c r="F18" s="41">
        <f>Resum!$B$37</f>
        <v>0</v>
      </c>
      <c r="G18" s="41">
        <f>Resum!$B$42</f>
        <v>0</v>
      </c>
      <c r="H18" s="46">
        <v>1216.0</v>
      </c>
      <c r="I18" s="47">
        <v>5100.0</v>
      </c>
      <c r="J18" s="46">
        <f t="shared" si="3"/>
        <v>0</v>
      </c>
      <c r="K18" s="47">
        <f t="shared" si="4"/>
        <v>0</v>
      </c>
      <c r="L18" s="41">
        <v>4.0</v>
      </c>
      <c r="M18" s="41">
        <f t="shared" si="5"/>
        <v>0</v>
      </c>
      <c r="N18" s="41"/>
      <c r="O18" s="41"/>
    </row>
    <row r="19" ht="18.75" customHeight="1">
      <c r="A19" s="45" t="s">
        <v>66</v>
      </c>
      <c r="B19" s="41">
        <f>IF(Resum!$B$31=4,1,0)</f>
        <v>0</v>
      </c>
      <c r="C19" s="41">
        <f>IF(Resum!$B$36=4,1,0)</f>
        <v>0</v>
      </c>
      <c r="D19" s="41">
        <f>IF(Resum!B41=4,1,0)</f>
        <v>0</v>
      </c>
      <c r="E19" s="41">
        <f>Resum!$B$32</f>
        <v>1</v>
      </c>
      <c r="F19" s="41">
        <f>Resum!$B$37</f>
        <v>0</v>
      </c>
      <c r="G19" s="41">
        <f>Resum!$B$42</f>
        <v>0</v>
      </c>
      <c r="H19" s="46">
        <v>1300.0</v>
      </c>
      <c r="I19" s="47">
        <v>5000.0</v>
      </c>
      <c r="J19" s="46">
        <f t="shared" si="3"/>
        <v>0</v>
      </c>
      <c r="K19" s="47">
        <f t="shared" si="4"/>
        <v>0</v>
      </c>
      <c r="L19" s="41">
        <v>4.0</v>
      </c>
      <c r="M19" s="41">
        <f t="shared" si="5"/>
        <v>0</v>
      </c>
      <c r="N19" s="41"/>
      <c r="O19" s="41"/>
    </row>
    <row r="20" ht="18.75" customHeight="1">
      <c r="A20" s="45" t="s">
        <v>67</v>
      </c>
      <c r="B20" s="41">
        <f>IF(Resum!$B$31=5,1,0)</f>
        <v>0</v>
      </c>
      <c r="C20" s="41">
        <f>IF(Resum!$B$36=5,1,0)</f>
        <v>0</v>
      </c>
      <c r="D20" s="41">
        <f>IF(Resum!B41=5,1,0)</f>
        <v>0</v>
      </c>
      <c r="E20" s="41">
        <f>Resum!$B$32</f>
        <v>1</v>
      </c>
      <c r="F20" s="41">
        <f>Resum!$B$37</f>
        <v>0</v>
      </c>
      <c r="G20" s="41">
        <f>Resum!$B$42</f>
        <v>0</v>
      </c>
      <c r="H20" s="46">
        <v>1316.0</v>
      </c>
      <c r="I20" s="47">
        <v>5500.0</v>
      </c>
      <c r="J20" s="46">
        <f t="shared" si="3"/>
        <v>0</v>
      </c>
      <c r="K20" s="47">
        <f t="shared" si="4"/>
        <v>0</v>
      </c>
      <c r="L20" s="41">
        <v>4.0</v>
      </c>
      <c r="M20" s="41">
        <f t="shared" si="5"/>
        <v>0</v>
      </c>
      <c r="N20" s="41"/>
      <c r="O20" s="41"/>
    </row>
    <row r="21" ht="18.75" customHeight="1">
      <c r="A21" s="45" t="s">
        <v>68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</v>
      </c>
      <c r="F21" s="41">
        <f>Resum!$B$37</f>
        <v>0</v>
      </c>
      <c r="G21" s="41">
        <f>Resum!$B$42</f>
        <v>0</v>
      </c>
      <c r="H21" s="46">
        <v>1000.0</v>
      </c>
      <c r="I21" s="47">
        <v>2400.0</v>
      </c>
      <c r="J21" s="46">
        <f t="shared" si="3"/>
        <v>0</v>
      </c>
      <c r="K21" s="47">
        <f t="shared" si="4"/>
        <v>0</v>
      </c>
      <c r="L21" s="41">
        <v>4.0</v>
      </c>
      <c r="M21" s="41">
        <f t="shared" si="5"/>
        <v>0</v>
      </c>
      <c r="N21" s="41"/>
      <c r="O21" s="41"/>
    </row>
    <row r="22" ht="18.75" customHeight="1">
      <c r="A22" s="41"/>
      <c r="B22" s="41"/>
      <c r="C22" s="41"/>
      <c r="D22" s="41"/>
      <c r="E22" s="41"/>
      <c r="F22" s="46"/>
      <c r="G22" s="46"/>
      <c r="H22" s="47"/>
      <c r="I22" s="47"/>
      <c r="J22" s="46"/>
      <c r="K22" s="45" t="str">
        <f>IF(I22="","",I22*E22)</f>
        <v/>
      </c>
      <c r="L22" s="41"/>
      <c r="M22" s="41"/>
      <c r="N22" s="41"/>
      <c r="O22" s="41"/>
    </row>
    <row r="23" ht="18.75" customHeight="1">
      <c r="A23" s="41"/>
      <c r="B23" s="41"/>
      <c r="C23" s="41"/>
      <c r="D23" s="41"/>
      <c r="E23" s="41"/>
      <c r="F23" s="41"/>
      <c r="G23" s="41"/>
      <c r="H23" s="47"/>
      <c r="I23" s="47"/>
      <c r="J23" s="46"/>
      <c r="K23" s="47"/>
      <c r="L23" s="41"/>
      <c r="M23" s="41"/>
      <c r="N23" s="41"/>
      <c r="O23" s="41"/>
    </row>
    <row r="24" ht="18.75" customHeight="1">
      <c r="A24" s="42"/>
      <c r="B24" s="48" t="s">
        <v>76</v>
      </c>
      <c r="C24" s="43"/>
      <c r="D24" s="43"/>
      <c r="E24" s="43"/>
      <c r="F24" s="43"/>
      <c r="G24" s="43"/>
      <c r="H24" s="49"/>
      <c r="I24" s="49"/>
      <c r="J24" s="50">
        <f>SUM(J5:J22)/1000</f>
        <v>1.28</v>
      </c>
      <c r="K24" s="51">
        <f>SUM(K5:K22)</f>
        <v>12100</v>
      </c>
      <c r="L24" s="48" t="s">
        <v>77</v>
      </c>
      <c r="M24" s="52">
        <f>SUM(M16:M21)</f>
        <v>4</v>
      </c>
      <c r="N24" s="41"/>
      <c r="O24" s="41"/>
    </row>
    <row r="25" ht="18.75" customHeight="1">
      <c r="A25" s="42"/>
      <c r="B25" s="42"/>
      <c r="C25" s="43"/>
      <c r="D25" s="43"/>
      <c r="E25" s="43"/>
      <c r="F25" s="43"/>
      <c r="G25" s="43"/>
      <c r="H25" s="49"/>
      <c r="I25" s="49"/>
      <c r="J25" s="53"/>
      <c r="K25" s="49"/>
      <c r="L25" s="48" t="s">
        <v>73</v>
      </c>
      <c r="M25" s="54">
        <f>E16+F16+G16</f>
        <v>1</v>
      </c>
      <c r="N25" s="41"/>
      <c r="O25" s="41"/>
    </row>
    <row r="26" ht="18.75" customHeight="1">
      <c r="A26" s="42"/>
      <c r="B26" s="42"/>
      <c r="C26" s="43"/>
      <c r="D26" s="43"/>
      <c r="E26" s="43"/>
      <c r="F26" s="43"/>
      <c r="G26" s="43"/>
      <c r="H26" s="49"/>
      <c r="I26" s="49"/>
      <c r="J26" s="53"/>
      <c r="K26" s="49"/>
      <c r="L26" s="41"/>
      <c r="M26" s="41"/>
      <c r="N26" s="41"/>
      <c r="O26" s="41"/>
    </row>
    <row r="27" ht="18.75" customHeight="1">
      <c r="A27" s="42"/>
      <c r="B27" s="42"/>
      <c r="C27" s="43"/>
      <c r="D27" s="43"/>
      <c r="E27" s="43"/>
      <c r="F27" s="43"/>
      <c r="G27" s="43"/>
      <c r="H27" s="49"/>
      <c r="I27" s="49"/>
      <c r="J27" s="53"/>
      <c r="K27" s="49"/>
      <c r="L27" s="41"/>
      <c r="M27" s="41"/>
      <c r="N27" s="41"/>
      <c r="O27" s="41"/>
    </row>
    <row r="28" ht="18.75" customHeight="1">
      <c r="A28" s="42"/>
      <c r="B28" s="42"/>
      <c r="C28" s="43"/>
      <c r="D28" s="43"/>
      <c r="E28" s="43"/>
      <c r="F28" s="43"/>
      <c r="G28" s="43"/>
      <c r="H28" s="49"/>
      <c r="I28" s="49"/>
      <c r="J28" s="53"/>
      <c r="K28" s="49"/>
      <c r="L28" s="41"/>
      <c r="M28" s="41"/>
      <c r="N28" s="41"/>
      <c r="O28" s="41"/>
    </row>
    <row r="29" ht="18.75" customHeight="1">
      <c r="A29" s="42"/>
      <c r="B29" s="42"/>
      <c r="C29" s="43"/>
      <c r="D29" s="43"/>
      <c r="E29" s="43"/>
      <c r="F29" s="43"/>
      <c r="G29" s="43"/>
      <c r="H29" s="49"/>
      <c r="I29" s="49"/>
      <c r="J29" s="53"/>
      <c r="K29" s="49"/>
      <c r="L29" s="41"/>
      <c r="M29" s="41"/>
      <c r="N29" s="41"/>
      <c r="O29" s="41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6" t="s">
        <v>78</v>
      </c>
      <c r="G1" s="57"/>
      <c r="H1" s="56" t="s">
        <v>79</v>
      </c>
      <c r="I1" s="57"/>
    </row>
    <row r="2" ht="21.75" customHeight="1">
      <c r="A2" s="58" t="s">
        <v>80</v>
      </c>
      <c r="B2" s="57"/>
      <c r="C2" s="59" t="s">
        <v>81</v>
      </c>
      <c r="D2" s="60" t="s">
        <v>82</v>
      </c>
      <c r="E2" s="60" t="s">
        <v>83</v>
      </c>
      <c r="F2" s="60" t="s">
        <v>60</v>
      </c>
      <c r="G2" s="60" t="s">
        <v>8</v>
      </c>
      <c r="H2" s="60" t="s">
        <v>20</v>
      </c>
      <c r="I2" s="60" t="s">
        <v>8</v>
      </c>
    </row>
    <row r="3" ht="21.75" customHeight="1">
      <c r="A3" s="60" t="s">
        <v>84</v>
      </c>
      <c r="B3" s="61">
        <f>Resum!B7</f>
        <v>56</v>
      </c>
      <c r="C3" s="2">
        <f t="shared" ref="C3:C5" si="1">IF($B$6&lt;&gt;0,1,0)</f>
        <v>1</v>
      </c>
      <c r="D3" s="59" t="s">
        <v>85</v>
      </c>
      <c r="E3" s="2">
        <v>16.0</v>
      </c>
      <c r="F3" s="62">
        <v>400.0</v>
      </c>
      <c r="G3" s="63">
        <v>0.7</v>
      </c>
      <c r="H3" s="62">
        <f t="shared" ref="H3:H5" si="2">E3*F3*C3</f>
        <v>6400</v>
      </c>
      <c r="I3" s="63">
        <f t="shared" ref="I3:I15" si="3">G3*E3*C3</f>
        <v>11.2</v>
      </c>
    </row>
    <row r="4" ht="21.75" customHeight="1">
      <c r="A4" s="60" t="s">
        <v>86</v>
      </c>
      <c r="B4" s="64">
        <f>Resum!B4</f>
        <v>42</v>
      </c>
      <c r="C4" s="2">
        <f t="shared" si="1"/>
        <v>1</v>
      </c>
      <c r="D4" s="59" t="s">
        <v>87</v>
      </c>
      <c r="E4" s="2">
        <f>2*E19+B5*2</f>
        <v>4</v>
      </c>
      <c r="F4" s="62">
        <v>6000.0</v>
      </c>
      <c r="G4" s="63">
        <v>150.0</v>
      </c>
      <c r="H4" s="62">
        <f t="shared" si="2"/>
        <v>24000</v>
      </c>
      <c r="I4" s="63">
        <f t="shared" si="3"/>
        <v>600</v>
      </c>
    </row>
    <row r="5" ht="36.0" customHeight="1">
      <c r="A5" s="60" t="s">
        <v>88</v>
      </c>
      <c r="B5" s="61">
        <f>ROUNDUP('Cabina de discos'!M24/B4,0)</f>
        <v>1</v>
      </c>
      <c r="C5" s="2">
        <f t="shared" si="1"/>
        <v>1</v>
      </c>
      <c r="D5" s="59" t="s">
        <v>89</v>
      </c>
      <c r="E5" s="2">
        <f>(B4-4)*2+E19+2+2</f>
        <v>81</v>
      </c>
      <c r="F5" s="62">
        <v>26.0</v>
      </c>
      <c r="G5" s="63">
        <v>0.0</v>
      </c>
      <c r="H5" s="62">
        <f t="shared" si="2"/>
        <v>2106</v>
      </c>
      <c r="I5" s="63">
        <f t="shared" si="3"/>
        <v>0</v>
      </c>
    </row>
    <row r="6" ht="21.75" customHeight="1">
      <c r="A6" s="60" t="s">
        <v>90</v>
      </c>
      <c r="B6" s="61">
        <f>Resum!B27</f>
        <v>2</v>
      </c>
      <c r="C6" s="2">
        <f t="shared" ref="C6:C7" si="4">IF($B$6=1,1,0)</f>
        <v>0</v>
      </c>
      <c r="D6" s="59" t="s">
        <v>91</v>
      </c>
      <c r="E6" s="2">
        <f>$B$3*2</f>
        <v>112</v>
      </c>
      <c r="F6" s="62">
        <v>1600.0</v>
      </c>
      <c r="G6" s="63">
        <v>6.2</v>
      </c>
      <c r="H6" s="62">
        <f t="shared" ref="H6:H15" si="5">C6*E6*F6</f>
        <v>0</v>
      </c>
      <c r="I6" s="63">
        <f t="shared" si="3"/>
        <v>0</v>
      </c>
    </row>
    <row r="7" ht="21.75" customHeight="1">
      <c r="A7" s="2"/>
      <c r="B7" s="2"/>
      <c r="C7" s="2">
        <f t="shared" si="4"/>
        <v>0</v>
      </c>
      <c r="D7" s="59" t="s">
        <v>92</v>
      </c>
      <c r="E7" s="2">
        <v>2.0</v>
      </c>
      <c r="F7" s="62">
        <v>12800.0</v>
      </c>
      <c r="G7" s="63">
        <v>600.0</v>
      </c>
      <c r="H7" s="62">
        <f t="shared" si="5"/>
        <v>0</v>
      </c>
      <c r="I7" s="63">
        <f t="shared" si="3"/>
        <v>0</v>
      </c>
    </row>
    <row r="8" ht="21.75" customHeight="1">
      <c r="A8" s="2"/>
      <c r="B8" s="2"/>
      <c r="C8" s="2">
        <f t="shared" ref="C8:C9" si="6">IF($B$6=2,1,0)</f>
        <v>1</v>
      </c>
      <c r="D8" s="59" t="s">
        <v>93</v>
      </c>
      <c r="E8" s="2">
        <f>$B$3*2</f>
        <v>112</v>
      </c>
      <c r="F8" s="62">
        <v>2800.0</v>
      </c>
      <c r="G8" s="63">
        <v>10.2</v>
      </c>
      <c r="H8" s="62">
        <f t="shared" si="5"/>
        <v>313600</v>
      </c>
      <c r="I8" s="63">
        <f t="shared" si="3"/>
        <v>1142.4</v>
      </c>
    </row>
    <row r="9" ht="21.75" customHeight="1">
      <c r="A9" s="2"/>
      <c r="B9" s="2"/>
      <c r="C9" s="2">
        <f t="shared" si="6"/>
        <v>1</v>
      </c>
      <c r="D9" s="59" t="s">
        <v>94</v>
      </c>
      <c r="E9" s="2">
        <v>2.0</v>
      </c>
      <c r="F9" s="62">
        <v>30000.0</v>
      </c>
      <c r="G9" s="63">
        <v>1800.0</v>
      </c>
      <c r="H9" s="62">
        <f t="shared" si="5"/>
        <v>60000</v>
      </c>
      <c r="I9" s="63">
        <f t="shared" si="3"/>
        <v>3600</v>
      </c>
    </row>
    <row r="10" ht="21.75" customHeight="1">
      <c r="A10" s="2"/>
      <c r="B10" s="2"/>
      <c r="C10" s="2">
        <f t="shared" ref="C10:C11" si="7">IF($B$6=3,1,0)</f>
        <v>0</v>
      </c>
      <c r="D10" s="59" t="s">
        <v>95</v>
      </c>
      <c r="E10" s="2">
        <f>$B$3*2</f>
        <v>112</v>
      </c>
      <c r="F10" s="62">
        <v>4200.0</v>
      </c>
      <c r="G10" s="63">
        <v>18.5</v>
      </c>
      <c r="H10" s="62">
        <f t="shared" si="5"/>
        <v>0</v>
      </c>
      <c r="I10" s="63">
        <f t="shared" si="3"/>
        <v>0</v>
      </c>
    </row>
    <row r="11" ht="21.75" customHeight="1">
      <c r="A11" s="2"/>
      <c r="B11" s="2"/>
      <c r="C11" s="2">
        <f t="shared" si="7"/>
        <v>0</v>
      </c>
      <c r="D11" s="59" t="s">
        <v>96</v>
      </c>
      <c r="E11" s="2">
        <v>2.0</v>
      </c>
      <c r="F11" s="62">
        <v>72200.0</v>
      </c>
      <c r="G11" s="63">
        <v>3500.0</v>
      </c>
      <c r="H11" s="62">
        <f t="shared" si="5"/>
        <v>0</v>
      </c>
      <c r="I11" s="63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59" t="s">
        <v>97</v>
      </c>
      <c r="E12" s="2">
        <f>$B$3*2</f>
        <v>112</v>
      </c>
      <c r="F12" s="62">
        <v>7000.0</v>
      </c>
      <c r="G12" s="63">
        <v>24.5</v>
      </c>
      <c r="H12" s="62">
        <f t="shared" si="5"/>
        <v>0</v>
      </c>
      <c r="I12" s="63">
        <f t="shared" si="3"/>
        <v>0</v>
      </c>
    </row>
    <row r="13" ht="21.75" customHeight="1">
      <c r="A13" s="2"/>
      <c r="B13" s="2"/>
      <c r="C13" s="2">
        <f t="shared" si="8"/>
        <v>0</v>
      </c>
      <c r="D13" s="59" t="s">
        <v>98</v>
      </c>
      <c r="E13" s="2">
        <v>2.0</v>
      </c>
      <c r="F13" s="62">
        <v>122200.0</v>
      </c>
      <c r="G13" s="63">
        <v>4600.0</v>
      </c>
      <c r="H13" s="62">
        <f t="shared" si="5"/>
        <v>0</v>
      </c>
      <c r="I13" s="63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59" t="s">
        <v>99</v>
      </c>
      <c r="E14" s="2">
        <f>$B$3*2</f>
        <v>112</v>
      </c>
      <c r="F14" s="62">
        <v>11200.0</v>
      </c>
      <c r="G14" s="63">
        <v>30.5</v>
      </c>
      <c r="H14" s="62">
        <f t="shared" si="5"/>
        <v>0</v>
      </c>
      <c r="I14" s="63">
        <f t="shared" si="3"/>
        <v>0</v>
      </c>
    </row>
    <row r="15" ht="21.75" customHeight="1">
      <c r="A15" s="2"/>
      <c r="B15" s="2"/>
      <c r="C15" s="2">
        <f t="shared" si="9"/>
        <v>0</v>
      </c>
      <c r="D15" s="59" t="s">
        <v>100</v>
      </c>
      <c r="E15" s="2">
        <v>2.0</v>
      </c>
      <c r="F15" s="62">
        <v>150000.0</v>
      </c>
      <c r="G15" s="63">
        <v>5500.0</v>
      </c>
      <c r="H15" s="62">
        <f t="shared" si="5"/>
        <v>0</v>
      </c>
      <c r="I15" s="63">
        <f t="shared" si="3"/>
        <v>0</v>
      </c>
    </row>
    <row r="16" ht="21.75" customHeight="1">
      <c r="A16" s="2"/>
      <c r="B16" s="2"/>
      <c r="C16" s="2"/>
      <c r="D16" s="59"/>
      <c r="E16" s="2"/>
      <c r="F16" s="62"/>
      <c r="G16" s="63"/>
      <c r="H16" s="62"/>
      <c r="I16" s="63"/>
    </row>
    <row r="17" ht="21.75" customHeight="1">
      <c r="A17" s="58" t="s">
        <v>101</v>
      </c>
      <c r="B17" s="57"/>
      <c r="C17" s="2"/>
      <c r="D17" s="65" t="s">
        <v>102</v>
      </c>
      <c r="E17" s="66"/>
      <c r="F17" s="66"/>
      <c r="G17" s="57"/>
      <c r="H17" s="62">
        <f t="shared" ref="H17:I17" si="10">SUM(H3:H16)</f>
        <v>406106</v>
      </c>
      <c r="I17" s="63">
        <f t="shared" si="10"/>
        <v>5353.6</v>
      </c>
    </row>
    <row r="18" ht="21.75" customHeight="1">
      <c r="A18" s="60" t="s">
        <v>103</v>
      </c>
      <c r="B18" s="67">
        <f>H17</f>
        <v>406106</v>
      </c>
      <c r="C18" s="2"/>
      <c r="D18" s="2"/>
      <c r="E18" s="2"/>
      <c r="F18" s="68"/>
      <c r="G18" s="63"/>
      <c r="H18" s="2"/>
      <c r="I18" s="63"/>
    </row>
    <row r="19" ht="21.75" customHeight="1">
      <c r="A19" s="60" t="s">
        <v>8</v>
      </c>
      <c r="B19" s="69">
        <f>I17/1000</f>
        <v>5.3536</v>
      </c>
      <c r="C19" s="2"/>
      <c r="D19" s="59" t="s">
        <v>104</v>
      </c>
      <c r="E19" s="2">
        <f>MROUND(B3/(B4-4),1)</f>
        <v>1</v>
      </c>
      <c r="F19" s="2"/>
      <c r="G19" s="2"/>
      <c r="H19" s="2"/>
      <c r="I19" s="2"/>
    </row>
    <row r="20" ht="19.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ht="19.5" customHeight="1">
      <c r="A21" s="40"/>
      <c r="B21" s="40"/>
      <c r="C21" s="40"/>
      <c r="D21" s="40"/>
      <c r="E21" s="40"/>
      <c r="F21" s="40"/>
      <c r="G21" s="40"/>
      <c r="H21" s="40"/>
      <c r="I21" s="40"/>
    </row>
    <row r="22" ht="19.5" customHeight="1">
      <c r="A22" s="40"/>
      <c r="B22" s="40"/>
      <c r="C22" s="40"/>
      <c r="D22" s="40"/>
      <c r="E22" s="40"/>
      <c r="F22" s="40"/>
      <c r="G22" s="40"/>
      <c r="H22" s="40"/>
      <c r="I22" s="40"/>
    </row>
    <row r="23" ht="19.5" customHeight="1">
      <c r="A23" s="40"/>
      <c r="B23" s="40"/>
      <c r="C23" s="40"/>
      <c r="D23" s="40"/>
      <c r="E23" s="40"/>
      <c r="F23" s="40"/>
      <c r="G23" s="40"/>
      <c r="H23" s="40"/>
      <c r="I23" s="40"/>
    </row>
    <row r="24" ht="19.5" customHeight="1">
      <c r="A24" s="40"/>
      <c r="B24" s="40"/>
      <c r="C24" s="40"/>
      <c r="D24" s="40"/>
      <c r="E24" s="40"/>
      <c r="F24" s="40"/>
      <c r="G24" s="40"/>
      <c r="H24" s="40"/>
      <c r="I24" s="40"/>
    </row>
    <row r="25" ht="19.5" customHeight="1">
      <c r="A25" s="40"/>
      <c r="B25" s="40"/>
      <c r="C25" s="40"/>
      <c r="D25" s="40"/>
      <c r="E25" s="40"/>
      <c r="F25" s="40"/>
      <c r="G25" s="40"/>
      <c r="H25" s="40"/>
      <c r="I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ht="18.0" customHeight="1">
      <c r="A2" s="71" t="s">
        <v>105</v>
      </c>
      <c r="B2" s="72"/>
      <c r="C2" s="72"/>
      <c r="D2" s="72"/>
      <c r="E2" s="72"/>
      <c r="F2" s="72"/>
      <c r="G2" s="73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ht="18.0" customHeight="1">
      <c r="A3" s="74" t="s">
        <v>106</v>
      </c>
      <c r="B3" s="75"/>
      <c r="C3" s="75"/>
      <c r="D3" s="75"/>
      <c r="E3" s="75"/>
      <c r="F3" s="75"/>
      <c r="G3" s="76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ht="18.75" customHeight="1">
      <c r="A4" s="77"/>
      <c r="B4" s="78" t="s">
        <v>107</v>
      </c>
      <c r="C4" s="79"/>
      <c r="D4" s="79"/>
      <c r="E4" s="79"/>
      <c r="F4" s="79"/>
      <c r="G4" s="80"/>
      <c r="H4" s="81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70"/>
    </row>
    <row r="5" ht="18.75" customHeight="1">
      <c r="A5" s="83"/>
      <c r="B5" s="84" t="s">
        <v>108</v>
      </c>
      <c r="C5" s="84" t="s">
        <v>109</v>
      </c>
      <c r="D5" s="84" t="s">
        <v>110</v>
      </c>
      <c r="E5" s="84" t="s">
        <v>111</v>
      </c>
      <c r="F5" s="84" t="s">
        <v>112</v>
      </c>
      <c r="G5" s="84" t="s">
        <v>113</v>
      </c>
      <c r="H5" s="85"/>
      <c r="I5" s="86" t="s">
        <v>114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1"/>
    </row>
    <row r="6" ht="18.0" customHeight="1">
      <c r="A6" s="87" t="s">
        <v>115</v>
      </c>
      <c r="B6" s="88">
        <v>17.683102</v>
      </c>
      <c r="C6" s="88">
        <v>8.849205</v>
      </c>
      <c r="D6" s="88">
        <v>6.476148</v>
      </c>
      <c r="E6" s="88">
        <v>6.476148</v>
      </c>
      <c r="F6" s="88">
        <v>6.476148</v>
      </c>
      <c r="G6" s="88">
        <v>2.954837</v>
      </c>
      <c r="H6" s="85"/>
      <c r="I6" s="83"/>
      <c r="J6" s="86" t="s">
        <v>108</v>
      </c>
      <c r="K6" s="86" t="s">
        <v>109</v>
      </c>
      <c r="L6" s="86" t="s">
        <v>110</v>
      </c>
      <c r="M6" s="86" t="s">
        <v>111</v>
      </c>
      <c r="N6" s="86" t="s">
        <v>112</v>
      </c>
      <c r="O6" s="86" t="s">
        <v>113</v>
      </c>
      <c r="P6" s="86" t="s">
        <v>116</v>
      </c>
      <c r="Q6" s="86" t="s">
        <v>117</v>
      </c>
      <c r="R6" s="86" t="s">
        <v>118</v>
      </c>
      <c r="S6" s="86" t="s">
        <v>119</v>
      </c>
      <c r="T6" s="81"/>
    </row>
    <row r="7" ht="18.0" customHeight="1">
      <c r="A7" s="87" t="s">
        <v>120</v>
      </c>
      <c r="B7" s="88">
        <v>0.075697</v>
      </c>
      <c r="C7" s="88">
        <v>0.056532</v>
      </c>
      <c r="D7" s="88">
        <v>0.030124</v>
      </c>
      <c r="E7" s="88">
        <v>0.014992</v>
      </c>
      <c r="F7" s="88">
        <v>0.009682</v>
      </c>
      <c r="G7" s="88">
        <v>0.006062</v>
      </c>
      <c r="H7" s="85"/>
      <c r="I7" s="86" t="s">
        <v>121</v>
      </c>
      <c r="J7" s="89">
        <v>6.0</v>
      </c>
      <c r="K7" s="83">
        <v>10.0</v>
      </c>
      <c r="L7" s="83">
        <v>0.0</v>
      </c>
      <c r="M7" s="83">
        <v>0.0</v>
      </c>
      <c r="N7" s="83">
        <v>0.0</v>
      </c>
      <c r="O7" s="83">
        <v>8.0</v>
      </c>
      <c r="P7" s="83">
        <v>23.0</v>
      </c>
      <c r="Q7" s="83">
        <v>8.0</v>
      </c>
      <c r="R7" s="83">
        <f t="shared" ref="R7:R20" si="1">P7+Q7</f>
        <v>31</v>
      </c>
      <c r="S7" s="90">
        <f t="shared" ref="S7:S19" si="2">R7*24</f>
        <v>744</v>
      </c>
      <c r="T7" s="81"/>
    </row>
    <row r="8" ht="18.75" customHeight="1">
      <c r="A8" s="91"/>
      <c r="B8" s="92"/>
      <c r="C8" s="91"/>
      <c r="D8" s="91"/>
      <c r="E8" s="91"/>
      <c r="F8" s="91"/>
      <c r="G8" s="93"/>
      <c r="H8" s="94"/>
      <c r="I8" s="86" t="s">
        <v>122</v>
      </c>
      <c r="J8" s="83">
        <v>6.0</v>
      </c>
      <c r="K8" s="83">
        <v>10.0</v>
      </c>
      <c r="L8" s="83">
        <v>0.0</v>
      </c>
      <c r="M8" s="83">
        <v>0.0</v>
      </c>
      <c r="N8" s="83">
        <v>0.0</v>
      </c>
      <c r="O8" s="83">
        <v>8.0</v>
      </c>
      <c r="P8" s="83">
        <v>20.0</v>
      </c>
      <c r="Q8" s="83">
        <v>8.0</v>
      </c>
      <c r="R8" s="83">
        <f t="shared" si="1"/>
        <v>28</v>
      </c>
      <c r="S8" s="90">
        <f t="shared" si="2"/>
        <v>672</v>
      </c>
      <c r="T8" s="81"/>
    </row>
    <row r="9" ht="18.75" customHeight="1">
      <c r="A9" s="95" t="s">
        <v>123</v>
      </c>
      <c r="B9" s="96">
        <f>Resum!B6</f>
        <v>0.07</v>
      </c>
      <c r="C9" s="97" t="s">
        <v>124</v>
      </c>
      <c r="D9" s="41"/>
      <c r="E9" s="41"/>
      <c r="F9" s="41"/>
      <c r="G9" s="98"/>
      <c r="H9" s="94"/>
      <c r="I9" s="86" t="s">
        <v>125</v>
      </c>
      <c r="J9" s="83">
        <v>0.0</v>
      </c>
      <c r="K9" s="83">
        <v>0.0</v>
      </c>
      <c r="L9" s="83">
        <v>6.0</v>
      </c>
      <c r="M9" s="83">
        <v>10.0</v>
      </c>
      <c r="N9" s="83">
        <v>0.0</v>
      </c>
      <c r="O9" s="83">
        <v>8.0</v>
      </c>
      <c r="P9" s="83">
        <v>23.0</v>
      </c>
      <c r="Q9" s="83">
        <v>8.0</v>
      </c>
      <c r="R9" s="83">
        <f t="shared" si="1"/>
        <v>31</v>
      </c>
      <c r="S9" s="90">
        <f t="shared" si="2"/>
        <v>744</v>
      </c>
      <c r="T9" s="81"/>
    </row>
    <row r="10" ht="18.75" customHeight="1">
      <c r="A10" s="87" t="s">
        <v>126</v>
      </c>
      <c r="B10" s="99">
        <f>Resum!B5+'Cabina de discos'!J24+SAN!B19+Backup!H29</f>
        <v>366.6336</v>
      </c>
      <c r="C10" s="97" t="s">
        <v>127</v>
      </c>
      <c r="D10" s="41"/>
      <c r="E10" s="41"/>
      <c r="F10" s="41"/>
      <c r="G10" s="98"/>
      <c r="H10" s="94"/>
      <c r="I10" s="86" t="s">
        <v>128</v>
      </c>
      <c r="J10" s="83">
        <v>0.0</v>
      </c>
      <c r="K10" s="83">
        <v>0.0</v>
      </c>
      <c r="L10" s="83">
        <v>0.0</v>
      </c>
      <c r="M10" s="83">
        <v>0.0</v>
      </c>
      <c r="N10" s="83">
        <v>16.0</v>
      </c>
      <c r="O10" s="83">
        <v>8.0</v>
      </c>
      <c r="P10" s="83">
        <v>22.0</v>
      </c>
      <c r="Q10" s="83">
        <v>8.0</v>
      </c>
      <c r="R10" s="83">
        <f t="shared" si="1"/>
        <v>30</v>
      </c>
      <c r="S10" s="90">
        <f t="shared" si="2"/>
        <v>720</v>
      </c>
      <c r="T10" s="81"/>
    </row>
    <row r="11" ht="18.75" customHeight="1">
      <c r="A11" s="100"/>
      <c r="B11" s="100"/>
      <c r="C11" s="41"/>
      <c r="D11" s="41"/>
      <c r="E11" s="41"/>
      <c r="F11" s="41"/>
      <c r="G11" s="98"/>
      <c r="H11" s="94"/>
      <c r="I11" s="86" t="s">
        <v>129</v>
      </c>
      <c r="J11" s="83">
        <v>0.0</v>
      </c>
      <c r="K11" s="83">
        <v>0.0</v>
      </c>
      <c r="L11" s="83">
        <v>0.0</v>
      </c>
      <c r="M11" s="83">
        <v>0.0</v>
      </c>
      <c r="N11" s="83">
        <v>16.0</v>
      </c>
      <c r="O11" s="83">
        <v>8.0</v>
      </c>
      <c r="P11" s="83">
        <v>23.0</v>
      </c>
      <c r="Q11" s="83">
        <v>8.0</v>
      </c>
      <c r="R11" s="83">
        <f t="shared" si="1"/>
        <v>31</v>
      </c>
      <c r="S11" s="90">
        <f t="shared" si="2"/>
        <v>744</v>
      </c>
      <c r="T11" s="81"/>
    </row>
    <row r="12" ht="18.75" customHeight="1">
      <c r="A12" s="101" t="s">
        <v>130</v>
      </c>
      <c r="B12" s="47"/>
      <c r="C12" s="41"/>
      <c r="D12" s="41"/>
      <c r="E12" s="41"/>
      <c r="F12" s="41"/>
      <c r="G12" s="98"/>
      <c r="H12" s="94"/>
      <c r="I12" s="86" t="s">
        <v>131</v>
      </c>
      <c r="J12" s="83">
        <v>0.0</v>
      </c>
      <c r="K12" s="83">
        <v>0.0</v>
      </c>
      <c r="L12" s="83">
        <v>6.0</v>
      </c>
      <c r="M12" s="83">
        <v>10.0</v>
      </c>
      <c r="N12" s="83">
        <v>0.0</v>
      </c>
      <c r="O12" s="83">
        <v>8.0</v>
      </c>
      <c r="P12" s="83">
        <v>11.0</v>
      </c>
      <c r="Q12" s="83">
        <v>4.0</v>
      </c>
      <c r="R12" s="83">
        <f t="shared" si="1"/>
        <v>15</v>
      </c>
      <c r="S12" s="90">
        <f t="shared" si="2"/>
        <v>360</v>
      </c>
      <c r="T12" s="81"/>
    </row>
    <row r="13" ht="18.75" customHeight="1">
      <c r="A13" s="102"/>
      <c r="B13" s="103"/>
      <c r="C13" s="102"/>
      <c r="D13" s="102"/>
      <c r="E13" s="102"/>
      <c r="F13" s="102"/>
      <c r="G13" s="104"/>
      <c r="H13" s="94"/>
      <c r="I13" s="86" t="s">
        <v>132</v>
      </c>
      <c r="J13" s="83">
        <v>8.0</v>
      </c>
      <c r="K13" s="83">
        <v>8.0</v>
      </c>
      <c r="L13" s="83">
        <v>0.0</v>
      </c>
      <c r="M13" s="83">
        <v>0.0</v>
      </c>
      <c r="N13" s="83">
        <v>0.0</v>
      </c>
      <c r="O13" s="83">
        <v>8.0</v>
      </c>
      <c r="P13" s="83">
        <v>11.0</v>
      </c>
      <c r="Q13" s="83">
        <v>4.0</v>
      </c>
      <c r="R13" s="83">
        <f t="shared" si="1"/>
        <v>15</v>
      </c>
      <c r="S13" s="90">
        <f t="shared" si="2"/>
        <v>360</v>
      </c>
      <c r="T13" s="81"/>
    </row>
    <row r="14" ht="18.75" customHeight="1">
      <c r="A14" s="105" t="s">
        <v>133</v>
      </c>
      <c r="B14" s="70"/>
      <c r="C14" s="70"/>
      <c r="D14" s="70"/>
      <c r="E14" s="70"/>
      <c r="F14" s="70"/>
      <c r="G14" s="70"/>
      <c r="H14" s="94"/>
      <c r="I14" s="86" t="s">
        <v>134</v>
      </c>
      <c r="J14" s="83">
        <v>8.0</v>
      </c>
      <c r="K14" s="83">
        <v>8.0</v>
      </c>
      <c r="L14" s="83">
        <v>0.0</v>
      </c>
      <c r="M14" s="83">
        <v>0.0</v>
      </c>
      <c r="N14" s="83">
        <v>0.0</v>
      </c>
      <c r="O14" s="83">
        <v>8.0</v>
      </c>
      <c r="P14" s="83">
        <v>23.0</v>
      </c>
      <c r="Q14" s="83">
        <v>8.0</v>
      </c>
      <c r="R14" s="83">
        <f t="shared" si="1"/>
        <v>31</v>
      </c>
      <c r="S14" s="90">
        <f t="shared" si="2"/>
        <v>744</v>
      </c>
      <c r="T14" s="81"/>
    </row>
    <row r="15" ht="18.75" customHeight="1">
      <c r="A15" s="70"/>
      <c r="B15" s="106"/>
      <c r="C15" s="70"/>
      <c r="D15" s="70"/>
      <c r="E15" s="70"/>
      <c r="F15" s="70"/>
      <c r="G15" s="70"/>
      <c r="H15" s="94"/>
      <c r="I15" s="86" t="s">
        <v>135</v>
      </c>
      <c r="J15" s="83">
        <v>0.0</v>
      </c>
      <c r="K15" s="83">
        <v>0.0</v>
      </c>
      <c r="L15" s="83">
        <v>0.0</v>
      </c>
      <c r="M15" s="83">
        <v>0.0</v>
      </c>
      <c r="N15" s="83">
        <v>0.0</v>
      </c>
      <c r="O15" s="83">
        <v>24.0</v>
      </c>
      <c r="P15" s="83">
        <v>23.0</v>
      </c>
      <c r="Q15" s="83">
        <v>8.0</v>
      </c>
      <c r="R15" s="83">
        <f t="shared" si="1"/>
        <v>31</v>
      </c>
      <c r="S15" s="90">
        <f t="shared" si="2"/>
        <v>744</v>
      </c>
      <c r="T15" s="81"/>
    </row>
    <row r="16" ht="18.75" customHeight="1">
      <c r="A16" s="82"/>
      <c r="B16" s="82"/>
      <c r="C16" s="82"/>
      <c r="D16" s="82"/>
      <c r="E16" s="82"/>
      <c r="F16" s="82"/>
      <c r="G16" s="70"/>
      <c r="H16" s="94"/>
      <c r="I16" s="86" t="s">
        <v>136</v>
      </c>
      <c r="J16" s="83">
        <v>0.0</v>
      </c>
      <c r="K16" s="83">
        <v>0.0</v>
      </c>
      <c r="L16" s="83">
        <v>6.0</v>
      </c>
      <c r="M16" s="83">
        <v>10.0</v>
      </c>
      <c r="N16" s="83">
        <v>0.0</v>
      </c>
      <c r="O16" s="83">
        <v>8.0</v>
      </c>
      <c r="P16" s="83">
        <v>22.0</v>
      </c>
      <c r="Q16" s="83">
        <v>8.0</v>
      </c>
      <c r="R16" s="83">
        <f t="shared" si="1"/>
        <v>30</v>
      </c>
      <c r="S16" s="90">
        <f t="shared" si="2"/>
        <v>720</v>
      </c>
      <c r="T16" s="81"/>
    </row>
    <row r="17" ht="47.25" customHeight="1">
      <c r="A17" s="107" t="s">
        <v>137</v>
      </c>
      <c r="B17" s="108" t="s">
        <v>138</v>
      </c>
      <c r="C17" s="109" t="s">
        <v>139</v>
      </c>
      <c r="D17" s="108" t="s">
        <v>140</v>
      </c>
      <c r="E17" s="108" t="s">
        <v>141</v>
      </c>
      <c r="F17" s="110" t="s">
        <v>142</v>
      </c>
      <c r="G17" s="111" t="s">
        <v>143</v>
      </c>
      <c r="H17" s="94"/>
      <c r="I17" s="86" t="s">
        <v>144</v>
      </c>
      <c r="J17" s="83">
        <v>0.0</v>
      </c>
      <c r="K17" s="83">
        <v>0.0</v>
      </c>
      <c r="L17" s="83">
        <v>6.0</v>
      </c>
      <c r="M17" s="83">
        <v>10.0</v>
      </c>
      <c r="N17" s="83">
        <v>0.0</v>
      </c>
      <c r="O17" s="83">
        <v>8.0</v>
      </c>
      <c r="P17" s="83">
        <v>23.0</v>
      </c>
      <c r="Q17" s="83">
        <v>8.0</v>
      </c>
      <c r="R17" s="83">
        <f t="shared" si="1"/>
        <v>31</v>
      </c>
      <c r="S17" s="90">
        <f t="shared" si="2"/>
        <v>744</v>
      </c>
      <c r="T17" s="81"/>
    </row>
    <row r="18" ht="18.75" customHeight="1">
      <c r="A18" s="112">
        <v>1.0</v>
      </c>
      <c r="B18" s="113">
        <f t="shared" ref="B18:B38" si="3">$B$10*A18</f>
        <v>366.6336</v>
      </c>
      <c r="C18" s="114">
        <f t="shared" ref="C18:C38" si="4">B18*(1+$B$9)</f>
        <v>392.297952</v>
      </c>
      <c r="D18" s="115">
        <f>SUM(B6:G6*C18)</f>
        <v>2540.579597</v>
      </c>
      <c r="E18" s="115">
        <f t="shared" ref="E18:E38" si="5">($J$38*$B$7+$K$38*$C$7+$L$38*$D$7+$M$38*$E$7+$N$38*$F$7+$O$38*$G$7+$P$38*$G$7)*B18</f>
        <v>63324.63422</v>
      </c>
      <c r="F18" s="116">
        <f t="shared" ref="F18:F38" si="6">D18+E18</f>
        <v>65865.21382</v>
      </c>
      <c r="G18" s="117">
        <f t="shared" ref="G18:G38" si="7">1-$F$18/F18</f>
        <v>0</v>
      </c>
      <c r="H18" s="94"/>
      <c r="I18" s="86" t="s">
        <v>145</v>
      </c>
      <c r="J18" s="83">
        <v>0.0</v>
      </c>
      <c r="K18" s="83">
        <v>0.0</v>
      </c>
      <c r="L18" s="83">
        <v>6.0</v>
      </c>
      <c r="M18" s="83">
        <v>10.0</v>
      </c>
      <c r="N18" s="83">
        <v>0.0</v>
      </c>
      <c r="O18" s="83">
        <v>8.0</v>
      </c>
      <c r="P18" s="83">
        <v>22.0</v>
      </c>
      <c r="Q18" s="83">
        <v>8.0</v>
      </c>
      <c r="R18" s="83">
        <f t="shared" si="1"/>
        <v>30</v>
      </c>
      <c r="S18" s="90">
        <f t="shared" si="2"/>
        <v>720</v>
      </c>
      <c r="T18" s="81"/>
    </row>
    <row r="19" ht="18.75" customHeight="1">
      <c r="A19" s="118">
        <v>1.05</v>
      </c>
      <c r="B19" s="119">
        <f t="shared" si="3"/>
        <v>384.96528</v>
      </c>
      <c r="C19" s="120">
        <f t="shared" si="4"/>
        <v>411.9128496</v>
      </c>
      <c r="D19" s="121">
        <v>1721.34541159056</v>
      </c>
      <c r="E19" s="121">
        <f t="shared" si="5"/>
        <v>66490.86593</v>
      </c>
      <c r="F19" s="122">
        <f t="shared" si="6"/>
        <v>68212.21134</v>
      </c>
      <c r="G19" s="123">
        <f t="shared" si="7"/>
        <v>0.03440729276</v>
      </c>
      <c r="H19" s="94"/>
      <c r="I19" s="86" t="s">
        <v>146</v>
      </c>
      <c r="J19" s="83">
        <v>6.0</v>
      </c>
      <c r="K19" s="83">
        <v>10.0</v>
      </c>
      <c r="L19" s="83">
        <v>0.0</v>
      </c>
      <c r="M19" s="83">
        <v>0.0</v>
      </c>
      <c r="N19" s="83">
        <v>0.0</v>
      </c>
      <c r="O19" s="83">
        <v>8.0</v>
      </c>
      <c r="P19" s="83">
        <v>23.0</v>
      </c>
      <c r="Q19" s="83">
        <v>7.0</v>
      </c>
      <c r="R19" s="83">
        <f t="shared" si="1"/>
        <v>30</v>
      </c>
      <c r="S19" s="90">
        <f t="shared" si="2"/>
        <v>720</v>
      </c>
      <c r="T19" s="81"/>
    </row>
    <row r="20" ht="18.75" customHeight="1">
      <c r="A20" s="118">
        <v>1.1</v>
      </c>
      <c r="B20" s="119">
        <f t="shared" si="3"/>
        <v>403.29696</v>
      </c>
      <c r="C20" s="120">
        <f t="shared" si="4"/>
        <v>431.5277472</v>
      </c>
      <c r="D20" s="121">
        <v>1803.314240713921</v>
      </c>
      <c r="E20" s="121">
        <f t="shared" si="5"/>
        <v>69657.09764</v>
      </c>
      <c r="F20" s="122">
        <f t="shared" si="6"/>
        <v>71460.41188</v>
      </c>
      <c r="G20" s="123">
        <f t="shared" si="7"/>
        <v>0.07829787036</v>
      </c>
      <c r="H20" s="70"/>
      <c r="I20" s="124"/>
      <c r="J20" s="124"/>
      <c r="K20" s="124"/>
      <c r="L20" s="124"/>
      <c r="M20" s="124"/>
      <c r="N20" s="124"/>
      <c r="O20" s="124"/>
      <c r="P20" s="125">
        <f t="shared" ref="P20:Q20" si="8">SUM(P7:P19)</f>
        <v>269</v>
      </c>
      <c r="Q20" s="125">
        <f t="shared" si="8"/>
        <v>95</v>
      </c>
      <c r="R20" s="125">
        <f t="shared" si="1"/>
        <v>364</v>
      </c>
      <c r="S20" s="125">
        <f>SUM(S7:S19)</f>
        <v>8736</v>
      </c>
      <c r="T20" s="70"/>
    </row>
    <row r="21" ht="18.75" customHeight="1">
      <c r="A21" s="118">
        <v>1.15</v>
      </c>
      <c r="B21" s="119">
        <f t="shared" si="3"/>
        <v>421.62864</v>
      </c>
      <c r="C21" s="120">
        <f t="shared" si="4"/>
        <v>451.1426448</v>
      </c>
      <c r="D21" s="121">
        <v>1885.28306983728</v>
      </c>
      <c r="E21" s="121">
        <f t="shared" si="5"/>
        <v>72823.32935</v>
      </c>
      <c r="F21" s="122">
        <f t="shared" si="6"/>
        <v>74708.61242</v>
      </c>
      <c r="G21" s="123">
        <f t="shared" si="7"/>
        <v>0.118371876</v>
      </c>
      <c r="H21" s="70"/>
      <c r="I21" s="82"/>
      <c r="J21" s="82"/>
      <c r="K21" s="82"/>
      <c r="L21" s="82"/>
      <c r="M21" s="82"/>
      <c r="N21" s="82"/>
      <c r="O21" s="82"/>
      <c r="P21" s="82"/>
      <c r="Q21" s="70"/>
      <c r="R21" s="70"/>
      <c r="S21" s="70"/>
      <c r="T21" s="70"/>
    </row>
    <row r="22" ht="18.75" customHeight="1">
      <c r="A22" s="118">
        <v>1.2</v>
      </c>
      <c r="B22" s="119">
        <f t="shared" si="3"/>
        <v>439.96032</v>
      </c>
      <c r="C22" s="120">
        <f t="shared" si="4"/>
        <v>470.7575424</v>
      </c>
      <c r="D22" s="121">
        <v>1967.25189896064</v>
      </c>
      <c r="E22" s="121">
        <f t="shared" si="5"/>
        <v>75989.56107</v>
      </c>
      <c r="F22" s="122">
        <f t="shared" si="6"/>
        <v>77956.81296</v>
      </c>
      <c r="G22" s="123">
        <f t="shared" si="7"/>
        <v>0.1551063812</v>
      </c>
      <c r="H22" s="94"/>
      <c r="I22" s="86" t="s">
        <v>147</v>
      </c>
      <c r="J22" s="83"/>
      <c r="K22" s="83"/>
      <c r="L22" s="83"/>
      <c r="M22" s="83"/>
      <c r="N22" s="83"/>
      <c r="O22" s="83"/>
      <c r="P22" s="83"/>
      <c r="Q22" s="81"/>
      <c r="R22" s="70"/>
      <c r="S22" s="70"/>
      <c r="T22" s="70"/>
    </row>
    <row r="23" ht="18.75" customHeight="1">
      <c r="A23" s="118">
        <v>1.25</v>
      </c>
      <c r="B23" s="119">
        <f t="shared" si="3"/>
        <v>458.292</v>
      </c>
      <c r="C23" s="120">
        <f t="shared" si="4"/>
        <v>490.37244</v>
      </c>
      <c r="D23" s="121">
        <v>2049.220728084</v>
      </c>
      <c r="E23" s="121">
        <f t="shared" si="5"/>
        <v>79155.79278</v>
      </c>
      <c r="F23" s="122">
        <f t="shared" si="6"/>
        <v>81205.0135</v>
      </c>
      <c r="G23" s="123">
        <f t="shared" si="7"/>
        <v>0.1889021259</v>
      </c>
      <c r="H23" s="94"/>
      <c r="I23" s="83"/>
      <c r="J23" s="86" t="s">
        <v>108</v>
      </c>
      <c r="K23" s="86" t="s">
        <v>109</v>
      </c>
      <c r="L23" s="86" t="s">
        <v>110</v>
      </c>
      <c r="M23" s="86" t="s">
        <v>111</v>
      </c>
      <c r="N23" s="86" t="s">
        <v>112</v>
      </c>
      <c r="O23" s="86" t="s">
        <v>113</v>
      </c>
      <c r="P23" s="86" t="s">
        <v>148</v>
      </c>
      <c r="Q23" s="81"/>
      <c r="R23" s="70"/>
      <c r="S23" s="70"/>
      <c r="T23" s="70"/>
    </row>
    <row r="24" ht="18.0" customHeight="1">
      <c r="A24" s="118">
        <v>1.3</v>
      </c>
      <c r="B24" s="119">
        <f t="shared" si="3"/>
        <v>476.62368</v>
      </c>
      <c r="C24" s="120">
        <f t="shared" si="4"/>
        <v>509.9873376</v>
      </c>
      <c r="D24" s="121">
        <v>2131.18955720736</v>
      </c>
      <c r="E24" s="121">
        <f t="shared" si="5"/>
        <v>82322.02449</v>
      </c>
      <c r="F24" s="122">
        <f t="shared" si="6"/>
        <v>84453.21404</v>
      </c>
      <c r="G24" s="123">
        <f t="shared" si="7"/>
        <v>0.220098198</v>
      </c>
      <c r="H24" s="94"/>
      <c r="I24" s="86" t="s">
        <v>121</v>
      </c>
      <c r="J24" s="89">
        <f t="shared" ref="J24:O24" si="9">J7*$P7</f>
        <v>138</v>
      </c>
      <c r="K24" s="89">
        <f t="shared" si="9"/>
        <v>230</v>
      </c>
      <c r="L24" s="89">
        <f t="shared" si="9"/>
        <v>0</v>
      </c>
      <c r="M24" s="89">
        <f t="shared" si="9"/>
        <v>0</v>
      </c>
      <c r="N24" s="89">
        <f t="shared" si="9"/>
        <v>0</v>
      </c>
      <c r="O24" s="89">
        <f t="shared" si="9"/>
        <v>184</v>
      </c>
      <c r="P24" s="89">
        <f t="shared" ref="P24:P36" si="11">$Q7*24</f>
        <v>192</v>
      </c>
      <c r="Q24" s="81"/>
      <c r="R24" s="70"/>
      <c r="S24" s="70"/>
      <c r="T24" s="70"/>
    </row>
    <row r="25" ht="18.0" customHeight="1">
      <c r="A25" s="118">
        <v>1.35</v>
      </c>
      <c r="B25" s="119">
        <f t="shared" si="3"/>
        <v>494.95536</v>
      </c>
      <c r="C25" s="120">
        <f t="shared" si="4"/>
        <v>529.6022352</v>
      </c>
      <c r="D25" s="121">
        <v>2213.158386330721</v>
      </c>
      <c r="E25" s="121">
        <f t="shared" si="5"/>
        <v>85488.2562</v>
      </c>
      <c r="F25" s="122">
        <f t="shared" si="6"/>
        <v>87701.41458</v>
      </c>
      <c r="G25" s="123">
        <f t="shared" si="7"/>
        <v>0.2489834499</v>
      </c>
      <c r="H25" s="94"/>
      <c r="I25" s="86" t="s">
        <v>122</v>
      </c>
      <c r="J25" s="89">
        <f t="shared" ref="J25:O25" si="10">J8*$P8</f>
        <v>120</v>
      </c>
      <c r="K25" s="89">
        <f t="shared" si="10"/>
        <v>200</v>
      </c>
      <c r="L25" s="89">
        <f t="shared" si="10"/>
        <v>0</v>
      </c>
      <c r="M25" s="89">
        <f t="shared" si="10"/>
        <v>0</v>
      </c>
      <c r="N25" s="89">
        <f t="shared" si="10"/>
        <v>0</v>
      </c>
      <c r="O25" s="89">
        <f t="shared" si="10"/>
        <v>160</v>
      </c>
      <c r="P25" s="89">
        <f t="shared" si="11"/>
        <v>192</v>
      </c>
      <c r="Q25" s="81"/>
      <c r="R25" s="70"/>
      <c r="S25" s="70"/>
      <c r="T25" s="70"/>
    </row>
    <row r="26" ht="18.0" customHeight="1">
      <c r="A26" s="118">
        <v>1.4</v>
      </c>
      <c r="B26" s="119">
        <f t="shared" si="3"/>
        <v>513.28704</v>
      </c>
      <c r="C26" s="120">
        <f t="shared" si="4"/>
        <v>549.2171328</v>
      </c>
      <c r="D26" s="121">
        <v>2295.127215454081</v>
      </c>
      <c r="E26" s="121">
        <f t="shared" si="5"/>
        <v>88654.48791</v>
      </c>
      <c r="F26" s="122">
        <f t="shared" si="6"/>
        <v>90949.61512</v>
      </c>
      <c r="G26" s="123">
        <f t="shared" si="7"/>
        <v>0.2758054696</v>
      </c>
      <c r="H26" s="94"/>
      <c r="I26" s="86" t="s">
        <v>125</v>
      </c>
      <c r="J26" s="89">
        <f t="shared" ref="J26:O26" si="12">J9*$P9</f>
        <v>0</v>
      </c>
      <c r="K26" s="89">
        <f t="shared" si="12"/>
        <v>0</v>
      </c>
      <c r="L26" s="89">
        <f t="shared" si="12"/>
        <v>138</v>
      </c>
      <c r="M26" s="89">
        <f t="shared" si="12"/>
        <v>230</v>
      </c>
      <c r="N26" s="89">
        <f t="shared" si="12"/>
        <v>0</v>
      </c>
      <c r="O26" s="89">
        <f t="shared" si="12"/>
        <v>184</v>
      </c>
      <c r="P26" s="89">
        <f t="shared" si="11"/>
        <v>192</v>
      </c>
      <c r="Q26" s="81"/>
      <c r="R26" s="70"/>
      <c r="S26" s="70"/>
      <c r="T26" s="70"/>
    </row>
    <row r="27" ht="18.0" customHeight="1">
      <c r="A27" s="118">
        <v>1.45</v>
      </c>
      <c r="B27" s="119">
        <f t="shared" si="3"/>
        <v>531.61872</v>
      </c>
      <c r="C27" s="120">
        <f t="shared" si="4"/>
        <v>568.8320304</v>
      </c>
      <c r="D27" s="121">
        <v>2377.09604457744</v>
      </c>
      <c r="E27" s="121">
        <f t="shared" si="5"/>
        <v>91820.71962</v>
      </c>
      <c r="F27" s="122">
        <f t="shared" si="6"/>
        <v>94197.81566</v>
      </c>
      <c r="G27" s="123">
        <f t="shared" si="7"/>
        <v>0.3007776948</v>
      </c>
      <c r="H27" s="94"/>
      <c r="I27" s="86" t="s">
        <v>128</v>
      </c>
      <c r="J27" s="89">
        <f t="shared" ref="J27:O27" si="13">J10*$P10</f>
        <v>0</v>
      </c>
      <c r="K27" s="89">
        <f t="shared" si="13"/>
        <v>0</v>
      </c>
      <c r="L27" s="89">
        <f t="shared" si="13"/>
        <v>0</v>
      </c>
      <c r="M27" s="89">
        <f t="shared" si="13"/>
        <v>0</v>
      </c>
      <c r="N27" s="89">
        <f t="shared" si="13"/>
        <v>352</v>
      </c>
      <c r="O27" s="89">
        <f t="shared" si="13"/>
        <v>176</v>
      </c>
      <c r="P27" s="89">
        <f t="shared" si="11"/>
        <v>192</v>
      </c>
      <c r="Q27" s="81"/>
      <c r="R27" s="70"/>
      <c r="S27" s="70"/>
      <c r="T27" s="70"/>
    </row>
    <row r="28" ht="18.0" customHeight="1">
      <c r="A28" s="118">
        <v>1.5</v>
      </c>
      <c r="B28" s="119">
        <f t="shared" si="3"/>
        <v>549.9504</v>
      </c>
      <c r="C28" s="120">
        <f t="shared" si="4"/>
        <v>588.446928</v>
      </c>
      <c r="D28" s="121">
        <v>2459.0648737008</v>
      </c>
      <c r="E28" s="121">
        <f t="shared" si="5"/>
        <v>94986.95133</v>
      </c>
      <c r="F28" s="122">
        <f t="shared" si="6"/>
        <v>97446.01621</v>
      </c>
      <c r="G28" s="123">
        <f t="shared" si="7"/>
        <v>0.3240851049</v>
      </c>
      <c r="H28" s="94"/>
      <c r="I28" s="86" t="s">
        <v>129</v>
      </c>
      <c r="J28" s="89">
        <f t="shared" ref="J28:O28" si="14">J11*$P11</f>
        <v>0</v>
      </c>
      <c r="K28" s="89">
        <f t="shared" si="14"/>
        <v>0</v>
      </c>
      <c r="L28" s="89">
        <f t="shared" si="14"/>
        <v>0</v>
      </c>
      <c r="M28" s="89">
        <f t="shared" si="14"/>
        <v>0</v>
      </c>
      <c r="N28" s="89">
        <f t="shared" si="14"/>
        <v>368</v>
      </c>
      <c r="O28" s="89">
        <f t="shared" si="14"/>
        <v>184</v>
      </c>
      <c r="P28" s="89">
        <f t="shared" si="11"/>
        <v>192</v>
      </c>
      <c r="Q28" s="81"/>
      <c r="R28" s="70"/>
      <c r="S28" s="70"/>
      <c r="T28" s="70"/>
    </row>
    <row r="29" ht="18.0" customHeight="1">
      <c r="A29" s="118">
        <v>1.55</v>
      </c>
      <c r="B29" s="119">
        <f t="shared" si="3"/>
        <v>568.28208</v>
      </c>
      <c r="C29" s="120">
        <f t="shared" si="4"/>
        <v>608.0618256</v>
      </c>
      <c r="D29" s="121">
        <v>2541.033702824161</v>
      </c>
      <c r="E29" s="121">
        <f t="shared" si="5"/>
        <v>98153.18304</v>
      </c>
      <c r="F29" s="122">
        <f t="shared" si="6"/>
        <v>100694.2167</v>
      </c>
      <c r="G29" s="123">
        <f t="shared" si="7"/>
        <v>0.3458888112</v>
      </c>
      <c r="H29" s="94"/>
      <c r="I29" s="86" t="s">
        <v>131</v>
      </c>
      <c r="J29" s="89">
        <f t="shared" ref="J29:O29" si="15">J12*$P12</f>
        <v>0</v>
      </c>
      <c r="K29" s="89">
        <f t="shared" si="15"/>
        <v>0</v>
      </c>
      <c r="L29" s="89">
        <f t="shared" si="15"/>
        <v>66</v>
      </c>
      <c r="M29" s="89">
        <f t="shared" si="15"/>
        <v>110</v>
      </c>
      <c r="N29" s="89">
        <f t="shared" si="15"/>
        <v>0</v>
      </c>
      <c r="O29" s="89">
        <f t="shared" si="15"/>
        <v>88</v>
      </c>
      <c r="P29" s="89">
        <f t="shared" si="11"/>
        <v>96</v>
      </c>
      <c r="Q29" s="81"/>
      <c r="R29" s="70"/>
      <c r="S29" s="70"/>
      <c r="T29" s="70"/>
    </row>
    <row r="30" ht="18.0" customHeight="1">
      <c r="A30" s="118">
        <v>1.6</v>
      </c>
      <c r="B30" s="119">
        <f t="shared" si="3"/>
        <v>586.61376</v>
      </c>
      <c r="C30" s="120">
        <f t="shared" si="4"/>
        <v>627.6767232</v>
      </c>
      <c r="D30" s="121">
        <v>2623.00253194752</v>
      </c>
      <c r="E30" s="121">
        <f t="shared" si="5"/>
        <v>101319.4148</v>
      </c>
      <c r="F30" s="122">
        <f t="shared" si="6"/>
        <v>103942.4173</v>
      </c>
      <c r="G30" s="123">
        <f t="shared" si="7"/>
        <v>0.3663297859</v>
      </c>
      <c r="H30" s="94"/>
      <c r="I30" s="86" t="s">
        <v>132</v>
      </c>
      <c r="J30" s="89">
        <f t="shared" ref="J30:O30" si="16">J13*$P13</f>
        <v>88</v>
      </c>
      <c r="K30" s="89">
        <f t="shared" si="16"/>
        <v>88</v>
      </c>
      <c r="L30" s="89">
        <f t="shared" si="16"/>
        <v>0</v>
      </c>
      <c r="M30" s="89">
        <f t="shared" si="16"/>
        <v>0</v>
      </c>
      <c r="N30" s="89">
        <f t="shared" si="16"/>
        <v>0</v>
      </c>
      <c r="O30" s="89">
        <f t="shared" si="16"/>
        <v>88</v>
      </c>
      <c r="P30" s="89">
        <f t="shared" si="11"/>
        <v>96</v>
      </c>
      <c r="Q30" s="81"/>
      <c r="R30" s="70"/>
      <c r="S30" s="70"/>
      <c r="T30" s="70"/>
    </row>
    <row r="31" ht="18.0" customHeight="1">
      <c r="A31" s="118">
        <v>1.65</v>
      </c>
      <c r="B31" s="119">
        <f t="shared" si="3"/>
        <v>604.94544</v>
      </c>
      <c r="C31" s="120">
        <f t="shared" si="4"/>
        <v>647.2916208</v>
      </c>
      <c r="D31" s="121">
        <v>2704.97136107088</v>
      </c>
      <c r="E31" s="121">
        <f t="shared" si="5"/>
        <v>104485.6465</v>
      </c>
      <c r="F31" s="122">
        <f t="shared" si="6"/>
        <v>107190.6178</v>
      </c>
      <c r="G31" s="123">
        <f t="shared" si="7"/>
        <v>0.3855319136</v>
      </c>
      <c r="H31" s="94"/>
      <c r="I31" s="86" t="s">
        <v>134</v>
      </c>
      <c r="J31" s="89">
        <f t="shared" ref="J31:O31" si="17">J14*$P14</f>
        <v>184</v>
      </c>
      <c r="K31" s="89">
        <f t="shared" si="17"/>
        <v>184</v>
      </c>
      <c r="L31" s="89">
        <f t="shared" si="17"/>
        <v>0</v>
      </c>
      <c r="M31" s="89">
        <f t="shared" si="17"/>
        <v>0</v>
      </c>
      <c r="N31" s="89">
        <f t="shared" si="17"/>
        <v>0</v>
      </c>
      <c r="O31" s="89">
        <f t="shared" si="17"/>
        <v>184</v>
      </c>
      <c r="P31" s="89">
        <f t="shared" si="11"/>
        <v>192</v>
      </c>
      <c r="Q31" s="81"/>
      <c r="R31" s="70"/>
      <c r="S31" s="70"/>
      <c r="T31" s="70"/>
    </row>
    <row r="32" ht="18.0" customHeight="1">
      <c r="A32" s="118">
        <v>1.7</v>
      </c>
      <c r="B32" s="119">
        <f t="shared" si="3"/>
        <v>623.27712</v>
      </c>
      <c r="C32" s="120">
        <f t="shared" si="4"/>
        <v>666.9065184</v>
      </c>
      <c r="D32" s="121">
        <v>2786.940190194241</v>
      </c>
      <c r="E32" s="121">
        <f t="shared" si="5"/>
        <v>107651.8782</v>
      </c>
      <c r="F32" s="122">
        <f t="shared" si="6"/>
        <v>110438.8184</v>
      </c>
      <c r="G32" s="123">
        <f t="shared" si="7"/>
        <v>0.4036045044</v>
      </c>
      <c r="H32" s="94"/>
      <c r="I32" s="86" t="s">
        <v>135</v>
      </c>
      <c r="J32" s="89">
        <f t="shared" ref="J32:O32" si="18">J15*$P15</f>
        <v>0</v>
      </c>
      <c r="K32" s="89">
        <f t="shared" si="18"/>
        <v>0</v>
      </c>
      <c r="L32" s="89">
        <f t="shared" si="18"/>
        <v>0</v>
      </c>
      <c r="M32" s="89">
        <f t="shared" si="18"/>
        <v>0</v>
      </c>
      <c r="N32" s="89">
        <f t="shared" si="18"/>
        <v>0</v>
      </c>
      <c r="O32" s="89">
        <f t="shared" si="18"/>
        <v>552</v>
      </c>
      <c r="P32" s="89">
        <f t="shared" si="11"/>
        <v>192</v>
      </c>
      <c r="Q32" s="81"/>
      <c r="R32" s="70"/>
      <c r="S32" s="70"/>
      <c r="T32" s="70"/>
    </row>
    <row r="33" ht="18.0" customHeight="1">
      <c r="A33" s="118">
        <v>1.75</v>
      </c>
      <c r="B33" s="119">
        <f t="shared" si="3"/>
        <v>641.6088</v>
      </c>
      <c r="C33" s="120">
        <f t="shared" si="4"/>
        <v>686.521416</v>
      </c>
      <c r="D33" s="121">
        <v>2868.909019317601</v>
      </c>
      <c r="E33" s="121">
        <f t="shared" si="5"/>
        <v>110818.1099</v>
      </c>
      <c r="F33" s="122">
        <f t="shared" si="6"/>
        <v>113687.0189</v>
      </c>
      <c r="G33" s="123">
        <f t="shared" si="7"/>
        <v>0.4206443757</v>
      </c>
      <c r="H33" s="94"/>
      <c r="I33" s="86" t="s">
        <v>136</v>
      </c>
      <c r="J33" s="89">
        <f t="shared" ref="J33:O33" si="19">J16*$P16</f>
        <v>0</v>
      </c>
      <c r="K33" s="89">
        <f t="shared" si="19"/>
        <v>0</v>
      </c>
      <c r="L33" s="89">
        <f t="shared" si="19"/>
        <v>132</v>
      </c>
      <c r="M33" s="89">
        <f t="shared" si="19"/>
        <v>220</v>
      </c>
      <c r="N33" s="89">
        <f t="shared" si="19"/>
        <v>0</v>
      </c>
      <c r="O33" s="89">
        <f t="shared" si="19"/>
        <v>176</v>
      </c>
      <c r="P33" s="89">
        <f t="shared" si="11"/>
        <v>192</v>
      </c>
      <c r="Q33" s="81"/>
      <c r="R33" s="70"/>
      <c r="S33" s="70"/>
      <c r="T33" s="70"/>
    </row>
    <row r="34" ht="18.0" customHeight="1">
      <c r="A34" s="118">
        <v>1.8</v>
      </c>
      <c r="B34" s="119">
        <f t="shared" si="3"/>
        <v>659.94048</v>
      </c>
      <c r="C34" s="120">
        <f t="shared" si="4"/>
        <v>706.1363136</v>
      </c>
      <c r="D34" s="121">
        <v>2950.87784844096</v>
      </c>
      <c r="E34" s="121">
        <f t="shared" si="5"/>
        <v>113984.3416</v>
      </c>
      <c r="F34" s="122">
        <f t="shared" si="6"/>
        <v>116935.2194</v>
      </c>
      <c r="G34" s="123">
        <f t="shared" si="7"/>
        <v>0.4367375874</v>
      </c>
      <c r="H34" s="94"/>
      <c r="I34" s="86" t="s">
        <v>144</v>
      </c>
      <c r="J34" s="89">
        <f t="shared" ref="J34:O34" si="20">J17*$P17</f>
        <v>0</v>
      </c>
      <c r="K34" s="89">
        <f t="shared" si="20"/>
        <v>0</v>
      </c>
      <c r="L34" s="89">
        <f t="shared" si="20"/>
        <v>138</v>
      </c>
      <c r="M34" s="89">
        <f t="shared" si="20"/>
        <v>230</v>
      </c>
      <c r="N34" s="89">
        <f t="shared" si="20"/>
        <v>0</v>
      </c>
      <c r="O34" s="89">
        <f t="shared" si="20"/>
        <v>184</v>
      </c>
      <c r="P34" s="89">
        <f t="shared" si="11"/>
        <v>192</v>
      </c>
      <c r="Q34" s="81"/>
      <c r="R34" s="70"/>
      <c r="S34" s="70"/>
      <c r="T34" s="70"/>
    </row>
    <row r="35" ht="18.0" customHeight="1">
      <c r="A35" s="118">
        <v>1.85</v>
      </c>
      <c r="B35" s="119">
        <f t="shared" si="3"/>
        <v>678.27216</v>
      </c>
      <c r="C35" s="120">
        <f t="shared" si="4"/>
        <v>725.7512112</v>
      </c>
      <c r="D35" s="121">
        <v>3032.846677564321</v>
      </c>
      <c r="E35" s="121">
        <f t="shared" si="5"/>
        <v>117150.5733</v>
      </c>
      <c r="F35" s="122">
        <f t="shared" si="6"/>
        <v>120183.42</v>
      </c>
      <c r="G35" s="123">
        <f t="shared" si="7"/>
        <v>0.4519608959</v>
      </c>
      <c r="H35" s="94"/>
      <c r="I35" s="86" t="s">
        <v>145</v>
      </c>
      <c r="J35" s="89">
        <f t="shared" ref="J35:O35" si="21">J18*$P18</f>
        <v>0</v>
      </c>
      <c r="K35" s="89">
        <f t="shared" si="21"/>
        <v>0</v>
      </c>
      <c r="L35" s="89">
        <f t="shared" si="21"/>
        <v>132</v>
      </c>
      <c r="M35" s="89">
        <f t="shared" si="21"/>
        <v>220</v>
      </c>
      <c r="N35" s="89">
        <f t="shared" si="21"/>
        <v>0</v>
      </c>
      <c r="O35" s="89">
        <f t="shared" si="21"/>
        <v>176</v>
      </c>
      <c r="P35" s="89">
        <f t="shared" si="11"/>
        <v>192</v>
      </c>
      <c r="Q35" s="81"/>
      <c r="R35" s="70"/>
      <c r="S35" s="70"/>
      <c r="T35" s="70"/>
    </row>
    <row r="36" ht="18.0" customHeight="1">
      <c r="A36" s="118">
        <v>1.9</v>
      </c>
      <c r="B36" s="119">
        <f t="shared" si="3"/>
        <v>696.60384</v>
      </c>
      <c r="C36" s="120">
        <f t="shared" si="4"/>
        <v>745.3661088</v>
      </c>
      <c r="D36" s="121">
        <v>3114.81550668768</v>
      </c>
      <c r="E36" s="121">
        <f t="shared" si="5"/>
        <v>120316.805</v>
      </c>
      <c r="F36" s="122">
        <f t="shared" si="6"/>
        <v>123431.6205</v>
      </c>
      <c r="G36" s="123">
        <f t="shared" si="7"/>
        <v>0.4663829776</v>
      </c>
      <c r="H36" s="94"/>
      <c r="I36" s="86" t="s">
        <v>146</v>
      </c>
      <c r="J36" s="89">
        <f t="shared" ref="J36:O36" si="22">J19*$P19</f>
        <v>138</v>
      </c>
      <c r="K36" s="89">
        <f t="shared" si="22"/>
        <v>230</v>
      </c>
      <c r="L36" s="89">
        <f t="shared" si="22"/>
        <v>0</v>
      </c>
      <c r="M36" s="89">
        <f t="shared" si="22"/>
        <v>0</v>
      </c>
      <c r="N36" s="89">
        <f t="shared" si="22"/>
        <v>0</v>
      </c>
      <c r="O36" s="89">
        <f t="shared" si="22"/>
        <v>184</v>
      </c>
      <c r="P36" s="89">
        <f t="shared" si="11"/>
        <v>168</v>
      </c>
      <c r="Q36" s="81"/>
      <c r="R36" s="70"/>
      <c r="S36" s="70"/>
      <c r="T36" s="70"/>
    </row>
    <row r="37" ht="18.75" customHeight="1">
      <c r="A37" s="118">
        <v>1.95</v>
      </c>
      <c r="B37" s="119">
        <f t="shared" si="3"/>
        <v>714.93552</v>
      </c>
      <c r="C37" s="120">
        <f t="shared" si="4"/>
        <v>764.9810064</v>
      </c>
      <c r="D37" s="121">
        <v>3196.784335811041</v>
      </c>
      <c r="E37" s="121">
        <f t="shared" si="5"/>
        <v>123483.0367</v>
      </c>
      <c r="F37" s="122">
        <f t="shared" si="6"/>
        <v>126679.8211</v>
      </c>
      <c r="G37" s="123">
        <f t="shared" si="7"/>
        <v>0.4800654653</v>
      </c>
      <c r="H37" s="94"/>
      <c r="I37" s="83"/>
      <c r="J37" s="83"/>
      <c r="K37" s="83"/>
      <c r="L37" s="83"/>
      <c r="M37" s="83"/>
      <c r="N37" s="83"/>
      <c r="O37" s="83"/>
      <c r="P37" s="83"/>
      <c r="Q37" s="81"/>
      <c r="R37" s="70"/>
      <c r="S37" s="70"/>
      <c r="T37" s="70"/>
    </row>
    <row r="38" ht="18.75" customHeight="1">
      <c r="A38" s="118">
        <v>2.0</v>
      </c>
      <c r="B38" s="119">
        <f t="shared" si="3"/>
        <v>733.2672</v>
      </c>
      <c r="C38" s="120">
        <f t="shared" si="4"/>
        <v>784.595904</v>
      </c>
      <c r="D38" s="121">
        <v>3278.753164934401</v>
      </c>
      <c r="E38" s="121">
        <f t="shared" si="5"/>
        <v>126649.2684</v>
      </c>
      <c r="F38" s="122">
        <f t="shared" si="6"/>
        <v>129928.0216</v>
      </c>
      <c r="G38" s="123">
        <f t="shared" si="7"/>
        <v>0.4930638287</v>
      </c>
      <c r="H38" s="94"/>
      <c r="I38" s="86" t="s">
        <v>149</v>
      </c>
      <c r="J38" s="83">
        <f t="shared" ref="J38:P38" si="23">SUM(J24:J36)</f>
        <v>668</v>
      </c>
      <c r="K38" s="83">
        <f t="shared" si="23"/>
        <v>932</v>
      </c>
      <c r="L38" s="83">
        <f t="shared" si="23"/>
        <v>606</v>
      </c>
      <c r="M38" s="83">
        <f t="shared" si="23"/>
        <v>1010</v>
      </c>
      <c r="N38" s="83">
        <f t="shared" si="23"/>
        <v>720</v>
      </c>
      <c r="O38" s="83">
        <f t="shared" si="23"/>
        <v>2520</v>
      </c>
      <c r="P38" s="83">
        <f t="shared" si="23"/>
        <v>2280</v>
      </c>
      <c r="Q38" s="126">
        <f>SUM(J38:P38)</f>
        <v>8736</v>
      </c>
      <c r="R38" s="127"/>
      <c r="S38" s="70"/>
      <c r="T38" s="70"/>
    </row>
    <row r="39" ht="18.0" customHeight="1">
      <c r="A39" s="124"/>
      <c r="B39" s="124"/>
      <c r="C39" s="124"/>
      <c r="D39" s="124"/>
      <c r="E39" s="124"/>
      <c r="F39" s="124"/>
      <c r="G39" s="70"/>
      <c r="H39" s="70"/>
      <c r="I39" s="124"/>
      <c r="J39" s="124"/>
      <c r="K39" s="124"/>
      <c r="L39" s="124"/>
      <c r="M39" s="124"/>
      <c r="N39" s="124"/>
      <c r="O39" s="124"/>
      <c r="P39" s="124"/>
      <c r="Q39" s="70"/>
      <c r="R39" s="70"/>
      <c r="S39" s="70"/>
      <c r="T39" s="70"/>
    </row>
    <row r="40" ht="18.0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</row>
    <row r="41" ht="18.0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  <row r="42" ht="18.0" customHeight="1">
      <c r="A42" s="128"/>
      <c r="B42" s="129"/>
      <c r="C42" s="129"/>
      <c r="D42" s="129"/>
      <c r="E42" s="129"/>
      <c r="F42" s="13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ht="18.0" customHeight="1">
      <c r="A43" s="131"/>
      <c r="B43" s="132"/>
      <c r="C43" s="132"/>
      <c r="D43" s="133"/>
      <c r="E43" s="133"/>
      <c r="F43" s="134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ht="18.0" customHeight="1">
      <c r="A44" s="131"/>
      <c r="B44" s="132"/>
      <c r="C44" s="132"/>
      <c r="D44" s="133"/>
      <c r="E44" s="133"/>
      <c r="F44" s="134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ht="18.0" customHeight="1">
      <c r="A45" s="131"/>
      <c r="B45" s="132"/>
      <c r="C45" s="132"/>
      <c r="D45" s="133"/>
      <c r="E45" s="133"/>
      <c r="F45" s="134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ht="18.0" customHeight="1">
      <c r="A46" s="131"/>
      <c r="B46" s="132"/>
      <c r="C46" s="132"/>
      <c r="D46" s="133"/>
      <c r="E46" s="133"/>
      <c r="F46" s="134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ht="18.0" customHeight="1">
      <c r="A47" s="131"/>
      <c r="B47" s="132"/>
      <c r="C47" s="132"/>
      <c r="D47" s="133"/>
      <c r="E47" s="133"/>
      <c r="F47" s="134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ht="18.0" customHeight="1">
      <c r="A48" s="131"/>
      <c r="B48" s="132"/>
      <c r="C48" s="132"/>
      <c r="D48" s="133"/>
      <c r="E48" s="133"/>
      <c r="F48" s="134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1"/>
      <c r="B1" s="41"/>
      <c r="C1" s="41"/>
      <c r="D1" s="135"/>
      <c r="E1" s="135"/>
      <c r="F1" s="135"/>
      <c r="G1" s="135"/>
      <c r="H1" s="41"/>
      <c r="I1" s="135"/>
      <c r="J1" s="135"/>
      <c r="K1" s="135"/>
    </row>
    <row r="2" ht="18.75" customHeight="1">
      <c r="A2" s="136" t="s">
        <v>150</v>
      </c>
      <c r="B2" s="137"/>
      <c r="C2" s="138"/>
      <c r="D2" s="139" t="s">
        <v>151</v>
      </c>
      <c r="E2" s="140"/>
      <c r="F2" s="140"/>
      <c r="G2" s="141"/>
      <c r="H2" s="142"/>
      <c r="I2" s="143" t="s">
        <v>152</v>
      </c>
      <c r="J2" s="140"/>
      <c r="K2" s="141"/>
    </row>
    <row r="3" ht="18.75" customHeight="1">
      <c r="A3" s="144" t="s">
        <v>153</v>
      </c>
      <c r="B3" s="145">
        <f>B4+B5+B6</f>
        <v>116</v>
      </c>
      <c r="C3" s="142"/>
      <c r="D3" s="139" t="s">
        <v>154</v>
      </c>
      <c r="E3" s="141"/>
      <c r="F3" s="139" t="s">
        <v>155</v>
      </c>
      <c r="G3" s="141"/>
      <c r="H3" s="142"/>
      <c r="I3" s="146" t="s">
        <v>156</v>
      </c>
      <c r="J3" s="146" t="s">
        <v>157</v>
      </c>
      <c r="K3" s="146" t="s">
        <v>158</v>
      </c>
    </row>
    <row r="4" ht="18.75" customHeight="1">
      <c r="A4" s="147" t="s">
        <v>159</v>
      </c>
      <c r="B4" s="148">
        <f>'Cabina de discos'!M24</f>
        <v>4</v>
      </c>
      <c r="C4" s="142"/>
      <c r="D4" s="149" t="s">
        <v>160</v>
      </c>
      <c r="E4" s="150">
        <v>19.0</v>
      </c>
      <c r="F4" s="149" t="s">
        <v>161</v>
      </c>
      <c r="G4" s="151">
        <f>ROUND(B3/(E4*E5),0)+1</f>
        <v>1</v>
      </c>
      <c r="H4" s="142"/>
      <c r="I4" s="152">
        <v>1.0</v>
      </c>
      <c r="J4" s="153">
        <f>G9</f>
        <v>136759.5641</v>
      </c>
      <c r="K4" s="153">
        <f t="shared" ref="K4:K6" si="1">J4*5</f>
        <v>683797.8207</v>
      </c>
    </row>
    <row r="5" ht="18.75" customHeight="1">
      <c r="A5" s="144" t="s">
        <v>162</v>
      </c>
      <c r="B5" s="148">
        <f>Resum!B3</f>
        <v>112</v>
      </c>
      <c r="C5" s="142"/>
      <c r="D5" s="149" t="s">
        <v>163</v>
      </c>
      <c r="E5" s="154">
        <f>Resum!B4</f>
        <v>42</v>
      </c>
      <c r="F5" s="149" t="s">
        <v>164</v>
      </c>
      <c r="G5" s="155">
        <f>G4*E6</f>
        <v>115000</v>
      </c>
      <c r="H5" s="142"/>
      <c r="I5" s="152">
        <v>2.0</v>
      </c>
      <c r="J5" s="153">
        <f>G21</f>
        <v>65950.08553</v>
      </c>
      <c r="K5" s="153">
        <f t="shared" si="1"/>
        <v>329750.4276</v>
      </c>
    </row>
    <row r="6" ht="18.75" customHeight="1">
      <c r="A6" s="156" t="s">
        <v>165</v>
      </c>
      <c r="B6" s="148">
        <f>Backup!G29</f>
        <v>0</v>
      </c>
      <c r="C6" s="142"/>
      <c r="D6" s="149" t="s">
        <v>166</v>
      </c>
      <c r="E6" s="157">
        <v>115000.0</v>
      </c>
      <c r="F6" s="149" t="s">
        <v>167</v>
      </c>
      <c r="G6" s="155">
        <f>E7*G4*B8</f>
        <v>2000</v>
      </c>
      <c r="H6" s="142"/>
      <c r="I6" s="152">
        <v>3.0</v>
      </c>
      <c r="J6" s="153">
        <f>G30</f>
        <v>65879.78207</v>
      </c>
      <c r="K6" s="153">
        <f t="shared" si="1"/>
        <v>329398.9104</v>
      </c>
    </row>
    <row r="7" ht="18.75" customHeight="1">
      <c r="A7" s="156" t="s">
        <v>168</v>
      </c>
      <c r="B7" s="158">
        <f>Electricitat!F18</f>
        <v>65865.21382</v>
      </c>
      <c r="C7" s="142"/>
      <c r="D7" s="149" t="s">
        <v>169</v>
      </c>
      <c r="E7" s="157">
        <v>2000.0</v>
      </c>
      <c r="F7" s="149" t="s">
        <v>170</v>
      </c>
      <c r="G7" s="155">
        <f>1500*12*B9</f>
        <v>0</v>
      </c>
      <c r="H7" s="159"/>
      <c r="I7" s="160"/>
      <c r="J7" s="160"/>
      <c r="K7" s="160"/>
    </row>
    <row r="8" ht="32.25" customHeight="1">
      <c r="A8" s="161" t="s">
        <v>171</v>
      </c>
      <c r="B8" s="162">
        <f>Resum!B22</f>
        <v>1</v>
      </c>
      <c r="C8" s="142"/>
      <c r="D8" s="150"/>
      <c r="E8" s="157"/>
      <c r="F8" s="163" t="s">
        <v>172</v>
      </c>
      <c r="G8" s="155">
        <f>B7*(E9-1)</f>
        <v>19759.56415</v>
      </c>
      <c r="H8" s="159"/>
      <c r="I8" s="41"/>
      <c r="J8" s="41"/>
      <c r="K8" s="41"/>
    </row>
    <row r="9" ht="18.75" customHeight="1">
      <c r="A9" s="164" t="s">
        <v>173</v>
      </c>
      <c r="B9" s="162">
        <f>Resum!B21</f>
        <v>0</v>
      </c>
      <c r="C9" s="142"/>
      <c r="D9" s="149" t="s">
        <v>137</v>
      </c>
      <c r="E9" s="150">
        <v>1.3</v>
      </c>
      <c r="F9" s="149" t="s">
        <v>174</v>
      </c>
      <c r="G9" s="155">
        <f>SUM(G5:G8)</f>
        <v>136759.5641</v>
      </c>
      <c r="H9" s="159"/>
      <c r="I9" s="41"/>
      <c r="J9" s="41"/>
      <c r="K9" s="41"/>
    </row>
    <row r="10" ht="18.75" customHeight="1">
      <c r="A10" s="41"/>
      <c r="B10" s="160"/>
      <c r="C10" s="138"/>
      <c r="D10" s="139" t="s">
        <v>175</v>
      </c>
      <c r="E10" s="141"/>
      <c r="F10" s="149" t="s">
        <v>176</v>
      </c>
      <c r="G10" s="165">
        <f>ROUND(B3/E5,0)+1</f>
        <v>4</v>
      </c>
      <c r="H10" s="159"/>
      <c r="I10" s="41"/>
      <c r="J10" s="41"/>
      <c r="K10" s="41"/>
    </row>
    <row r="11" ht="18.75" customHeight="1">
      <c r="A11" s="41"/>
      <c r="B11" s="41"/>
      <c r="C11" s="41"/>
      <c r="D11" s="160"/>
      <c r="E11" s="160"/>
      <c r="F11" s="160"/>
      <c r="G11" s="160"/>
      <c r="H11" s="41"/>
      <c r="I11" s="41"/>
      <c r="J11" s="41"/>
      <c r="K11" s="41"/>
    </row>
    <row r="12" ht="18.75" customHeight="1">
      <c r="A12" s="41"/>
      <c r="B12" s="41"/>
      <c r="C12" s="41"/>
      <c r="D12" s="166"/>
      <c r="E12" s="166"/>
      <c r="F12" s="41"/>
      <c r="G12" s="41"/>
      <c r="H12" s="41"/>
      <c r="I12" s="41"/>
      <c r="J12" s="41"/>
      <c r="K12" s="41"/>
    </row>
    <row r="13" ht="18.75" customHeight="1">
      <c r="A13" s="41"/>
      <c r="B13" s="41"/>
      <c r="C13" s="41"/>
      <c r="D13" s="167"/>
      <c r="E13" s="167"/>
      <c r="F13" s="135"/>
      <c r="G13" s="135"/>
      <c r="H13" s="41"/>
      <c r="I13" s="41"/>
      <c r="J13" s="41"/>
      <c r="K13" s="41"/>
    </row>
    <row r="14" ht="18.75" customHeight="1">
      <c r="A14" s="41"/>
      <c r="B14" s="41"/>
      <c r="C14" s="138"/>
      <c r="D14" s="139" t="s">
        <v>177</v>
      </c>
      <c r="E14" s="140"/>
      <c r="F14" s="140"/>
      <c r="G14" s="141"/>
      <c r="H14" s="159"/>
      <c r="I14" s="41"/>
      <c r="J14" s="41"/>
      <c r="K14" s="41"/>
    </row>
    <row r="15" ht="18.75" customHeight="1">
      <c r="A15" s="41"/>
      <c r="B15" s="41"/>
      <c r="C15" s="138"/>
      <c r="D15" s="139" t="s">
        <v>154</v>
      </c>
      <c r="E15" s="141"/>
      <c r="F15" s="139" t="s">
        <v>155</v>
      </c>
      <c r="G15" s="141"/>
      <c r="H15" s="159"/>
      <c r="I15" s="41"/>
      <c r="J15" s="41"/>
      <c r="K15" s="41"/>
    </row>
    <row r="16" ht="18.75" customHeight="1">
      <c r="A16" s="41"/>
      <c r="B16" s="41"/>
      <c r="C16" s="138"/>
      <c r="D16" s="149" t="s">
        <v>86</v>
      </c>
      <c r="E16" s="154">
        <f>Resum!B4</f>
        <v>42</v>
      </c>
      <c r="F16" s="149" t="s">
        <v>176</v>
      </c>
      <c r="G16" s="165">
        <f>ROUND(B3/E16,0)+1</f>
        <v>4</v>
      </c>
      <c r="H16" s="159"/>
      <c r="I16" s="41"/>
      <c r="J16" s="41"/>
      <c r="K16" s="41"/>
    </row>
    <row r="17" ht="18.75" customHeight="1">
      <c r="A17" s="41"/>
      <c r="B17" s="41"/>
      <c r="C17" s="138"/>
      <c r="D17" s="149" t="s">
        <v>178</v>
      </c>
      <c r="E17" s="157">
        <v>9000.0</v>
      </c>
      <c r="F17" s="149" t="s">
        <v>179</v>
      </c>
      <c r="G17" s="155">
        <f>G16*E17</f>
        <v>36000</v>
      </c>
      <c r="H17" s="159"/>
      <c r="I17" s="41"/>
      <c r="J17" s="41"/>
      <c r="K17" s="41"/>
    </row>
    <row r="18" ht="18.75" customHeight="1">
      <c r="A18" s="41"/>
      <c r="B18" s="41"/>
      <c r="C18" s="138"/>
      <c r="D18" s="149" t="s">
        <v>180</v>
      </c>
      <c r="E18" s="157">
        <v>900.0</v>
      </c>
      <c r="F18" s="149" t="s">
        <v>181</v>
      </c>
      <c r="G18" s="155">
        <f>B7*(E19-1)</f>
        <v>26346.08553</v>
      </c>
      <c r="H18" s="159"/>
      <c r="I18" s="41"/>
      <c r="J18" s="41"/>
      <c r="K18" s="41"/>
    </row>
    <row r="19" ht="18.75" customHeight="1">
      <c r="A19" s="41"/>
      <c r="B19" s="41"/>
      <c r="C19" s="138"/>
      <c r="D19" s="149" t="s">
        <v>137</v>
      </c>
      <c r="E19" s="150">
        <v>1.4</v>
      </c>
      <c r="F19" s="149" t="s">
        <v>167</v>
      </c>
      <c r="G19" s="155">
        <f>B8*E18*G16</f>
        <v>3600</v>
      </c>
      <c r="H19" s="159"/>
      <c r="I19" s="41"/>
      <c r="J19" s="41"/>
      <c r="K19" s="41"/>
    </row>
    <row r="20" ht="18.75" customHeight="1">
      <c r="A20" s="41"/>
      <c r="B20" s="41"/>
      <c r="C20" s="41"/>
      <c r="D20" s="168"/>
      <c r="E20" s="169"/>
      <c r="F20" s="149" t="s">
        <v>170</v>
      </c>
      <c r="G20" s="155">
        <f>B9*2000*12</f>
        <v>0</v>
      </c>
      <c r="H20" s="159"/>
      <c r="I20" s="41"/>
      <c r="J20" s="41"/>
      <c r="K20" s="41"/>
    </row>
    <row r="21" ht="18.75" customHeight="1">
      <c r="A21" s="41"/>
      <c r="B21" s="41"/>
      <c r="C21" s="41"/>
      <c r="D21" s="170"/>
      <c r="E21" s="171"/>
      <c r="F21" s="149" t="s">
        <v>174</v>
      </c>
      <c r="G21" s="155">
        <f>SUM(G16:G20)</f>
        <v>65950.08553</v>
      </c>
      <c r="H21" s="159"/>
      <c r="I21" s="41"/>
      <c r="J21" s="41"/>
      <c r="K21" s="41"/>
    </row>
    <row r="22" ht="18.75" customHeight="1">
      <c r="A22" s="41"/>
      <c r="B22" s="41"/>
      <c r="C22" s="41"/>
      <c r="D22" s="41"/>
      <c r="E22" s="41"/>
      <c r="F22" s="160"/>
      <c r="G22" s="160"/>
      <c r="H22" s="41"/>
      <c r="I22" s="41"/>
      <c r="J22" s="41"/>
      <c r="K22" s="41"/>
    </row>
    <row r="23" ht="18.75" customHeight="1">
      <c r="A23" s="41"/>
      <c r="B23" s="41"/>
      <c r="C23" s="41"/>
      <c r="D23" s="135"/>
      <c r="E23" s="135"/>
      <c r="F23" s="135"/>
      <c r="G23" s="135"/>
      <c r="H23" s="41"/>
      <c r="I23" s="41"/>
      <c r="J23" s="41"/>
      <c r="K23" s="41"/>
    </row>
    <row r="24" ht="18.75" customHeight="1">
      <c r="A24" s="41"/>
      <c r="B24" s="41"/>
      <c r="C24" s="138"/>
      <c r="D24" s="139" t="s">
        <v>182</v>
      </c>
      <c r="E24" s="140"/>
      <c r="F24" s="140"/>
      <c r="G24" s="141"/>
      <c r="H24" s="159"/>
      <c r="I24" s="41"/>
      <c r="J24" s="41"/>
      <c r="K24" s="41"/>
    </row>
    <row r="25" ht="18.75" customHeight="1">
      <c r="A25" s="41"/>
      <c r="B25" s="41"/>
      <c r="C25" s="138"/>
      <c r="D25" s="139" t="s">
        <v>154</v>
      </c>
      <c r="E25" s="141"/>
      <c r="F25" s="139" t="s">
        <v>155</v>
      </c>
      <c r="G25" s="141"/>
      <c r="H25" s="159"/>
      <c r="I25" s="41"/>
      <c r="J25" s="41"/>
      <c r="K25" s="41"/>
    </row>
    <row r="26" ht="18.75" customHeight="1">
      <c r="A26" s="41"/>
      <c r="B26" s="41"/>
      <c r="C26" s="138"/>
      <c r="D26" s="149" t="s">
        <v>86</v>
      </c>
      <c r="E26" s="154">
        <f>Resum!B4</f>
        <v>42</v>
      </c>
      <c r="F26" s="149" t="s">
        <v>176</v>
      </c>
      <c r="G26" s="165">
        <f>ROUND(B3/E26,0)+1</f>
        <v>4</v>
      </c>
      <c r="H26" s="159"/>
      <c r="I26" s="41"/>
      <c r="J26" s="41"/>
      <c r="K26" s="41"/>
    </row>
    <row r="27" ht="18.75" customHeight="1">
      <c r="A27" s="41"/>
      <c r="B27" s="41"/>
      <c r="C27" s="138"/>
      <c r="D27" s="149" t="s">
        <v>178</v>
      </c>
      <c r="E27" s="157">
        <v>14000.0</v>
      </c>
      <c r="F27" s="149" t="s">
        <v>179</v>
      </c>
      <c r="G27" s="155">
        <f>G26*E27</f>
        <v>56000</v>
      </c>
      <c r="H27" s="159"/>
      <c r="I27" s="41"/>
      <c r="J27" s="41"/>
      <c r="K27" s="41"/>
    </row>
    <row r="28" ht="18.75" customHeight="1">
      <c r="A28" s="41"/>
      <c r="B28" s="41"/>
      <c r="C28" s="138"/>
      <c r="D28" s="149" t="s">
        <v>137</v>
      </c>
      <c r="E28" s="150">
        <v>1.15</v>
      </c>
      <c r="F28" s="149" t="s">
        <v>183</v>
      </c>
      <c r="G28" s="155">
        <f>B7*(E28-1)</f>
        <v>9879.782073</v>
      </c>
      <c r="H28" s="159"/>
      <c r="I28" s="41"/>
      <c r="J28" s="41"/>
      <c r="K28" s="41"/>
    </row>
    <row r="29" ht="18.75" customHeight="1">
      <c r="A29" s="41"/>
      <c r="B29" s="41"/>
      <c r="C29" s="41"/>
      <c r="D29" s="172"/>
      <c r="E29" s="169"/>
      <c r="F29" s="149" t="s">
        <v>170</v>
      </c>
      <c r="G29" s="155">
        <f>B9*3500*12</f>
        <v>0</v>
      </c>
      <c r="H29" s="159"/>
      <c r="I29" s="41"/>
      <c r="J29" s="41"/>
      <c r="K29" s="41"/>
    </row>
    <row r="30" ht="18.75" customHeight="1">
      <c r="A30" s="41"/>
      <c r="B30" s="41"/>
      <c r="C30" s="41"/>
      <c r="D30" s="173"/>
      <c r="E30" s="171"/>
      <c r="F30" s="149" t="s">
        <v>174</v>
      </c>
      <c r="G30" s="155">
        <f>SUM(G27:G29)</f>
        <v>65879.78207</v>
      </c>
      <c r="H30" s="159"/>
      <c r="I30" s="41"/>
      <c r="J30" s="41"/>
      <c r="K30" s="41"/>
    </row>
    <row r="31" ht="12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ht="12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ht="12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ht="12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ht="12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 ht="12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ht="12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ht="12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ht="12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ht="12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ht="12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 ht="12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ht="12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ht="12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ht="12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ht="12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 ht="12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ht="12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</row>
    <row r="50" ht="12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ht="12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ht="12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  <row r="53" ht="12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</row>
    <row r="54" ht="12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  <row r="55" ht="12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ht="12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ht="12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ht="12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ht="12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ht="12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ht="12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ht="12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ht="12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ht="12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ht="12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ht="12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ht="12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ht="12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ht="12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ht="12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ht="12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ht="12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ht="12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ht="12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ht="12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ht="12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ht="12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ht="12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</row>
    <row r="403" ht="12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</row>
    <row r="404" ht="12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</row>
    <row r="405" ht="12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</row>
    <row r="406" ht="12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</row>
    <row r="407" ht="12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</row>
    <row r="408" ht="12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</row>
    <row r="409" ht="12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</row>
    <row r="410" ht="12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</row>
    <row r="411" ht="12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</row>
    <row r="412" ht="12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</row>
    <row r="413" ht="12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</row>
    <row r="414" ht="12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</row>
    <row r="415" ht="12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</row>
    <row r="416" ht="12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</row>
    <row r="417" ht="12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</row>
    <row r="418" ht="12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</row>
    <row r="419" ht="12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</row>
    <row r="420" ht="12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</row>
    <row r="421" ht="12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</row>
    <row r="422" ht="12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</row>
    <row r="423" ht="12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</row>
    <row r="424" ht="12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</row>
    <row r="425" ht="12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</row>
    <row r="426" ht="12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</row>
    <row r="427" ht="12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</row>
    <row r="428" ht="12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</row>
    <row r="429" ht="12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</row>
    <row r="430" ht="12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</row>
    <row r="431" ht="12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</row>
    <row r="432" ht="12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</row>
    <row r="433" ht="12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</row>
    <row r="434" ht="12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</row>
    <row r="435" ht="12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</row>
    <row r="436" ht="12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</row>
    <row r="437" ht="12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</row>
    <row r="438" ht="12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</row>
    <row r="439" ht="12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</row>
    <row r="440" ht="12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</row>
    <row r="441" ht="12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</row>
    <row r="442" ht="12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</row>
    <row r="443" ht="12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</row>
    <row r="444" ht="12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</row>
    <row r="445" ht="12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</row>
    <row r="446" ht="12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</row>
    <row r="447" ht="12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</row>
    <row r="448" ht="12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</row>
    <row r="449" ht="12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</row>
    <row r="450" ht="12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</row>
    <row r="451" ht="12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</row>
    <row r="452" ht="12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</row>
    <row r="453" ht="12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</row>
    <row r="454" ht="12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</row>
    <row r="455" ht="12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</row>
    <row r="456" ht="12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</row>
    <row r="457" ht="12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</row>
    <row r="458" ht="12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</row>
    <row r="459" ht="12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</row>
    <row r="460" ht="12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</row>
    <row r="461" ht="12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</row>
    <row r="462" ht="12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</row>
    <row r="463" ht="12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</row>
    <row r="464" ht="12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</row>
    <row r="465" ht="12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</row>
    <row r="466" ht="12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</row>
    <row r="467" ht="12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</row>
    <row r="468" ht="12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</row>
    <row r="469" ht="12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</row>
    <row r="470" ht="12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</row>
    <row r="471" ht="12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</row>
    <row r="472" ht="12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</row>
    <row r="473" ht="12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</row>
    <row r="474" ht="12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</row>
    <row r="475" ht="12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</row>
    <row r="476" ht="12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</row>
    <row r="477" ht="12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</row>
    <row r="478" ht="12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</row>
    <row r="479" ht="12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</row>
    <row r="480" ht="12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</row>
    <row r="481" ht="12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</row>
    <row r="482" ht="12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</row>
    <row r="483" ht="12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</row>
    <row r="484" ht="12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</row>
    <row r="485" ht="12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</row>
    <row r="486" ht="12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</row>
    <row r="487" ht="12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</row>
    <row r="488" ht="12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</row>
    <row r="489" ht="12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</row>
    <row r="490" ht="12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</row>
    <row r="491" ht="12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</row>
    <row r="492" ht="12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</row>
    <row r="493" ht="12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</row>
    <row r="494" ht="12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</row>
    <row r="495" ht="12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</row>
    <row r="496" ht="12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</row>
    <row r="497" ht="12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</row>
    <row r="498" ht="12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</row>
    <row r="499" ht="12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</row>
    <row r="500" ht="12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</row>
    <row r="501" ht="12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</row>
    <row r="502" ht="12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</row>
    <row r="503" ht="12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</row>
    <row r="504" ht="12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</row>
    <row r="505" ht="12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</row>
    <row r="506" ht="12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</row>
    <row r="507" ht="12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</row>
    <row r="508" ht="12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</row>
    <row r="509" ht="12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</row>
    <row r="510" ht="12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</row>
    <row r="511" ht="12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</row>
    <row r="512" ht="12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</row>
    <row r="513" ht="12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</row>
    <row r="514" ht="12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</row>
    <row r="515" ht="12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</row>
    <row r="516" ht="12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</row>
    <row r="517" ht="12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</row>
    <row r="518" ht="12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</row>
    <row r="519" ht="12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</row>
    <row r="520" ht="12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</row>
    <row r="521" ht="12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</row>
    <row r="522" ht="12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</row>
    <row r="523" ht="12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</row>
    <row r="524" ht="12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</row>
    <row r="525" ht="12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</row>
    <row r="526" ht="12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</row>
    <row r="527" ht="12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</row>
    <row r="528" ht="12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</row>
    <row r="529" ht="12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</row>
    <row r="530" ht="12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</row>
    <row r="531" ht="12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</row>
    <row r="532" ht="12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</row>
    <row r="533" ht="12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</row>
    <row r="534" ht="12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</row>
    <row r="535" ht="12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</row>
    <row r="536" ht="12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</row>
    <row r="537" ht="12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</row>
    <row r="538" ht="12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</row>
    <row r="539" ht="12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</row>
    <row r="540" ht="12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</row>
    <row r="541" ht="12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</row>
    <row r="542" ht="12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</row>
    <row r="543" ht="12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</row>
    <row r="544" ht="12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</row>
    <row r="545" ht="12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</row>
    <row r="546" ht="12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</row>
    <row r="547" ht="12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</row>
    <row r="548" ht="12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</row>
    <row r="549" ht="12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</row>
    <row r="550" ht="12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</row>
    <row r="551" ht="12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</row>
    <row r="552" ht="12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</row>
    <row r="553" ht="12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</row>
    <row r="554" ht="12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</row>
    <row r="555" ht="12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</row>
    <row r="556" ht="12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</row>
    <row r="557" ht="12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</row>
    <row r="558" ht="12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</row>
    <row r="559" ht="12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</row>
    <row r="560" ht="12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</row>
    <row r="561" ht="12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</row>
    <row r="562" ht="12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</row>
    <row r="563" ht="12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</row>
    <row r="564" ht="12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</row>
    <row r="565" ht="12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</row>
    <row r="566" ht="12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</row>
    <row r="567" ht="12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</row>
    <row r="568" ht="12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</row>
    <row r="569" ht="12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</row>
    <row r="570" ht="12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</row>
    <row r="571" ht="12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</row>
    <row r="572" ht="12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</row>
    <row r="573" ht="12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</row>
    <row r="574" ht="12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</row>
    <row r="575" ht="12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</row>
    <row r="576" ht="12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</row>
    <row r="577" ht="12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</row>
    <row r="578" ht="12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</row>
    <row r="579" ht="12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</row>
    <row r="580" ht="12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</row>
    <row r="581" ht="12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</row>
    <row r="582" ht="12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</row>
    <row r="583" ht="12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</row>
    <row r="584" ht="12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</row>
    <row r="585" ht="12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</row>
    <row r="586" ht="12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</row>
    <row r="587" ht="12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</row>
    <row r="588" ht="12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</row>
    <row r="589" ht="12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</row>
    <row r="590" ht="12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</row>
    <row r="591" ht="12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</row>
    <row r="592" ht="12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</row>
    <row r="593" ht="12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</row>
    <row r="594" ht="12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</row>
    <row r="595" ht="12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</row>
    <row r="596" ht="12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</row>
    <row r="597" ht="12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</row>
    <row r="598" ht="12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</row>
    <row r="599" ht="12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</row>
    <row r="600" ht="12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</row>
    <row r="601" ht="12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</row>
    <row r="602" ht="12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</row>
    <row r="603" ht="12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</row>
    <row r="604" ht="12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</row>
    <row r="605" ht="12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</row>
    <row r="606" ht="12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</row>
    <row r="607" ht="12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</row>
    <row r="608" ht="12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</row>
    <row r="609" ht="12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</row>
    <row r="610" ht="12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</row>
    <row r="611" ht="12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</row>
    <row r="612" ht="12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</row>
    <row r="613" ht="12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</row>
    <row r="614" ht="12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</row>
    <row r="615" ht="12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</row>
    <row r="616" ht="12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</row>
    <row r="617" ht="12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</row>
    <row r="618" ht="12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</row>
    <row r="619" ht="12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</row>
    <row r="620" ht="12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</row>
    <row r="621" ht="12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</row>
    <row r="622" ht="12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</row>
    <row r="623" ht="12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</row>
    <row r="624" ht="12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</row>
    <row r="625" ht="12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</row>
    <row r="626" ht="12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</row>
    <row r="627" ht="12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</row>
    <row r="628" ht="12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</row>
    <row r="629" ht="12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</row>
    <row r="630" ht="12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</row>
    <row r="631" ht="12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</row>
    <row r="632" ht="12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</row>
    <row r="633" ht="12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</row>
    <row r="634" ht="12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</row>
    <row r="635" ht="12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</row>
    <row r="636" ht="12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</row>
    <row r="637" ht="12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</row>
    <row r="638" ht="12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</row>
    <row r="639" ht="12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</row>
    <row r="640" ht="12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</row>
    <row r="641" ht="12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</row>
    <row r="642" ht="12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</row>
    <row r="643" ht="12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</row>
    <row r="644" ht="12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</row>
    <row r="645" ht="12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</row>
    <row r="646" ht="12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</row>
    <row r="647" ht="12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</row>
    <row r="648" ht="12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</row>
    <row r="649" ht="12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</row>
    <row r="650" ht="12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</row>
    <row r="651" ht="12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</row>
    <row r="652" ht="12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</row>
    <row r="653" ht="12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</row>
    <row r="654" ht="12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</row>
    <row r="655" ht="12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</row>
    <row r="656" ht="12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</row>
    <row r="657" ht="12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</row>
    <row r="658" ht="12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</row>
    <row r="659" ht="12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</row>
    <row r="660" ht="12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</row>
    <row r="661" ht="12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</row>
    <row r="662" ht="12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</row>
    <row r="663" ht="12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</row>
    <row r="664" ht="12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</row>
    <row r="665" ht="12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</row>
    <row r="666" ht="12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</row>
    <row r="667" ht="12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</row>
    <row r="668" ht="12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</row>
    <row r="669" ht="12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</row>
    <row r="670" ht="12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</row>
    <row r="671" ht="12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</row>
    <row r="672" ht="12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</row>
    <row r="673" ht="12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</row>
    <row r="674" ht="12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</row>
    <row r="675" ht="12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</row>
    <row r="676" ht="12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</row>
    <row r="677" ht="12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</row>
    <row r="678" ht="12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</row>
    <row r="679" ht="12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</row>
    <row r="680" ht="12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</row>
    <row r="681" ht="12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</row>
    <row r="682" ht="12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</row>
    <row r="683" ht="12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</row>
    <row r="684" ht="12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</row>
    <row r="685" ht="12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</row>
    <row r="686" ht="12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</row>
    <row r="687" ht="12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</row>
    <row r="688" ht="12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</row>
    <row r="689" ht="12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</row>
    <row r="690" ht="12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</row>
    <row r="691" ht="12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</row>
    <row r="692" ht="12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</row>
    <row r="693" ht="12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</row>
    <row r="694" ht="12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</row>
    <row r="695" ht="12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</row>
    <row r="696" ht="12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</row>
    <row r="697" ht="12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</row>
    <row r="698" ht="12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</row>
    <row r="699" ht="12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</row>
    <row r="700" ht="12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</row>
    <row r="701" ht="12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</row>
    <row r="702" ht="12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</row>
    <row r="703" ht="12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</row>
    <row r="704" ht="12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</row>
    <row r="705" ht="12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</row>
    <row r="706" ht="12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</row>
    <row r="707" ht="12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</row>
    <row r="708" ht="12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</row>
    <row r="709" ht="12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</row>
    <row r="710" ht="12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</row>
    <row r="711" ht="12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</row>
    <row r="712" ht="12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</row>
    <row r="713" ht="12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</row>
    <row r="714" ht="12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</row>
    <row r="715" ht="12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</row>
    <row r="716" ht="12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</row>
    <row r="717" ht="12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</row>
    <row r="718" ht="12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</row>
    <row r="719" ht="12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</row>
    <row r="720" ht="12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</row>
    <row r="721" ht="12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</row>
    <row r="722" ht="12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</row>
    <row r="723" ht="12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</row>
    <row r="724" ht="12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</row>
    <row r="725" ht="12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</row>
    <row r="726" ht="12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</row>
    <row r="727" ht="12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</row>
    <row r="728" ht="12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</row>
    <row r="729" ht="12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</row>
    <row r="730" ht="12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</row>
    <row r="731" ht="12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</row>
    <row r="732" ht="12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</row>
    <row r="733" ht="12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</row>
    <row r="734" ht="12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</row>
    <row r="735" ht="12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</row>
    <row r="736" ht="12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</row>
    <row r="737" ht="12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</row>
    <row r="738" ht="12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</row>
    <row r="739" ht="12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</row>
    <row r="740" ht="12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</row>
    <row r="741" ht="12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</row>
    <row r="742" ht="12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</row>
    <row r="743" ht="12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</row>
    <row r="744" ht="12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</row>
    <row r="745" ht="12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</row>
    <row r="746" ht="12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</row>
    <row r="747" ht="12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</row>
    <row r="748" ht="12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</row>
    <row r="749" ht="12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</row>
    <row r="750" ht="12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</row>
    <row r="751" ht="12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</row>
    <row r="752" ht="12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</row>
    <row r="753" ht="12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</row>
    <row r="754" ht="12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</row>
    <row r="755" ht="12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</row>
    <row r="756" ht="12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</row>
    <row r="757" ht="12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</row>
    <row r="758" ht="12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</row>
    <row r="759" ht="12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</row>
    <row r="760" ht="12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</row>
    <row r="761" ht="12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</row>
    <row r="762" ht="12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</row>
    <row r="763" ht="12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</row>
    <row r="764" ht="12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</row>
    <row r="765" ht="12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</row>
    <row r="766" ht="12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</row>
    <row r="767" ht="12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</row>
    <row r="768" ht="12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</row>
    <row r="769" ht="12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</row>
    <row r="770" ht="12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</row>
    <row r="771" ht="12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</row>
    <row r="772" ht="12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</row>
    <row r="773" ht="12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</row>
    <row r="774" ht="12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</row>
    <row r="775" ht="12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</row>
    <row r="776" ht="12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</row>
    <row r="777" ht="12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</row>
    <row r="778" ht="12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</row>
    <row r="779" ht="12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</row>
    <row r="780" ht="12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</row>
    <row r="781" ht="12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</row>
    <row r="782" ht="12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</row>
    <row r="783" ht="12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</row>
    <row r="784" ht="12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</row>
    <row r="785" ht="12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</row>
    <row r="786" ht="12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</row>
    <row r="787" ht="12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</row>
    <row r="788" ht="12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</row>
    <row r="789" ht="12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</row>
    <row r="790" ht="12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</row>
    <row r="791" ht="12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</row>
    <row r="792" ht="12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</row>
    <row r="793" ht="12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</row>
    <row r="794" ht="12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</row>
    <row r="795" ht="12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</row>
    <row r="796" ht="12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</row>
    <row r="797" ht="12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</row>
    <row r="798" ht="12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</row>
    <row r="799" ht="12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</row>
    <row r="800" ht="12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</row>
    <row r="801" ht="12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</row>
    <row r="802" ht="12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</row>
    <row r="803" ht="12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</row>
    <row r="804" ht="12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</row>
    <row r="805" ht="12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</row>
    <row r="806" ht="12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</row>
    <row r="807" ht="12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</row>
    <row r="808" ht="12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</row>
    <row r="809" ht="12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</row>
    <row r="810" ht="12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</row>
    <row r="811" ht="12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</row>
    <row r="812" ht="12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</row>
    <row r="813" ht="12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</row>
    <row r="814" ht="12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</row>
    <row r="815" ht="12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</row>
    <row r="816" ht="12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</row>
    <row r="817" ht="12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</row>
    <row r="818" ht="12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</row>
    <row r="819" ht="12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</row>
    <row r="820" ht="12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</row>
    <row r="821" ht="12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</row>
    <row r="822" ht="12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</row>
    <row r="823" ht="12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</row>
    <row r="824" ht="12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</row>
    <row r="825" ht="12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</row>
    <row r="826" ht="12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</row>
    <row r="827" ht="12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</row>
    <row r="828" ht="12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</row>
    <row r="829" ht="12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</row>
    <row r="830" ht="12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</row>
    <row r="831" ht="12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</row>
    <row r="832" ht="12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</row>
    <row r="833" ht="12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</row>
    <row r="834" ht="12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</row>
    <row r="835" ht="12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</row>
    <row r="836" ht="12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</row>
    <row r="837" ht="12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</row>
    <row r="838" ht="12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</row>
    <row r="839" ht="12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</row>
    <row r="840" ht="12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</row>
    <row r="841" ht="12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</row>
    <row r="842" ht="12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</row>
    <row r="843" ht="12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</row>
    <row r="844" ht="12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</row>
    <row r="845" ht="12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</row>
    <row r="846" ht="12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</row>
    <row r="847" ht="12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</row>
    <row r="848" ht="12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</row>
    <row r="849" ht="12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</row>
    <row r="850" ht="12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</row>
    <row r="851" ht="12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</row>
    <row r="852" ht="12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</row>
    <row r="853" ht="12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</row>
    <row r="854" ht="12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</row>
    <row r="855" ht="12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</row>
    <row r="856" ht="12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</row>
    <row r="857" ht="12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</row>
    <row r="858" ht="12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</row>
    <row r="859" ht="12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</row>
    <row r="860" ht="12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</row>
    <row r="861" ht="12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</row>
    <row r="862" ht="12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</row>
    <row r="863" ht="12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</row>
    <row r="864" ht="12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</row>
    <row r="865" ht="12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</row>
    <row r="866" ht="12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</row>
    <row r="867" ht="12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</row>
    <row r="868" ht="12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</row>
    <row r="869" ht="12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</row>
    <row r="870" ht="12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</row>
    <row r="871" ht="12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</row>
    <row r="872" ht="12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</row>
    <row r="873" ht="12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</row>
    <row r="874" ht="12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</row>
    <row r="875" ht="12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</row>
    <row r="876" ht="12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</row>
    <row r="877" ht="12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</row>
    <row r="878" ht="12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</row>
    <row r="879" ht="12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</row>
    <row r="880" ht="12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</row>
    <row r="881" ht="12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</row>
    <row r="882" ht="12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</row>
    <row r="883" ht="12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</row>
    <row r="884" ht="12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</row>
    <row r="885" ht="12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</row>
    <row r="886" ht="12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</row>
    <row r="887" ht="12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</row>
    <row r="888" ht="12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</row>
    <row r="889" ht="12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</row>
    <row r="890" ht="12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</row>
    <row r="891" ht="12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</row>
    <row r="892" ht="12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</row>
    <row r="893" ht="12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</row>
    <row r="894" ht="12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</row>
    <row r="895" ht="12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</row>
    <row r="896" ht="12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</row>
    <row r="897" ht="12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</row>
    <row r="898" ht="12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</row>
    <row r="899" ht="12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</row>
    <row r="900" ht="12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</row>
    <row r="901" ht="12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</row>
    <row r="902" ht="12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</row>
    <row r="903" ht="12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</row>
    <row r="904" ht="12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</row>
    <row r="905" ht="12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</row>
    <row r="906" ht="12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</row>
    <row r="907" ht="12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</row>
    <row r="908" ht="12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</row>
    <row r="909" ht="12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</row>
    <row r="910" ht="12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</row>
    <row r="911" ht="12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</row>
    <row r="912" ht="12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</row>
    <row r="913" ht="12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</row>
    <row r="914" ht="12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</row>
    <row r="915" ht="12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</row>
    <row r="916" ht="12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</row>
    <row r="917" ht="12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</row>
    <row r="918" ht="12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</row>
    <row r="919" ht="12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</row>
    <row r="920" ht="12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</row>
    <row r="921" ht="12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</row>
    <row r="922" ht="12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</row>
    <row r="923" ht="12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</row>
    <row r="924" ht="12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</row>
    <row r="925" ht="12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</row>
    <row r="926" ht="12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</row>
    <row r="927" ht="12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</row>
    <row r="928" ht="12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</row>
    <row r="929" ht="12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</row>
    <row r="930" ht="12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</row>
    <row r="931" ht="12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</row>
    <row r="932" ht="12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</row>
    <row r="933" ht="12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</row>
    <row r="934" ht="12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</row>
    <row r="935" ht="12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</row>
    <row r="936" ht="12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</row>
    <row r="937" ht="12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</row>
    <row r="938" ht="12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</row>
    <row r="939" ht="12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</row>
    <row r="940" ht="12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</row>
    <row r="941" ht="12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</row>
    <row r="942" ht="12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</row>
    <row r="943" ht="12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</row>
    <row r="944" ht="12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</row>
    <row r="945" ht="12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</row>
    <row r="946" ht="12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</row>
    <row r="947" ht="12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</row>
    <row r="948" ht="12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</row>
    <row r="949" ht="12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</row>
    <row r="950" ht="12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</row>
    <row r="951" ht="12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</row>
    <row r="952" ht="12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</row>
    <row r="953" ht="12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</row>
    <row r="954" ht="12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</row>
    <row r="955" ht="12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</row>
    <row r="956" ht="12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</row>
    <row r="957" ht="12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</row>
    <row r="958" ht="12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</row>
    <row r="959" ht="12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</row>
    <row r="960" ht="12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</row>
    <row r="961" ht="12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</row>
    <row r="962" ht="12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</row>
    <row r="963" ht="12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</row>
    <row r="964" ht="12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</row>
    <row r="965" ht="12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</row>
    <row r="966" ht="12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</row>
    <row r="967" ht="12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</row>
    <row r="968" ht="12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ht="12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</row>
    <row r="970" ht="12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</row>
    <row r="971" ht="12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</row>
    <row r="972" ht="12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</row>
    <row r="973" ht="12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</row>
    <row r="974" ht="12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</row>
    <row r="975" ht="12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ht="12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</row>
    <row r="977" ht="12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</row>
    <row r="978" ht="12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</row>
    <row r="979" ht="12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</row>
    <row r="980" ht="12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</row>
    <row r="981" ht="12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</row>
    <row r="982" ht="12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</row>
    <row r="983" ht="12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</row>
    <row r="984" ht="12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</row>
    <row r="985" ht="12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</row>
    <row r="986" ht="12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</row>
    <row r="987" ht="12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</row>
    <row r="988" ht="12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</row>
    <row r="989" ht="12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</row>
    <row r="990" ht="12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</row>
    <row r="991" ht="12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</row>
    <row r="992" ht="12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</row>
    <row r="993" ht="12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</row>
    <row r="994" ht="12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</row>
    <row r="995" ht="12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</row>
    <row r="996" ht="12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</row>
    <row r="997" ht="12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</row>
    <row r="998" ht="12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</row>
    <row r="999" ht="12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</row>
    <row r="1000" ht="12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4"/>
      <c r="B1" s="174"/>
      <c r="C1" s="41"/>
      <c r="D1" s="174"/>
      <c r="E1" s="174"/>
      <c r="F1" s="174"/>
      <c r="G1" s="174"/>
      <c r="H1" s="174"/>
      <c r="I1" s="41"/>
      <c r="J1" s="41"/>
      <c r="K1" s="41"/>
      <c r="L1" s="41"/>
      <c r="M1" s="41"/>
    </row>
    <row r="2" ht="18.75" customHeight="1">
      <c r="A2" s="175" t="s">
        <v>184</v>
      </c>
      <c r="B2" s="80"/>
      <c r="C2" s="176"/>
      <c r="D2" s="177" t="s">
        <v>185</v>
      </c>
      <c r="E2" s="79"/>
      <c r="F2" s="79"/>
      <c r="G2" s="79"/>
      <c r="H2" s="80"/>
      <c r="I2" s="178"/>
      <c r="J2" s="41"/>
      <c r="K2" s="41"/>
      <c r="L2" s="41"/>
      <c r="M2" s="41"/>
    </row>
    <row r="3" ht="15.0" customHeight="1">
      <c r="A3" s="179" t="s">
        <v>186</v>
      </c>
      <c r="B3" s="180">
        <f>Resum!B13</f>
        <v>3539.52</v>
      </c>
      <c r="C3" s="176"/>
      <c r="D3" s="177" t="s">
        <v>154</v>
      </c>
      <c r="E3" s="80"/>
      <c r="F3" s="181" t="s">
        <v>187</v>
      </c>
      <c r="G3" s="177" t="s">
        <v>155</v>
      </c>
      <c r="H3" s="80"/>
      <c r="I3" s="178"/>
      <c r="J3" s="182"/>
      <c r="K3" s="183"/>
      <c r="L3" s="174"/>
      <c r="M3" s="41"/>
    </row>
    <row r="4" ht="18.75" customHeight="1">
      <c r="A4" s="184" t="s">
        <v>25</v>
      </c>
      <c r="B4" s="185">
        <f>Resum!B14</f>
        <v>1</v>
      </c>
      <c r="C4" s="176"/>
      <c r="D4" s="186" t="s">
        <v>188</v>
      </c>
      <c r="E4" s="187">
        <v>0.09</v>
      </c>
      <c r="F4" s="188">
        <f>IF($B$3&gt;1000,1000,MAX($B$3,0))</f>
        <v>1000</v>
      </c>
      <c r="G4" s="186" t="s">
        <v>189</v>
      </c>
      <c r="H4" s="188">
        <f>F4*E4+F5*E5+F6*E6+F7*E7+F8*E8</f>
        <v>280.464</v>
      </c>
      <c r="I4" s="176"/>
      <c r="J4" s="189" t="s">
        <v>190</v>
      </c>
      <c r="K4" s="79"/>
      <c r="L4" s="80"/>
      <c r="M4" s="178"/>
    </row>
    <row r="5" ht="18.75" customHeight="1">
      <c r="A5" s="179" t="s">
        <v>27</v>
      </c>
      <c r="B5" s="185">
        <f>Resum!B15</f>
        <v>14</v>
      </c>
      <c r="C5" s="176"/>
      <c r="D5" s="186" t="s">
        <v>191</v>
      </c>
      <c r="E5" s="187">
        <v>0.075</v>
      </c>
      <c r="F5" s="188">
        <f>IF($B$3&gt;50*1000,50*1000-F4,MAX($B$3-F4,0))</f>
        <v>2539.52</v>
      </c>
      <c r="G5" s="190"/>
      <c r="H5" s="191"/>
      <c r="I5" s="192"/>
      <c r="J5" s="193" t="s">
        <v>192</v>
      </c>
      <c r="K5" s="193" t="s">
        <v>156</v>
      </c>
      <c r="L5" s="193" t="s">
        <v>157</v>
      </c>
      <c r="M5" s="178"/>
    </row>
    <row r="6" ht="18.75" customHeight="1">
      <c r="A6" s="179" t="s">
        <v>193</v>
      </c>
      <c r="B6" s="180">
        <v>400.0</v>
      </c>
      <c r="C6" s="176"/>
      <c r="D6" s="186" t="s">
        <v>194</v>
      </c>
      <c r="E6" s="187">
        <v>0.065</v>
      </c>
      <c r="F6" s="188">
        <f>IF($B$3&gt;500*1000,500*1000-F5-F4,MAX($B$3-F5-F4,0))</f>
        <v>0</v>
      </c>
      <c r="G6" s="194"/>
      <c r="H6" s="195"/>
      <c r="I6" s="196" t="str">
        <f>IF(Resum!B16=1,"X","")</f>
        <v/>
      </c>
      <c r="J6" s="197">
        <v>1.0</v>
      </c>
      <c r="K6" s="198" t="s">
        <v>195</v>
      </c>
      <c r="L6" s="199">
        <f>H4*12</f>
        <v>3365.568</v>
      </c>
      <c r="M6" s="178"/>
    </row>
    <row r="7" ht="18.75" customHeight="1">
      <c r="A7" s="184" t="s">
        <v>30</v>
      </c>
      <c r="B7" s="200">
        <f>IF(Resum!B18=1,1,0)</f>
        <v>0</v>
      </c>
      <c r="C7" s="176"/>
      <c r="D7" s="186" t="s">
        <v>196</v>
      </c>
      <c r="E7" s="187">
        <v>0.055</v>
      </c>
      <c r="F7" s="188">
        <f>IF($B$3&gt;5000*1000,5000*1000-F6-F5-F4,MAX($B$3-F6-F5-F4,0))</f>
        <v>0</v>
      </c>
      <c r="G7" s="194"/>
      <c r="H7" s="195"/>
      <c r="I7" s="196" t="str">
        <f>IF(Resum!B16=2,"X","")</f>
        <v>X</v>
      </c>
      <c r="J7" s="197">
        <v>2.0</v>
      </c>
      <c r="K7" s="198" t="s">
        <v>197</v>
      </c>
      <c r="L7" s="199">
        <f>H12*12</f>
        <v>3516.99072</v>
      </c>
      <c r="M7" s="178"/>
    </row>
    <row r="8" ht="18.75" customHeight="1">
      <c r="A8" s="201" t="s">
        <v>198</v>
      </c>
      <c r="B8" s="80"/>
      <c r="C8" s="176"/>
      <c r="D8" s="186" t="s">
        <v>199</v>
      </c>
      <c r="E8" s="187">
        <v>0.05</v>
      </c>
      <c r="F8" s="188">
        <f>IF($B$3&gt;5000*1000,$B$3-F7-F6-F5-F4,0)</f>
        <v>0</v>
      </c>
      <c r="G8" s="178"/>
      <c r="H8" s="202"/>
      <c r="I8" s="196" t="str">
        <f>IF(Resum!B16=3,"X","")</f>
        <v/>
      </c>
      <c r="J8" s="197">
        <v>3.0</v>
      </c>
      <c r="K8" s="198" t="s">
        <v>200</v>
      </c>
      <c r="L8" s="197">
        <v>0.0</v>
      </c>
      <c r="M8" s="178"/>
    </row>
    <row r="9" ht="18.75" customHeight="1">
      <c r="A9" s="203" t="str">
        <f>IF(Resum!B16=1,"Microworks Azure M-A",IF(Resum!B16=2,"MonsoonS3 MS3",IF(Resum!B16=3,"Take the tapes and run","error")))</f>
        <v>MonsoonS3 MS3</v>
      </c>
      <c r="B9" s="80"/>
      <c r="C9" s="176"/>
      <c r="D9" s="204"/>
      <c r="E9" s="205"/>
      <c r="F9" s="205"/>
      <c r="G9" s="206"/>
      <c r="H9" s="206"/>
      <c r="I9" s="41"/>
      <c r="J9" s="100"/>
      <c r="K9" s="100"/>
      <c r="L9" s="100"/>
      <c r="M9" s="41"/>
    </row>
    <row r="10" ht="18.75" customHeight="1">
      <c r="A10" s="207" t="s">
        <v>201</v>
      </c>
      <c r="B10" s="208">
        <f>Resum!B17</f>
        <v>1</v>
      </c>
      <c r="C10" s="176"/>
      <c r="D10" s="177" t="s">
        <v>202</v>
      </c>
      <c r="E10" s="79"/>
      <c r="F10" s="79"/>
      <c r="G10" s="79"/>
      <c r="H10" s="80"/>
      <c r="I10" s="178"/>
      <c r="J10" s="41"/>
      <c r="K10" s="41"/>
      <c r="L10" s="41"/>
      <c r="M10" s="41"/>
    </row>
    <row r="11" ht="18.75" customHeight="1">
      <c r="A11" s="207" t="s">
        <v>203</v>
      </c>
      <c r="B11" s="208">
        <f>Resum!B18</f>
        <v>0</v>
      </c>
      <c r="C11" s="176"/>
      <c r="D11" s="177" t="s">
        <v>154</v>
      </c>
      <c r="E11" s="80"/>
      <c r="F11" s="181" t="s">
        <v>187</v>
      </c>
      <c r="G11" s="177" t="s">
        <v>155</v>
      </c>
      <c r="H11" s="80"/>
      <c r="I11" s="178"/>
      <c r="J11" s="41"/>
      <c r="K11" s="41"/>
      <c r="L11" s="41"/>
      <c r="M11" s="41"/>
    </row>
    <row r="12" ht="18.75" customHeight="1">
      <c r="A12" s="100"/>
      <c r="B12" s="100"/>
      <c r="C12" s="192"/>
      <c r="D12" s="186" t="s">
        <v>188</v>
      </c>
      <c r="E12" s="187">
        <v>0.095</v>
      </c>
      <c r="F12" s="188">
        <f>IF($B$3&gt;1000,1000,MAX($B$3,0))</f>
        <v>1000</v>
      </c>
      <c r="G12" s="186" t="s">
        <v>189</v>
      </c>
      <c r="H12" s="188">
        <f>F12*E12+F13*E13+F14*E14+F15*E15+F16*E16</f>
        <v>293.08256</v>
      </c>
      <c r="I12" s="178"/>
      <c r="J12" s="41"/>
      <c r="K12" s="41"/>
      <c r="L12" s="41"/>
      <c r="M12" s="41"/>
    </row>
    <row r="13" ht="18.75" customHeight="1">
      <c r="A13" s="41"/>
      <c r="B13" s="41"/>
      <c r="C13" s="192"/>
      <c r="D13" s="186" t="s">
        <v>191</v>
      </c>
      <c r="E13" s="187">
        <v>0.078</v>
      </c>
      <c r="F13" s="188">
        <f>IF($B$3&gt;50*1000,50*1000-F12,MAX($B$3-F12,0))</f>
        <v>2539.52</v>
      </c>
      <c r="G13" s="190"/>
      <c r="H13" s="191"/>
      <c r="I13" s="41"/>
      <c r="J13" s="41"/>
      <c r="K13" s="41"/>
      <c r="L13" s="41"/>
      <c r="M13" s="41"/>
    </row>
    <row r="14" ht="18.75" customHeight="1">
      <c r="A14" s="41"/>
      <c r="B14" s="41"/>
      <c r="C14" s="192"/>
      <c r="D14" s="186" t="s">
        <v>194</v>
      </c>
      <c r="E14" s="187">
        <v>0.07</v>
      </c>
      <c r="F14" s="188">
        <f>IF($B$3&gt;500*1000,500*1000-F13-F12,MAX($B$3-F13-F12,0))</f>
        <v>0</v>
      </c>
      <c r="G14" s="194"/>
      <c r="H14" s="195"/>
      <c r="I14" s="41"/>
      <c r="J14" s="41"/>
      <c r="K14" s="41"/>
      <c r="L14" s="41"/>
      <c r="M14" s="41"/>
    </row>
    <row r="15" ht="18.75" customHeight="1">
      <c r="A15" s="41"/>
      <c r="B15" s="41"/>
      <c r="C15" s="192"/>
      <c r="D15" s="186" t="s">
        <v>196</v>
      </c>
      <c r="E15" s="187">
        <v>0.065</v>
      </c>
      <c r="F15" s="188">
        <f>IF($B$3&gt;5000*1000,5000*1000-F14-F13-F12,MAX($B$3-F14-F13-F12,0))</f>
        <v>0</v>
      </c>
      <c r="G15" s="194"/>
      <c r="H15" s="195"/>
      <c r="I15" s="41"/>
      <c r="J15" s="41"/>
      <c r="K15" s="41"/>
      <c r="L15" s="41"/>
      <c r="M15" s="41"/>
    </row>
    <row r="16" ht="18.75" customHeight="1">
      <c r="A16" s="41"/>
      <c r="B16" s="41"/>
      <c r="C16" s="192"/>
      <c r="D16" s="186" t="s">
        <v>199</v>
      </c>
      <c r="E16" s="187">
        <v>0.055</v>
      </c>
      <c r="F16" s="188">
        <f>IF($B$3&gt;5000*1000,$B$3-F15-F14-F13-F12,0)</f>
        <v>0</v>
      </c>
      <c r="G16" s="194"/>
      <c r="H16" s="202"/>
      <c r="I16" s="41"/>
      <c r="J16" s="41"/>
      <c r="K16" s="41"/>
      <c r="L16" s="41"/>
      <c r="M16" s="41"/>
    </row>
    <row r="17" ht="18.75" customHeight="1">
      <c r="A17" s="41"/>
      <c r="B17" s="41"/>
      <c r="C17" s="192"/>
      <c r="D17" s="204"/>
      <c r="E17" s="205"/>
      <c r="F17" s="205"/>
      <c r="G17" s="206"/>
      <c r="H17" s="209"/>
      <c r="I17" s="41"/>
      <c r="J17" s="41"/>
      <c r="K17" s="41"/>
      <c r="L17" s="41"/>
      <c r="M17" s="41"/>
    </row>
    <row r="18" ht="18.75" customHeight="1">
      <c r="A18" s="41"/>
      <c r="B18" s="41"/>
      <c r="C18" s="192"/>
      <c r="D18" s="210" t="s">
        <v>204</v>
      </c>
      <c r="E18" s="211"/>
      <c r="F18" s="211"/>
      <c r="G18" s="211"/>
      <c r="H18" s="212"/>
      <c r="I18" s="213"/>
      <c r="J18" s="41"/>
      <c r="K18" s="174"/>
      <c r="L18" s="174"/>
      <c r="M18" s="41"/>
    </row>
    <row r="19" ht="18.75" customHeight="1">
      <c r="A19" s="41"/>
      <c r="B19" s="41"/>
      <c r="C19" s="192"/>
      <c r="D19" s="181" t="s">
        <v>204</v>
      </c>
      <c r="E19" s="181" t="s">
        <v>205</v>
      </c>
      <c r="F19" s="181" t="s">
        <v>206</v>
      </c>
      <c r="G19" s="181" t="s">
        <v>207</v>
      </c>
      <c r="H19" s="214" t="s">
        <v>208</v>
      </c>
      <c r="I19" s="181" t="s">
        <v>79</v>
      </c>
      <c r="J19" s="176"/>
      <c r="K19" s="189" t="s">
        <v>209</v>
      </c>
      <c r="L19" s="80"/>
      <c r="M19" s="178"/>
    </row>
    <row r="20" ht="18.75" customHeight="1">
      <c r="A20" s="41"/>
      <c r="B20" s="41"/>
      <c r="C20" s="192"/>
      <c r="D20" s="186" t="s">
        <v>210</v>
      </c>
      <c r="E20" s="187">
        <v>0.011</v>
      </c>
      <c r="F20" s="188">
        <f t="shared" ref="F20:F23" si="1">365/$B$4</f>
        <v>365</v>
      </c>
      <c r="G20" s="188">
        <f t="shared" ref="G20:G23" si="2">$B$3*E20*F20</f>
        <v>14211.1728</v>
      </c>
      <c r="H20" s="188">
        <f t="shared" ref="H20:H21" si="3">100*$B$5*12</f>
        <v>16800</v>
      </c>
      <c r="I20" s="188">
        <f t="shared" ref="I20:I23" si="4">H20+G20</f>
        <v>31011.1728</v>
      </c>
      <c r="J20" s="176"/>
      <c r="K20" s="215" t="s">
        <v>156</v>
      </c>
      <c r="L20" s="193" t="s">
        <v>157</v>
      </c>
      <c r="M20" s="216" t="s">
        <v>211</v>
      </c>
    </row>
    <row r="21" ht="18.75" customHeight="1">
      <c r="A21" s="41"/>
      <c r="B21" s="41"/>
      <c r="C21" s="192"/>
      <c r="D21" s="186" t="s">
        <v>212</v>
      </c>
      <c r="E21" s="187">
        <v>0.02</v>
      </c>
      <c r="F21" s="188">
        <f t="shared" si="1"/>
        <v>365</v>
      </c>
      <c r="G21" s="188">
        <f t="shared" si="2"/>
        <v>25838.496</v>
      </c>
      <c r="H21" s="188">
        <f t="shared" si="3"/>
        <v>16800</v>
      </c>
      <c r="I21" s="188">
        <f t="shared" si="4"/>
        <v>42638.496</v>
      </c>
      <c r="J21" s="176"/>
      <c r="K21" s="198" t="s">
        <v>213</v>
      </c>
      <c r="L21" s="199">
        <f t="shared" ref="L21:L24" si="5">I20</f>
        <v>31011.1728</v>
      </c>
      <c r="M21" s="178">
        <f>IF(AND(Resum!B16=1,Resum!B17=1),L21,0)</f>
        <v>0</v>
      </c>
    </row>
    <row r="22" ht="18.75" customHeight="1">
      <c r="A22" s="41"/>
      <c r="B22" s="41"/>
      <c r="C22" s="192"/>
      <c r="D22" s="186" t="s">
        <v>214</v>
      </c>
      <c r="E22" s="187">
        <v>0.009</v>
      </c>
      <c r="F22" s="188">
        <f t="shared" si="1"/>
        <v>365</v>
      </c>
      <c r="G22" s="188">
        <f t="shared" si="2"/>
        <v>11627.3232</v>
      </c>
      <c r="H22" s="188">
        <f t="shared" ref="H22:H23" si="6">90*$B$5*12</f>
        <v>15120</v>
      </c>
      <c r="I22" s="188">
        <f t="shared" si="4"/>
        <v>26747.3232</v>
      </c>
      <c r="J22" s="176"/>
      <c r="K22" s="198" t="s">
        <v>215</v>
      </c>
      <c r="L22" s="199">
        <f t="shared" si="5"/>
        <v>42638.496</v>
      </c>
      <c r="M22" s="178">
        <f>IF(AND(Resum!B16=1,Resum!B17=0),L22,0)</f>
        <v>0</v>
      </c>
    </row>
    <row r="23" ht="18.75" customHeight="1">
      <c r="A23" s="41"/>
      <c r="B23" s="41"/>
      <c r="C23" s="192"/>
      <c r="D23" s="186" t="s">
        <v>216</v>
      </c>
      <c r="E23" s="187">
        <v>0.019</v>
      </c>
      <c r="F23" s="188">
        <f t="shared" si="1"/>
        <v>365</v>
      </c>
      <c r="G23" s="188">
        <f t="shared" si="2"/>
        <v>24546.5712</v>
      </c>
      <c r="H23" s="188">
        <f t="shared" si="6"/>
        <v>15120</v>
      </c>
      <c r="I23" s="188">
        <f t="shared" si="4"/>
        <v>39666.5712</v>
      </c>
      <c r="J23" s="176"/>
      <c r="K23" s="198" t="s">
        <v>217</v>
      </c>
      <c r="L23" s="199">
        <f t="shared" si="5"/>
        <v>26747.3232</v>
      </c>
      <c r="M23" s="217">
        <f>IF(AND(Resum!B16=2,Resum!B17=1),L23,0)</f>
        <v>26747.3232</v>
      </c>
    </row>
    <row r="24" ht="18.75" customHeight="1">
      <c r="A24" s="41"/>
      <c r="B24" s="41"/>
      <c r="C24" s="192"/>
      <c r="D24" s="218"/>
      <c r="E24" s="219" t="s">
        <v>218</v>
      </c>
      <c r="F24" s="219" t="s">
        <v>219</v>
      </c>
      <c r="G24" s="219" t="s">
        <v>220</v>
      </c>
      <c r="H24" s="219" t="s">
        <v>221</v>
      </c>
      <c r="I24" s="219" t="s">
        <v>79</v>
      </c>
      <c r="J24" s="220"/>
      <c r="K24" s="198" t="s">
        <v>222</v>
      </c>
      <c r="L24" s="199">
        <f t="shared" si="5"/>
        <v>39666.5712</v>
      </c>
      <c r="M24" s="178">
        <f>IF(AND(Resum!B16=2,Resum!B17=0),L24,0)</f>
        <v>0</v>
      </c>
    </row>
    <row r="25" ht="18.75" customHeight="1">
      <c r="A25" s="41"/>
      <c r="B25" s="41"/>
      <c r="C25" s="192"/>
      <c r="D25" s="186" t="s">
        <v>223</v>
      </c>
      <c r="E25" s="188">
        <f>ROUNDUP($B$3/$B$6,0)</f>
        <v>9</v>
      </c>
      <c r="F25" s="188">
        <f>365/$B$4</f>
        <v>365</v>
      </c>
      <c r="G25" s="188">
        <f>120*F25*2</f>
        <v>87600</v>
      </c>
      <c r="H25" s="188">
        <f>ROUNDUP(E25*$B$5/20,0)*100</f>
        <v>700</v>
      </c>
      <c r="I25" s="188">
        <f>G25+H25</f>
        <v>88300</v>
      </c>
      <c r="J25" s="176"/>
      <c r="K25" s="198" t="s">
        <v>224</v>
      </c>
      <c r="L25" s="199">
        <f>I25</f>
        <v>88300</v>
      </c>
      <c r="M25" s="178">
        <f>IF(Resum!B16=3,L25,0)</f>
        <v>0</v>
      </c>
    </row>
    <row r="26" ht="18.75" customHeight="1">
      <c r="A26" s="41"/>
      <c r="B26" s="41"/>
      <c r="C26" s="41"/>
      <c r="D26" s="221" t="s">
        <v>225</v>
      </c>
      <c r="E26" s="221" t="s">
        <v>226</v>
      </c>
      <c r="F26" s="221" t="s">
        <v>227</v>
      </c>
      <c r="G26" s="221" t="s">
        <v>228</v>
      </c>
      <c r="H26" s="222"/>
      <c r="I26" s="221" t="s">
        <v>79</v>
      </c>
      <c r="J26" s="41"/>
      <c r="K26" s="100"/>
      <c r="L26" s="100"/>
      <c r="M26" s="41"/>
    </row>
    <row r="27" ht="18.75" customHeight="1">
      <c r="A27" s="41"/>
      <c r="B27" s="41"/>
      <c r="C27" s="41"/>
      <c r="D27" s="223"/>
      <c r="E27" s="223">
        <f>E25*B5</f>
        <v>126</v>
      </c>
      <c r="F27" s="223">
        <f>IF($E$25&lt;24,2500,IF($E$25&lt;48,3800,IF($E$25&lt;96,12000,70000)))</f>
        <v>2500</v>
      </c>
      <c r="G27" s="223">
        <f>E27*100</f>
        <v>12600</v>
      </c>
      <c r="H27" s="223"/>
      <c r="I27" s="223">
        <f>(F27+G27)*B11</f>
        <v>0</v>
      </c>
      <c r="J27" s="41"/>
      <c r="K27" s="41"/>
      <c r="L27" s="41"/>
      <c r="M27" s="47">
        <f>SUM(M21:M26)</f>
        <v>26747.3232</v>
      </c>
    </row>
    <row r="28" ht="18.75" customHeight="1">
      <c r="A28" s="41"/>
      <c r="B28" s="41"/>
      <c r="C28" s="41"/>
      <c r="D28" s="224" t="s">
        <v>229</v>
      </c>
      <c r="E28" s="225"/>
      <c r="F28" s="224" t="s">
        <v>230</v>
      </c>
      <c r="G28" s="226" t="s">
        <v>231</v>
      </c>
      <c r="H28" s="226" t="s">
        <v>232</v>
      </c>
      <c r="I28" s="223"/>
      <c r="J28" s="41"/>
      <c r="K28" s="41"/>
      <c r="L28" s="41"/>
      <c r="M28" s="47"/>
    </row>
    <row r="29" ht="18.75" customHeight="1">
      <c r="A29" s="41"/>
      <c r="B29" s="41"/>
      <c r="C29" s="41"/>
      <c r="D29" s="227">
        <f>IF($E$25&lt;24,168,IF($E$25&lt;48,312,IF($E$25&lt;96,560,1500)))/1000</f>
        <v>0.168</v>
      </c>
      <c r="E29" s="223"/>
      <c r="F29" s="228">
        <f>IF($E$25&lt;24,2,IF($E$25&lt;48,4,IF($E$25&lt;96,8,40)))</f>
        <v>2</v>
      </c>
      <c r="G29" s="229">
        <f>F29*B7</f>
        <v>0</v>
      </c>
      <c r="H29" s="230">
        <f>D29*B7</f>
        <v>0</v>
      </c>
      <c r="I29" s="223"/>
      <c r="J29" s="41"/>
      <c r="K29" s="226" t="s">
        <v>233</v>
      </c>
      <c r="L29" s="231">
        <f>$I$27</f>
        <v>0</v>
      </c>
      <c r="M29" s="47">
        <f>L29*B10</f>
        <v>0</v>
      </c>
    </row>
    <row r="30" ht="14.2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ht="14.2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ht="14.2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ht="14.2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ht="14.2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ht="14.2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ht="14.2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ht="14.2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ht="14.2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ht="14.2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ht="14.2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ht="14.2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ht="14.2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ht="14.2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ht="14.2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ht="14.2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ht="14.2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ht="14.2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ht="14.2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ht="14.2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ht="14.2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ht="14.2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ht="14.2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ht="14.2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ht="14.2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ht="14.2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ht="14.2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ht="14.2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ht="14.2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ht="14.2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ht="14.2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ht="14.2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ht="14.2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ht="14.2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ht="14.2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ht="14.2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ht="14.2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ht="14.2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ht="14.2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ht="14.2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ht="14.2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ht="14.2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ht="14.2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ht="14.2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ht="14.2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ht="14.2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ht="14.2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ht="14.2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ht="14.2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ht="14.2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ht="14.2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ht="14.2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ht="14.2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ht="14.2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ht="14.2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ht="14.2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ht="14.2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ht="14.2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ht="14.2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ht="14.2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ht="14.2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ht="14.2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ht="14.2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ht="14.2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ht="14.2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ht="14.2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ht="14.2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ht="14.2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ht="14.2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ht="14.2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ht="14.2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ht="14.2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ht="14.2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ht="14.2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ht="14.2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ht="14.2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 ht="14.2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 ht="14.2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ht="14.2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ht="14.2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 ht="14.2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 ht="14.2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 ht="14.2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 ht="14.2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 ht="14.2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 ht="14.2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 ht="14.2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 ht="14.2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ht="14.2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 ht="14.2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 ht="14.2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 ht="14.2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ht="14.2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 ht="14.2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ht="14.2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 ht="14.2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ht="14.2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 ht="14.2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ht="14.2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 ht="14.2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ht="14.2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 ht="14.2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 ht="14.2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 ht="14.2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 ht="14.2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 ht="14.2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ht="14.2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ht="14.2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ht="14.2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ht="14.2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ht="14.2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ht="14.2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ht="14.2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ht="14.2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ht="14.2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ht="14.2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ht="14.2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ht="14.2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ht="14.2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ht="14.2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</row>
    <row r="151" ht="14.2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</row>
    <row r="152" ht="14.2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</row>
    <row r="153" ht="14.2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</row>
    <row r="154" ht="14.2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ht="14.2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</row>
    <row r="156" ht="14.2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</row>
    <row r="157" ht="14.2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</row>
    <row r="158" ht="14.2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</row>
    <row r="159" ht="14.2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</row>
    <row r="160" ht="14.2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</row>
    <row r="161" ht="14.2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ht="14.2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ht="14.2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ht="14.2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ht="14.2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ht="14.2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ht="14.2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</row>
    <row r="168" ht="14.2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</row>
    <row r="169" ht="14.2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ht="14.2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</row>
    <row r="171" ht="14.2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</row>
    <row r="172" ht="14.2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</row>
    <row r="173" ht="14.2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</row>
    <row r="174" ht="14.2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</row>
    <row r="175" ht="14.2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</row>
    <row r="176" ht="14.2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</row>
    <row r="177" ht="14.2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ht="14.2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</row>
    <row r="179" ht="14.2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</row>
    <row r="180" ht="14.2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</row>
    <row r="181" ht="14.2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</row>
    <row r="182" ht="14.2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</row>
    <row r="183" ht="14.2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</row>
    <row r="184" ht="14.2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</row>
    <row r="185" ht="14.2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</row>
    <row r="186" ht="14.2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</row>
    <row r="187" ht="14.2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</row>
    <row r="188" ht="14.2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</row>
    <row r="189" ht="14.2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</row>
    <row r="190" ht="14.2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</row>
    <row r="191" ht="14.2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</row>
    <row r="192" ht="14.2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</row>
    <row r="193" ht="14.2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ht="14.2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</row>
    <row r="195" ht="14.2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</row>
    <row r="196" ht="14.2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</row>
    <row r="197" ht="14.2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</row>
    <row r="198" ht="14.2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</row>
    <row r="199" ht="14.2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</row>
    <row r="200" ht="14.2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</row>
    <row r="201" ht="14.2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</row>
    <row r="202" ht="14.2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</row>
    <row r="203" ht="14.2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</row>
    <row r="204" ht="14.2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</row>
    <row r="205" ht="14.2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</row>
    <row r="206" ht="14.2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</row>
    <row r="207" ht="14.2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</row>
    <row r="208" ht="14.2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</row>
    <row r="209" ht="14.2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</row>
    <row r="210" ht="14.2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</row>
    <row r="211" ht="14.2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</row>
    <row r="212" ht="14.2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</row>
    <row r="213" ht="14.2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ht="14.2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</row>
    <row r="215" ht="14.2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</row>
    <row r="216" ht="14.2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</row>
    <row r="217" ht="14.2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</row>
    <row r="218" ht="14.2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</row>
    <row r="219" ht="14.2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</row>
    <row r="220" ht="14.2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</row>
    <row r="221" ht="14.2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</row>
    <row r="222" ht="14.2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</row>
    <row r="223" ht="14.2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</row>
    <row r="224" ht="14.2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</row>
    <row r="225" ht="14.2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</row>
    <row r="226" ht="14.2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</row>
    <row r="227" ht="14.2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</row>
    <row r="228" ht="14.2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</row>
    <row r="229" ht="14.2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</row>
    <row r="230" ht="14.2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</row>
    <row r="231" ht="14.2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</row>
    <row r="232" ht="14.2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</row>
    <row r="233" ht="14.2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</row>
    <row r="234" ht="14.2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</row>
    <row r="235" ht="14.2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</row>
    <row r="236" ht="14.2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</row>
    <row r="237" ht="14.2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</row>
    <row r="238" ht="14.2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</row>
    <row r="239" ht="14.2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</row>
    <row r="240" ht="14.2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</row>
    <row r="241" ht="14.2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</row>
    <row r="242" ht="14.2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</row>
    <row r="243" ht="14.2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</row>
    <row r="244" ht="14.2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</row>
    <row r="245" ht="14.2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</row>
    <row r="246" ht="14.2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</row>
    <row r="247" ht="14.2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</row>
    <row r="248" ht="14.2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</row>
    <row r="249" ht="14.2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</row>
    <row r="250" ht="14.2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</row>
    <row r="251" ht="14.2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</row>
    <row r="252" ht="14.2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</row>
    <row r="253" ht="14.2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</row>
    <row r="254" ht="14.2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</row>
    <row r="255" ht="14.2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</row>
    <row r="256" ht="14.2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</row>
    <row r="257" ht="14.2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</row>
    <row r="258" ht="14.2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</row>
    <row r="259" ht="14.2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</row>
    <row r="260" ht="14.2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</row>
    <row r="261" ht="14.2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</row>
    <row r="262" ht="14.2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</row>
    <row r="263" ht="14.2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</row>
    <row r="264" ht="14.2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</row>
    <row r="265" ht="14.2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</row>
    <row r="266" ht="14.2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</row>
    <row r="267" ht="14.2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</row>
    <row r="268" ht="14.2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</row>
    <row r="269" ht="14.2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</row>
    <row r="270" ht="14.2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</row>
    <row r="271" ht="14.2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</row>
    <row r="272" ht="14.2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</row>
    <row r="273" ht="14.2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</row>
    <row r="274" ht="14.2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</row>
    <row r="275" ht="14.2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</row>
    <row r="276" ht="14.2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</row>
    <row r="277" ht="14.2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</row>
    <row r="278" ht="14.2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</row>
    <row r="279" ht="14.2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</row>
    <row r="280" ht="14.2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</row>
    <row r="281" ht="14.2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</row>
    <row r="282" ht="14.2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</row>
    <row r="283" ht="14.2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</row>
    <row r="284" ht="14.2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</row>
    <row r="285" ht="14.2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</row>
    <row r="286" ht="14.2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</row>
    <row r="287" ht="14.2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</row>
    <row r="288" ht="14.2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</row>
    <row r="289" ht="14.2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</row>
    <row r="290" ht="14.2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</row>
    <row r="291" ht="14.2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</row>
    <row r="292" ht="14.2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</row>
    <row r="293" ht="14.2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</row>
    <row r="294" ht="14.2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</row>
    <row r="295" ht="14.2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</row>
    <row r="296" ht="14.2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</row>
    <row r="297" ht="14.2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</row>
    <row r="298" ht="14.2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</row>
    <row r="299" ht="14.2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</row>
    <row r="300" ht="14.2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</row>
    <row r="301" ht="14.2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</row>
    <row r="302" ht="14.2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</row>
    <row r="303" ht="14.2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</row>
    <row r="304" ht="14.2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</row>
    <row r="305" ht="14.2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</row>
    <row r="306" ht="14.2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</row>
    <row r="307" ht="14.2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</row>
    <row r="308" ht="14.2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</row>
    <row r="309" ht="14.2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</row>
    <row r="310" ht="14.2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</row>
    <row r="311" ht="14.2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</row>
    <row r="312" ht="14.2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</row>
    <row r="313" ht="14.2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</row>
    <row r="314" ht="14.2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</row>
    <row r="315" ht="14.2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</row>
    <row r="316" ht="14.2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</row>
    <row r="317" ht="14.2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</row>
    <row r="318" ht="14.2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</row>
    <row r="319" ht="14.2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</row>
    <row r="320" ht="14.2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</row>
    <row r="321" ht="14.2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</row>
    <row r="322" ht="14.2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</row>
    <row r="323" ht="14.2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</row>
    <row r="324" ht="14.2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</row>
    <row r="325" ht="14.2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</row>
    <row r="326" ht="14.2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</row>
    <row r="327" ht="14.2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</row>
    <row r="328" ht="14.2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</row>
    <row r="329" ht="14.2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</row>
    <row r="330" ht="14.2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</row>
    <row r="331" ht="14.2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</row>
    <row r="332" ht="14.2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</row>
    <row r="333" ht="14.2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</row>
    <row r="334" ht="14.2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</row>
    <row r="335" ht="14.2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</row>
    <row r="336" ht="14.2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</row>
    <row r="337" ht="14.2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</row>
    <row r="338" ht="14.2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</row>
    <row r="339" ht="14.2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</row>
    <row r="340" ht="14.2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</row>
    <row r="341" ht="14.2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</row>
    <row r="342" ht="14.2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</row>
    <row r="343" ht="14.2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</row>
    <row r="344" ht="14.2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</row>
    <row r="345" ht="14.2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</row>
    <row r="346" ht="14.2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</row>
    <row r="347" ht="14.2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</row>
    <row r="348" ht="14.2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</row>
    <row r="349" ht="14.2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</row>
    <row r="350" ht="14.2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</row>
    <row r="351" ht="14.2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</row>
    <row r="352" ht="14.2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</row>
    <row r="353" ht="14.2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</row>
    <row r="354" ht="14.2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</row>
    <row r="355" ht="14.2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</row>
    <row r="356" ht="14.2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</row>
    <row r="357" ht="14.2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</row>
    <row r="358" ht="14.2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</row>
    <row r="359" ht="14.2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</row>
    <row r="360" ht="14.2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</row>
    <row r="361" ht="14.2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</row>
    <row r="362" ht="14.2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</row>
    <row r="363" ht="14.2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</row>
    <row r="364" ht="14.2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</row>
    <row r="365" ht="14.2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</row>
    <row r="366" ht="14.2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</row>
    <row r="367" ht="14.2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</row>
    <row r="368" ht="14.2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</row>
    <row r="369" ht="14.2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</row>
    <row r="370" ht="14.2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</row>
    <row r="371" ht="14.2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</row>
    <row r="372" ht="14.2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</row>
    <row r="373" ht="14.2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</row>
    <row r="374" ht="14.2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</row>
    <row r="375" ht="14.2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</row>
    <row r="376" ht="14.2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</row>
    <row r="377" ht="14.2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</row>
    <row r="378" ht="14.2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</row>
    <row r="379" ht="14.2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</row>
    <row r="380" ht="14.2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</row>
    <row r="381" ht="14.2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</row>
    <row r="382" ht="14.2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</row>
    <row r="383" ht="14.2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</row>
    <row r="384" ht="14.2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</row>
    <row r="385" ht="14.2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</row>
    <row r="386" ht="14.2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</row>
    <row r="387" ht="14.2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</row>
    <row r="388" ht="14.2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</row>
    <row r="389" ht="14.2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</row>
    <row r="390" ht="14.2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</row>
    <row r="391" ht="14.2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</row>
    <row r="392" ht="14.2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</row>
    <row r="393" ht="14.2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</row>
    <row r="394" ht="14.2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</row>
    <row r="395" ht="14.2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</row>
    <row r="396" ht="14.2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</row>
    <row r="397" ht="14.2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</row>
    <row r="398" ht="14.2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</row>
    <row r="399" ht="14.2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</row>
    <row r="400" ht="14.2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</row>
    <row r="401" ht="14.2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</row>
    <row r="402" ht="14.2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</row>
    <row r="403" ht="14.2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</row>
    <row r="404" ht="14.2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</row>
    <row r="405" ht="14.2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</row>
    <row r="406" ht="14.2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</row>
    <row r="407" ht="14.2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</row>
    <row r="408" ht="14.2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</row>
    <row r="409" ht="14.2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</row>
    <row r="410" ht="14.2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</row>
    <row r="411" ht="14.2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</row>
    <row r="412" ht="14.2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</row>
    <row r="413" ht="14.2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</row>
    <row r="414" ht="14.2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</row>
    <row r="415" ht="14.2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</row>
    <row r="416" ht="14.2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</row>
    <row r="417" ht="14.2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</row>
    <row r="418" ht="14.2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</row>
    <row r="419" ht="14.2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</row>
    <row r="420" ht="14.2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</row>
    <row r="421" ht="14.2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</row>
    <row r="422" ht="14.2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</row>
    <row r="423" ht="14.2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</row>
    <row r="424" ht="14.2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</row>
    <row r="425" ht="14.2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</row>
    <row r="426" ht="14.2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</row>
    <row r="427" ht="14.2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</row>
    <row r="428" ht="14.2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</row>
    <row r="429" ht="14.2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</row>
    <row r="430" ht="14.2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</row>
    <row r="431" ht="14.2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</row>
    <row r="432" ht="14.2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</row>
    <row r="433" ht="14.2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</row>
    <row r="434" ht="14.2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</row>
    <row r="435" ht="14.2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</row>
    <row r="436" ht="14.2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</row>
    <row r="437" ht="14.2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</row>
    <row r="438" ht="14.2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</row>
    <row r="439" ht="14.2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</row>
    <row r="440" ht="14.2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</row>
    <row r="441" ht="14.2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</row>
    <row r="442" ht="14.2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</row>
    <row r="443" ht="14.2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</row>
    <row r="444" ht="14.2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</row>
    <row r="445" ht="14.2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</row>
    <row r="446" ht="14.2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</row>
    <row r="447" ht="14.2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</row>
    <row r="448" ht="14.2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</row>
    <row r="449" ht="14.2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</row>
    <row r="450" ht="14.2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</row>
    <row r="451" ht="14.2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</row>
    <row r="452" ht="14.2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</row>
    <row r="453" ht="14.2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</row>
    <row r="454" ht="14.2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</row>
    <row r="455" ht="14.2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</row>
    <row r="456" ht="14.2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</row>
    <row r="457" ht="14.2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</row>
    <row r="458" ht="14.2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</row>
    <row r="459" ht="14.2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</row>
    <row r="460" ht="14.2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</row>
    <row r="461" ht="14.2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</row>
    <row r="462" ht="14.2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</row>
    <row r="463" ht="14.2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</row>
    <row r="464" ht="14.2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</row>
    <row r="465" ht="14.2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</row>
    <row r="466" ht="14.2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</row>
    <row r="467" ht="14.2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</row>
    <row r="468" ht="14.2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</row>
    <row r="469" ht="14.2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</row>
    <row r="470" ht="14.2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</row>
    <row r="471" ht="14.2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</row>
    <row r="472" ht="14.2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</row>
    <row r="473" ht="14.2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</row>
    <row r="474" ht="14.2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</row>
    <row r="475" ht="14.2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</row>
    <row r="476" ht="14.2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</row>
    <row r="477" ht="14.2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</row>
    <row r="478" ht="14.2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</row>
    <row r="479" ht="14.2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</row>
    <row r="480" ht="14.2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</row>
    <row r="481" ht="14.2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</row>
    <row r="482" ht="14.2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</row>
    <row r="483" ht="14.2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</row>
    <row r="484" ht="14.2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</row>
    <row r="485" ht="14.2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</row>
    <row r="486" ht="14.2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</row>
    <row r="487" ht="14.2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</row>
    <row r="488" ht="14.2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</row>
    <row r="489" ht="14.2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</row>
    <row r="490" ht="14.2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</row>
    <row r="491" ht="14.2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</row>
    <row r="492" ht="14.2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</row>
    <row r="493" ht="14.2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</row>
    <row r="494" ht="14.2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ht="14.2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</row>
    <row r="496" ht="14.2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</row>
    <row r="497" ht="14.2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</row>
    <row r="498" ht="14.2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</row>
    <row r="499" ht="14.2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</row>
    <row r="500" ht="14.2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</row>
    <row r="501" ht="14.2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</row>
    <row r="502" ht="14.2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</row>
    <row r="503" ht="14.2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</row>
    <row r="504" ht="14.2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</row>
    <row r="505" ht="14.2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</row>
    <row r="506" ht="14.2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</row>
    <row r="507" ht="14.2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</row>
    <row r="508" ht="14.2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</row>
    <row r="509" ht="14.2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</row>
    <row r="510" ht="14.2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</row>
    <row r="511" ht="14.2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</row>
    <row r="512" ht="14.2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</row>
    <row r="513" ht="14.2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</row>
    <row r="514" ht="14.2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</row>
    <row r="515" ht="14.2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</row>
    <row r="516" ht="14.2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</row>
    <row r="517" ht="14.2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</row>
    <row r="518" ht="14.2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</row>
    <row r="519" ht="14.2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</row>
    <row r="520" ht="14.2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</row>
    <row r="521" ht="14.2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</row>
    <row r="522" ht="14.2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</row>
    <row r="523" ht="14.2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</row>
    <row r="524" ht="14.2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</row>
    <row r="525" ht="14.2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</row>
    <row r="526" ht="14.2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</row>
    <row r="527" ht="14.2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</row>
    <row r="528" ht="14.2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</row>
    <row r="529" ht="14.2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</row>
    <row r="530" ht="14.2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</row>
    <row r="531" ht="14.2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</row>
    <row r="532" ht="14.2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</row>
    <row r="533" ht="14.2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</row>
    <row r="534" ht="14.2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</row>
    <row r="535" ht="14.2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</row>
    <row r="536" ht="14.2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</row>
    <row r="537" ht="14.2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</row>
    <row r="538" ht="14.2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</row>
    <row r="539" ht="14.2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</row>
    <row r="540" ht="14.2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</row>
    <row r="541" ht="14.2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</row>
    <row r="542" ht="14.2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</row>
    <row r="543" ht="14.2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</row>
    <row r="544" ht="14.2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</row>
    <row r="545" ht="14.2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</row>
    <row r="546" ht="14.2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</row>
    <row r="547" ht="14.2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</row>
    <row r="548" ht="14.2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</row>
    <row r="549" ht="14.2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</row>
    <row r="550" ht="14.2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</row>
    <row r="551" ht="14.2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</row>
    <row r="552" ht="14.2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</row>
    <row r="553" ht="14.2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</row>
    <row r="554" ht="14.2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</row>
    <row r="555" ht="14.2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</row>
    <row r="556" ht="14.2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</row>
    <row r="557" ht="14.2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</row>
    <row r="558" ht="14.2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</row>
    <row r="559" ht="14.2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</row>
    <row r="560" ht="14.2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</row>
    <row r="561" ht="14.2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</row>
    <row r="562" ht="14.2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</row>
    <row r="563" ht="14.2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</row>
    <row r="564" ht="14.2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</row>
    <row r="565" ht="14.2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</row>
    <row r="566" ht="14.2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</row>
    <row r="567" ht="14.2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</row>
    <row r="568" ht="14.2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</row>
    <row r="569" ht="14.2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</row>
    <row r="570" ht="14.2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</row>
    <row r="571" ht="14.2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</row>
    <row r="572" ht="14.2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</row>
    <row r="573" ht="14.2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</row>
    <row r="574" ht="14.2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</row>
    <row r="575" ht="14.2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</row>
    <row r="576" ht="14.2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</row>
    <row r="577" ht="14.2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</row>
    <row r="578" ht="14.2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</row>
    <row r="579" ht="14.2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</row>
    <row r="580" ht="14.2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</row>
    <row r="581" ht="14.2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</row>
    <row r="582" ht="14.2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</row>
    <row r="583" ht="14.2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</row>
    <row r="584" ht="14.2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</row>
    <row r="585" ht="14.2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</row>
    <row r="586" ht="14.2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</row>
    <row r="587" ht="14.2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</row>
    <row r="588" ht="14.2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</row>
    <row r="589" ht="14.2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</row>
    <row r="590" ht="14.2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</row>
    <row r="591" ht="14.2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</row>
    <row r="592" ht="14.2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</row>
    <row r="593" ht="14.2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</row>
    <row r="594" ht="14.2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</row>
    <row r="595" ht="14.2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</row>
    <row r="596" ht="14.2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</row>
    <row r="597" ht="14.2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</row>
    <row r="598" ht="14.2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</row>
    <row r="599" ht="14.2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</row>
    <row r="600" ht="14.2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</row>
    <row r="601" ht="14.2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</row>
    <row r="602" ht="14.2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</row>
    <row r="603" ht="14.2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</row>
    <row r="604" ht="14.2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</row>
    <row r="605" ht="14.2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</row>
    <row r="606" ht="14.2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</row>
    <row r="607" ht="14.2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</row>
    <row r="608" ht="14.2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</row>
    <row r="609" ht="14.2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</row>
    <row r="610" ht="14.2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</row>
    <row r="611" ht="14.2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</row>
    <row r="612" ht="14.2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</row>
    <row r="613" ht="14.2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</row>
    <row r="614" ht="14.2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</row>
    <row r="615" ht="14.2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</row>
    <row r="616" ht="14.2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</row>
    <row r="617" ht="14.2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</row>
    <row r="618" ht="14.2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</row>
    <row r="619" ht="14.2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</row>
    <row r="620" ht="14.2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</row>
    <row r="621" ht="14.2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</row>
    <row r="622" ht="14.2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</row>
    <row r="623" ht="14.2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</row>
    <row r="624" ht="14.2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</row>
    <row r="625" ht="14.2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</row>
    <row r="626" ht="14.2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</row>
    <row r="627" ht="14.2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</row>
    <row r="628" ht="14.2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</row>
    <row r="629" ht="14.2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</row>
    <row r="630" ht="14.2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</row>
    <row r="631" ht="14.2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</row>
    <row r="632" ht="14.2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</row>
    <row r="633" ht="14.2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</row>
    <row r="634" ht="14.2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</row>
    <row r="635" ht="14.2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</row>
    <row r="636" ht="14.2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</row>
    <row r="637" ht="14.2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</row>
    <row r="638" ht="14.2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</row>
    <row r="639" ht="14.2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</row>
    <row r="640" ht="14.2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</row>
    <row r="641" ht="14.2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</row>
    <row r="642" ht="14.2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</row>
    <row r="643" ht="14.2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</row>
    <row r="644" ht="14.2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</row>
    <row r="645" ht="14.2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</row>
    <row r="646" ht="14.2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</row>
    <row r="647" ht="14.2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</row>
    <row r="648" ht="14.2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</row>
    <row r="649" ht="14.2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</row>
    <row r="650" ht="14.2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</row>
    <row r="651" ht="14.2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</row>
    <row r="652" ht="14.2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</row>
    <row r="653" ht="14.2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</row>
    <row r="654" ht="14.2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</row>
    <row r="655" ht="14.2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</row>
    <row r="656" ht="14.2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</row>
    <row r="657" ht="14.2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</row>
    <row r="658" ht="14.2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</row>
    <row r="659" ht="14.2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</row>
    <row r="660" ht="14.2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</row>
    <row r="661" ht="14.2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</row>
    <row r="662" ht="14.2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</row>
    <row r="663" ht="14.2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</row>
    <row r="664" ht="14.2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</row>
    <row r="665" ht="14.2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</row>
    <row r="666" ht="14.2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</row>
    <row r="667" ht="14.2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</row>
    <row r="668" ht="14.2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</row>
    <row r="669" ht="14.2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</row>
    <row r="670" ht="14.2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</row>
    <row r="671" ht="14.2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</row>
    <row r="672" ht="14.2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</row>
    <row r="673" ht="14.2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</row>
    <row r="674" ht="14.2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</row>
    <row r="675" ht="14.2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</row>
    <row r="676" ht="14.2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</row>
    <row r="677" ht="14.2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</row>
    <row r="678" ht="14.2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</row>
    <row r="679" ht="14.2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</row>
    <row r="680" ht="14.2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</row>
    <row r="681" ht="14.2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</row>
    <row r="682" ht="14.2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</row>
    <row r="683" ht="14.2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</row>
    <row r="684" ht="14.2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</row>
    <row r="685" ht="14.2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</row>
    <row r="686" ht="14.2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</row>
    <row r="687" ht="14.2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</row>
    <row r="688" ht="14.2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</row>
    <row r="689" ht="14.2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</row>
    <row r="690" ht="14.2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</row>
    <row r="691" ht="14.2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</row>
    <row r="692" ht="14.2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</row>
    <row r="693" ht="14.2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</row>
    <row r="694" ht="14.2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</row>
    <row r="695" ht="14.2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</row>
    <row r="696" ht="14.2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</row>
    <row r="697" ht="14.2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</row>
    <row r="698" ht="14.2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</row>
    <row r="699" ht="14.2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</row>
    <row r="700" ht="14.2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</row>
    <row r="701" ht="14.2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</row>
    <row r="702" ht="14.2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</row>
    <row r="703" ht="14.2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</row>
    <row r="704" ht="14.2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</row>
    <row r="705" ht="14.2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</row>
    <row r="706" ht="14.2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</row>
    <row r="707" ht="14.2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</row>
    <row r="708" ht="14.2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</row>
    <row r="709" ht="14.2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</row>
    <row r="710" ht="14.2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</row>
    <row r="711" ht="14.2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</row>
    <row r="712" ht="14.2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</row>
    <row r="713" ht="14.2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</row>
    <row r="714" ht="14.2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</row>
    <row r="715" ht="14.2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</row>
    <row r="716" ht="14.2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</row>
    <row r="717" ht="14.2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</row>
    <row r="718" ht="14.2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</row>
    <row r="719" ht="14.2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</row>
    <row r="720" ht="14.2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</row>
    <row r="721" ht="14.2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</row>
    <row r="722" ht="14.2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</row>
    <row r="723" ht="14.2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</row>
    <row r="724" ht="14.2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</row>
    <row r="725" ht="14.2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</row>
    <row r="726" ht="14.2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</row>
    <row r="727" ht="14.2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</row>
    <row r="728" ht="14.2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</row>
    <row r="729" ht="14.2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</row>
    <row r="730" ht="14.2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</row>
    <row r="731" ht="14.2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</row>
    <row r="732" ht="14.2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</row>
    <row r="733" ht="14.2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</row>
    <row r="734" ht="14.2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</row>
    <row r="735" ht="14.2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</row>
    <row r="736" ht="14.2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</row>
    <row r="737" ht="14.2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</row>
    <row r="738" ht="14.2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</row>
    <row r="739" ht="14.2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</row>
    <row r="740" ht="14.2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</row>
    <row r="741" ht="14.2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</row>
    <row r="742" ht="14.2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</row>
    <row r="743" ht="14.2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</row>
    <row r="744" ht="14.2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</row>
    <row r="745" ht="14.2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</row>
    <row r="746" ht="14.2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</row>
    <row r="747" ht="14.2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</row>
    <row r="748" ht="14.2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</row>
    <row r="749" ht="14.2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</row>
    <row r="750" ht="14.2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</row>
    <row r="751" ht="14.2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</row>
    <row r="752" ht="14.2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</row>
    <row r="753" ht="14.2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</row>
    <row r="754" ht="14.2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</row>
    <row r="755" ht="14.2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</row>
    <row r="756" ht="14.2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</row>
    <row r="757" ht="14.2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</row>
    <row r="758" ht="14.2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</row>
    <row r="759" ht="14.2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</row>
    <row r="760" ht="14.2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</row>
    <row r="761" ht="14.2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</row>
    <row r="762" ht="14.2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</row>
    <row r="763" ht="14.2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</row>
    <row r="764" ht="14.2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</row>
    <row r="765" ht="14.2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</row>
    <row r="766" ht="14.2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</row>
    <row r="767" ht="14.2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</row>
    <row r="768" ht="14.2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</row>
    <row r="769" ht="14.2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</row>
    <row r="770" ht="14.2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</row>
    <row r="771" ht="14.2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</row>
    <row r="772" ht="14.2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</row>
    <row r="773" ht="14.2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</row>
    <row r="774" ht="14.2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</row>
    <row r="775" ht="14.2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</row>
    <row r="776" ht="14.2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</row>
    <row r="777" ht="14.2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</row>
    <row r="778" ht="14.2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</row>
    <row r="779" ht="14.2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</row>
    <row r="780" ht="14.2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</row>
    <row r="781" ht="14.2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</row>
    <row r="782" ht="14.2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</row>
    <row r="783" ht="14.2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</row>
    <row r="784" ht="14.2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</row>
    <row r="785" ht="14.2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</row>
    <row r="786" ht="14.2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</row>
    <row r="787" ht="14.2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</row>
    <row r="788" ht="14.2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</row>
    <row r="789" ht="14.2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</row>
    <row r="790" ht="14.2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</row>
    <row r="791" ht="14.2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</row>
    <row r="792" ht="14.2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</row>
    <row r="793" ht="14.2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</row>
    <row r="794" ht="14.2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</row>
    <row r="795" ht="14.2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</row>
    <row r="796" ht="14.2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</row>
    <row r="797" ht="14.2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</row>
    <row r="798" ht="14.2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</row>
    <row r="799" ht="14.2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</row>
    <row r="800" ht="14.2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</row>
    <row r="801" ht="14.2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</row>
    <row r="802" ht="14.2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</row>
    <row r="803" ht="14.2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</row>
    <row r="804" ht="14.2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</row>
    <row r="805" ht="14.2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</row>
    <row r="806" ht="14.2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</row>
    <row r="807" ht="14.2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</row>
    <row r="808" ht="14.2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</row>
    <row r="809" ht="14.2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</row>
    <row r="810" ht="14.2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</row>
    <row r="811" ht="14.2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</row>
    <row r="812" ht="14.2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</row>
    <row r="813" ht="14.2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</row>
    <row r="814" ht="14.2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</row>
    <row r="815" ht="14.2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</row>
    <row r="816" ht="14.2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</row>
    <row r="817" ht="14.2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</row>
    <row r="818" ht="14.2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</row>
    <row r="819" ht="14.2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</row>
    <row r="820" ht="14.2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</row>
    <row r="821" ht="14.2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</row>
    <row r="822" ht="14.2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</row>
    <row r="823" ht="14.2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</row>
    <row r="824" ht="14.2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</row>
    <row r="825" ht="14.2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</row>
    <row r="826" ht="14.2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</row>
    <row r="827" ht="14.2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</row>
    <row r="828" ht="14.2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</row>
    <row r="829" ht="14.2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</row>
    <row r="830" ht="14.2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</row>
    <row r="831" ht="14.2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</row>
    <row r="832" ht="14.2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</row>
    <row r="833" ht="14.2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</row>
    <row r="834" ht="14.2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</row>
    <row r="835" ht="14.2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</row>
    <row r="836" ht="14.2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</row>
    <row r="837" ht="14.2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</row>
    <row r="838" ht="14.2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</row>
    <row r="839" ht="14.2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</row>
    <row r="840" ht="14.2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</row>
    <row r="841" ht="14.2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</row>
    <row r="842" ht="14.2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</row>
    <row r="843" ht="14.2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</row>
    <row r="844" ht="14.2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</row>
    <row r="845" ht="14.2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</row>
    <row r="846" ht="14.2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</row>
    <row r="847" ht="14.2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</row>
    <row r="848" ht="14.2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</row>
    <row r="849" ht="14.2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</row>
    <row r="850" ht="14.2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</row>
    <row r="851" ht="14.2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</row>
    <row r="852" ht="14.2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</row>
    <row r="853" ht="14.2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</row>
    <row r="854" ht="14.2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</row>
    <row r="855" ht="14.2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</row>
    <row r="856" ht="14.2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</row>
    <row r="857" ht="14.2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</row>
    <row r="858" ht="14.2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</row>
    <row r="859" ht="14.2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</row>
    <row r="860" ht="14.2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</row>
    <row r="861" ht="14.2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</row>
    <row r="862" ht="14.2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</row>
    <row r="863" ht="14.2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</row>
    <row r="864" ht="14.2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</row>
    <row r="865" ht="14.2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</row>
    <row r="866" ht="14.2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</row>
    <row r="867" ht="14.2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</row>
    <row r="868" ht="14.2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</row>
    <row r="869" ht="14.2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</row>
    <row r="870" ht="14.2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</row>
    <row r="871" ht="14.2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</row>
    <row r="872" ht="14.2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</row>
    <row r="873" ht="14.2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</row>
    <row r="874" ht="14.2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</row>
    <row r="875" ht="14.2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</row>
    <row r="876" ht="14.2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</row>
    <row r="877" ht="14.2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</row>
    <row r="878" ht="14.2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</row>
    <row r="879" ht="14.2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</row>
    <row r="880" ht="14.2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</row>
    <row r="881" ht="14.2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</row>
    <row r="882" ht="14.2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</row>
    <row r="883" ht="14.2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</row>
    <row r="884" ht="14.2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</row>
    <row r="885" ht="14.2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</row>
    <row r="886" ht="14.2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</row>
    <row r="887" ht="14.2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</row>
    <row r="888" ht="14.2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</row>
    <row r="889" ht="14.2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</row>
    <row r="890" ht="14.2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</row>
    <row r="891" ht="14.2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</row>
    <row r="892" ht="14.2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</row>
    <row r="893" ht="14.2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</row>
    <row r="894" ht="14.2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</row>
    <row r="895" ht="14.2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</row>
    <row r="896" ht="14.2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</row>
    <row r="897" ht="14.2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</row>
    <row r="898" ht="14.2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</row>
    <row r="899" ht="14.2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</row>
    <row r="900" ht="14.2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</row>
    <row r="901" ht="14.2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</row>
    <row r="902" ht="14.2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</row>
    <row r="903" ht="14.2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</row>
    <row r="904" ht="14.2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</row>
    <row r="905" ht="14.2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</row>
    <row r="906" ht="14.2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</row>
    <row r="907" ht="14.2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</row>
    <row r="908" ht="14.2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</row>
    <row r="909" ht="14.2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</row>
    <row r="910" ht="14.2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</row>
    <row r="911" ht="14.2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</row>
    <row r="912" ht="14.2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</row>
    <row r="913" ht="14.2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</row>
    <row r="914" ht="14.2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</row>
    <row r="915" ht="14.2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</row>
    <row r="916" ht="14.2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</row>
    <row r="917" ht="14.2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</row>
    <row r="918" ht="14.2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</row>
    <row r="919" ht="14.2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</row>
    <row r="920" ht="14.2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</row>
    <row r="921" ht="14.2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</row>
    <row r="922" ht="14.2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</row>
    <row r="923" ht="14.2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</row>
    <row r="924" ht="14.2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</row>
    <row r="925" ht="14.2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</row>
    <row r="926" ht="14.2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</row>
    <row r="927" ht="14.2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</row>
    <row r="928" ht="14.2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</row>
    <row r="929" ht="14.2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</row>
    <row r="930" ht="14.2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</row>
    <row r="931" ht="14.2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</row>
    <row r="932" ht="14.2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</row>
    <row r="933" ht="14.2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</row>
    <row r="934" ht="14.2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</row>
    <row r="935" ht="14.2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</row>
    <row r="936" ht="14.2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</row>
    <row r="937" ht="14.2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</row>
    <row r="938" ht="14.2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</row>
    <row r="939" ht="14.2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</row>
    <row r="940" ht="14.2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</row>
    <row r="941" ht="14.2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</row>
    <row r="942" ht="14.2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</row>
    <row r="943" ht="14.2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</row>
    <row r="944" ht="14.2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</row>
    <row r="945" ht="14.2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</row>
    <row r="946" ht="14.2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</row>
    <row r="947" ht="14.2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</row>
    <row r="948" ht="14.2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</row>
    <row r="949" ht="14.2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</row>
    <row r="950" ht="14.2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</row>
    <row r="951" ht="14.2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</row>
    <row r="952" ht="14.2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</row>
    <row r="953" ht="14.2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</row>
    <row r="954" ht="14.2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</row>
    <row r="955" ht="14.2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</row>
    <row r="956" ht="14.2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</row>
    <row r="957" ht="14.2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</row>
    <row r="958" ht="14.2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</row>
    <row r="959" ht="14.2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</row>
    <row r="960" ht="14.2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</row>
    <row r="961" ht="14.2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</row>
    <row r="962" ht="14.2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</row>
    <row r="963" ht="14.2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</row>
    <row r="964" ht="14.2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</row>
    <row r="965" ht="14.2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</row>
    <row r="966" ht="14.2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</row>
    <row r="967" ht="14.2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</row>
    <row r="968" ht="14.2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</row>
    <row r="969" ht="14.2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</row>
    <row r="970" ht="14.2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</row>
    <row r="971" ht="14.2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</row>
    <row r="972" ht="14.2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</row>
    <row r="973" ht="14.2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</row>
    <row r="974" ht="14.2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</row>
    <row r="975" ht="14.2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</row>
    <row r="976" ht="14.2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</row>
    <row r="977" ht="14.2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</row>
    <row r="978" ht="14.2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</row>
    <row r="979" ht="14.2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</row>
    <row r="980" ht="14.2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</row>
    <row r="981" ht="14.2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</row>
    <row r="982" ht="14.2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</row>
    <row r="983" ht="14.2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</row>
    <row r="984" ht="14.2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</row>
    <row r="985" ht="14.2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</row>
    <row r="986" ht="14.2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</row>
    <row r="987" ht="14.2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</row>
    <row r="988" ht="14.2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</row>
    <row r="989" ht="14.2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</row>
    <row r="990" ht="14.2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</row>
    <row r="991" ht="14.2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</row>
    <row r="992" ht="14.2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</row>
    <row r="993" ht="14.2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</row>
    <row r="994" ht="14.2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</row>
    <row r="995" ht="14.2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</row>
    <row r="996" ht="14.2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</row>
    <row r="997" ht="14.2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</row>
    <row r="998" ht="14.2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</row>
    <row r="999" ht="14.2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</row>
    <row r="1000" ht="14.2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2" t="s">
        <v>234</v>
      </c>
      <c r="B1" s="232" t="s">
        <v>235</v>
      </c>
      <c r="C1" s="232" t="s">
        <v>236</v>
      </c>
      <c r="D1" s="232" t="s">
        <v>237</v>
      </c>
      <c r="E1" s="232" t="s">
        <v>238</v>
      </c>
      <c r="F1" s="232" t="s">
        <v>239</v>
      </c>
      <c r="G1" s="233" t="s">
        <v>240</v>
      </c>
      <c r="H1" s="41"/>
      <c r="I1" s="41"/>
      <c r="J1" s="41"/>
      <c r="K1" s="41"/>
    </row>
    <row r="2" ht="19.5" customHeight="1">
      <c r="A2" s="90">
        <v>1.0</v>
      </c>
      <c r="B2" s="234">
        <v>10.0</v>
      </c>
      <c r="C2" s="235" t="s">
        <v>241</v>
      </c>
      <c r="D2" s="236">
        <v>0.63</v>
      </c>
      <c r="E2" s="208">
        <f>IF(Resum!$B$24=1,Resum!B25,0)</f>
        <v>0</v>
      </c>
      <c r="F2" s="237">
        <f t="shared" ref="F2:F6" si="1">D2*E2*12</f>
        <v>0</v>
      </c>
      <c r="G2" s="237">
        <f t="shared" ref="G2:G6" si="2">F2*0.4</f>
        <v>0</v>
      </c>
      <c r="H2" s="238"/>
      <c r="I2" s="166"/>
      <c r="J2" s="166"/>
      <c r="K2" s="166"/>
    </row>
    <row r="3" ht="19.5" customHeight="1">
      <c r="A3" s="90">
        <v>2.0</v>
      </c>
      <c r="B3" s="234">
        <v>100.0</v>
      </c>
      <c r="C3" s="235" t="s">
        <v>241</v>
      </c>
      <c r="D3" s="236">
        <v>6.3</v>
      </c>
      <c r="E3" s="208">
        <f>IF(Resum!$B$24=2,Resum!B25,0)</f>
        <v>0</v>
      </c>
      <c r="F3" s="237">
        <f t="shared" si="1"/>
        <v>0</v>
      </c>
      <c r="G3" s="237">
        <f t="shared" si="2"/>
        <v>0</v>
      </c>
      <c r="H3" s="194"/>
      <c r="I3" s="195"/>
      <c r="J3" s="195"/>
      <c r="K3" s="195"/>
    </row>
    <row r="4" ht="19.5" customHeight="1">
      <c r="A4" s="90">
        <v>3.0</v>
      </c>
      <c r="B4" s="234">
        <v>1000.0</v>
      </c>
      <c r="C4" s="235" t="s">
        <v>241</v>
      </c>
      <c r="D4" s="236">
        <v>63.0</v>
      </c>
      <c r="E4" s="208">
        <f>IF(Resum!$B$24=3,Resum!B25,0)</f>
        <v>0</v>
      </c>
      <c r="F4" s="237">
        <f t="shared" si="1"/>
        <v>0</v>
      </c>
      <c r="G4" s="237">
        <f t="shared" si="2"/>
        <v>0</v>
      </c>
      <c r="H4" s="194"/>
      <c r="I4" s="195"/>
      <c r="J4" s="195"/>
      <c r="K4" s="195"/>
    </row>
    <row r="5" ht="19.5" customHeight="1">
      <c r="A5" s="90">
        <v>4.0</v>
      </c>
      <c r="B5" s="234">
        <v>10000.0</v>
      </c>
      <c r="C5" s="235" t="s">
        <v>242</v>
      </c>
      <c r="D5" s="236">
        <v>630.0</v>
      </c>
      <c r="E5" s="208">
        <f>IF(Resum!$B$24=4,Resum!B25,0)</f>
        <v>2</v>
      </c>
      <c r="F5" s="237">
        <f t="shared" si="1"/>
        <v>15120</v>
      </c>
      <c r="G5" s="237">
        <f t="shared" si="2"/>
        <v>6048</v>
      </c>
      <c r="H5" s="194"/>
      <c r="I5" s="195"/>
      <c r="J5" s="195"/>
      <c r="K5" s="195"/>
    </row>
    <row r="6" ht="31.5" customHeight="1">
      <c r="A6" s="90">
        <v>5.0</v>
      </c>
      <c r="B6" s="234">
        <v>100000.0</v>
      </c>
      <c r="C6" s="235" t="s">
        <v>243</v>
      </c>
      <c r="D6" s="236">
        <v>6300.0</v>
      </c>
      <c r="E6" s="208">
        <f>IF(Resum!$B$24=5,Resum!B25,0)</f>
        <v>0</v>
      </c>
      <c r="F6" s="237">
        <f t="shared" si="1"/>
        <v>0</v>
      </c>
      <c r="G6" s="237">
        <f t="shared" si="2"/>
        <v>0</v>
      </c>
      <c r="H6" s="194"/>
      <c r="I6" s="195"/>
      <c r="J6" s="195"/>
      <c r="K6" s="195"/>
    </row>
    <row r="7" ht="16.5" customHeight="1">
      <c r="A7" s="239"/>
      <c r="B7" s="191"/>
      <c r="C7" s="191"/>
      <c r="D7" s="191"/>
      <c r="E7" s="240" t="s">
        <v>102</v>
      </c>
      <c r="F7" s="241">
        <f>SUM(F2:F6)</f>
        <v>15120</v>
      </c>
      <c r="G7" s="241">
        <f>IF(Resum!B20=3,SUM(G2:G6),0)</f>
        <v>6048</v>
      </c>
      <c r="H7" s="195"/>
      <c r="I7" s="195"/>
      <c r="J7" s="195"/>
      <c r="K7" s="195"/>
    </row>
    <row r="8" ht="16.5" customHeight="1">
      <c r="A8" s="195"/>
      <c r="B8" s="195"/>
      <c r="C8" s="195"/>
      <c r="D8" s="195"/>
      <c r="E8" s="195"/>
      <c r="F8" s="206"/>
      <c r="G8" s="195"/>
      <c r="H8" s="195"/>
      <c r="I8" s="195"/>
      <c r="J8" s="195"/>
      <c r="K8" s="195"/>
    </row>
    <row r="9" ht="16.5" customHeight="1">
      <c r="A9" s="195"/>
      <c r="B9" s="195"/>
      <c r="C9" s="195"/>
      <c r="D9" s="195"/>
      <c r="E9" s="195"/>
      <c r="F9" s="241">
        <f>IF(Resum!B26=0,F7,F7+G7)</f>
        <v>21168</v>
      </c>
      <c r="G9" s="195"/>
      <c r="H9" s="195"/>
      <c r="I9" s="195"/>
      <c r="J9" s="195"/>
      <c r="K9" s="195"/>
    </row>
    <row r="10" ht="18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</row>
    <row r="11" ht="18.75" customHeigh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</row>
    <row r="12" ht="18.7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</row>
    <row r="13" ht="18.75" customHeight="1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</row>
    <row r="14" ht="15.7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</row>
    <row r="15" ht="15.7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</row>
    <row r="16" ht="15.7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</row>
    <row r="18" ht="15.7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ht="15.7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</row>
    <row r="20" ht="15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</row>
    <row r="29" ht="15.7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