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sheetId="1" r:id="rId4"/>
    <sheet state="visible" name="Info" sheetId="2" r:id="rId5"/>
  </sheets>
  <definedNames>
    <definedName hidden="1" localSheetId="0" name="_xlnm._FilterDatabase">Feedback!$A$1:$J$635</definedName>
    <definedName hidden="1" localSheetId="0" name="Z_5555ABA0_3D94_429F_B9AA_9B41D66E68F4_.wvu.FilterData">Feedback!$A$1:$J$999</definedName>
    <definedName hidden="1" localSheetId="0" name="Z_01903BD1_DE2B_46CB_940A_73479F2F1FC5_.wvu.FilterData">Feedback!$A$1:$J$41</definedName>
    <definedName hidden="1" localSheetId="0" name="Z_87B93A09_A684_42F5_9CEE_5724DBF3A071_.wvu.FilterData">Feedback!$A$1:$J$41</definedName>
  </definedNames>
  <calcPr/>
  <customWorkbookViews>
    <customWorkbookView activeSheetId="0" maximized="1" windowHeight="0" windowWidth="0" guid="{5555ABA0-3D94-429F-B9AA-9B41D66E68F4}" name="Filtros"/>
    <customWorkbookView activeSheetId="0" maximized="1" windowHeight="0" windowWidth="0" guid="{87B93A09-A684-42F5-9CEE-5724DBF3A071}" name="Filtro 1"/>
    <customWorkbookView activeSheetId="0" maximized="1" windowHeight="0" windowWidth="0" guid="{01903BD1-DE2B-46CB-940A-73479F2F1FC5}" name="Filtro 2"/>
  </customWorkbookViews>
</workbook>
</file>

<file path=xl/sharedStrings.xml><?xml version="1.0" encoding="utf-8"?>
<sst xmlns="http://schemas.openxmlformats.org/spreadsheetml/2006/main" count="2" uniqueCount="2">
  <si>
    <t>Agregar feedback desde:</t>
  </si>
  <si>
    <t>https://docs.google.com/forms/d/e/1FAIpQLSe7ahesmEzEjcSnt5k4vJsmyAX0oScfOUT9drgV54oZujEAzQ/viewform?usp=sf_link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</si>
</sst>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H:mm:ss"/>
  </numFmts>
  <fonts count="4">
    <font>
      <sz val="10.0"/>
      <color rgb="FF000000"/>
      <name val="Arial"/>
      <scheme val="minor"/>
    </font>
    <font>
      <color rgb="FFF3F3F3"/>
      <name val="Arial"/>
      <scheme val="minor"/>
    </font>
    <font>
      <color theme="1"/>
      <name val="Arial"/>
      <scheme val="minor"/>
    </font>
    <font>
      <u/>
      <color rgb="FF0000FF"/>
    </font>
  </fonts>
  <fills count="3">
    <fill>
      <patternFill patternType="none"/>
    </fill>
    <fill>
      <patternFill patternType="lightGray"/>
    </fill>
    <fill>
      <patternFill patternType="solid">
        <fgColor rgb="FF434343"/>
        <bgColor rgb="FF434343"/>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1" numFmtId="164" xfId="0" applyAlignment="1" applyFont="1" applyNumberFormat="1">
      <alignment horizontal="center" shrinkToFit="0" vertical="center" wrapText="1"/>
    </xf>
    <xf borderId="0" fillId="0" fontId="2" numFmtId="0" xfId="0" applyAlignment="1" applyFont="1">
      <alignment vertical="center"/>
    </xf>
    <xf borderId="0" fillId="0" fontId="2" numFmtId="164" xfId="0" applyAlignment="1" applyFont="1" applyNumberFormat="1">
      <alignment vertical="center"/>
    </xf>
    <xf borderId="0" fillId="0" fontId="2" numFmtId="0" xfId="0" applyAlignment="1" applyFont="1">
      <alignment shrinkToFit="0" vertical="center" wrapText="1"/>
    </xf>
    <xf borderId="0" fillId="0" fontId="2" numFmtId="0" xfId="0" applyFont="1"/>
    <xf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e/1FAIpQLSe7ahesmEzEjcSnt5k4vJsmyAX0oScfOUT9drgV54oZujEAzQ/viewform?usp=sf_link"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63"/>
    <col customWidth="1" min="3" max="4" width="12.13"/>
    <col customWidth="1" min="5" max="5" width="28.75"/>
    <col customWidth="1" min="6" max="6" width="15.13"/>
    <col customWidth="1" min="7" max="7" width="28.13"/>
    <col customWidth="1" min="8" max="8" width="23.63"/>
    <col customWidth="1" min="9" max="9" width="64.25"/>
    <col customWidth="1" min="10" max="10" width="25.75"/>
  </cols>
  <sheetData>
    <row r="1">
      <c r="A1" s="1" t="str">
        <f>IFERROR(__xludf.DUMMYFUNCTION("IMPORTRANGE(""https://docs.google.com/spreadsheets/d/1fBmDZ1N8RF6VDwcNC_sVvsuOAxC_I7q-E7CHTTJG6eQ/edit"", ""'Feedback :: PX | Referentes | RRHH'!A:J"")"),"#")</f>
        <v>#</v>
      </c>
      <c r="B1" s="2" t="str">
        <f>IFERROR(__xludf.DUMMYFUNCTION("""COMPUTED_VALUE"""),"User")</f>
        <v>User</v>
      </c>
      <c r="C1" s="3" t="str">
        <f>IFERROR(__xludf.DUMMYFUNCTION("""COMPUTED_VALUE"""),"Fecha reporte")</f>
        <v>Fecha reporte</v>
      </c>
      <c r="D1" s="3" t="str">
        <f>IFERROR(__xludf.DUMMYFUNCTION("""COMPUTED_VALUE"""),"Fecha entrevista")</f>
        <v>Fecha entrevista</v>
      </c>
      <c r="E1" s="2" t="str">
        <f>IFERROR(__xludf.DUMMYFUNCTION("""COMPUTED_VALUE"""),"Enviado por")</f>
        <v>Enviado por</v>
      </c>
      <c r="F1" s="2" t="str">
        <f>IFERROR(__xludf.DUMMYFUNCTION("""COMPUTED_VALUE"""),"Entrevistado")</f>
        <v>Entrevistado</v>
      </c>
      <c r="G1" s="2" t="str">
        <f>IFERROR(__xludf.DUMMYFUNCTION("""COMPUTED_VALUE"""),"Motivo")</f>
        <v>Motivo</v>
      </c>
      <c r="H1" s="2" t="str">
        <f>IFERROR(__xludf.DUMMYFUNCTION("""COMPUTED_VALUE"""),"Happiness")</f>
        <v>Happiness</v>
      </c>
      <c r="I1" s="2" t="str">
        <f>IFERROR(__xludf.DUMMYFUNCTION("""COMPUTED_VALUE"""),"Comentarios Generales")</f>
        <v>Comentarios Generales</v>
      </c>
      <c r="J1" s="2" t="str">
        <f>IFERROR(__xludf.DUMMYFUNCTION("""COMPUTED_VALUE"""),"Source")</f>
        <v>Source</v>
      </c>
    </row>
    <row r="2">
      <c r="A2" s="4">
        <f>IFERROR(__xludf.DUMMYFUNCTION("""COMPUTED_VALUE"""),41.0)</f>
        <v>41</v>
      </c>
      <c r="B2" s="4" t="str">
        <f>IFERROR(__xludf.DUMMYFUNCTION("""COMPUTED_VALUE"""),"ezequiel.cortes")</f>
        <v>ezequiel.cortes</v>
      </c>
      <c r="C2" s="5">
        <f>IFERROR(__xludf.DUMMYFUNCTION("""COMPUTED_VALUE"""),44831.55075364583)</f>
        <v>44831.55075</v>
      </c>
      <c r="D2" s="5">
        <f>IFERROR(__xludf.DUMMYFUNCTION("""COMPUTED_VALUE"""),44826.0)</f>
        <v>44826</v>
      </c>
      <c r="E2" s="4" t="str">
        <f>IFERROR(__xludf.DUMMYFUNCTION("""COMPUTED_VALUE"""),"javier.vergara@patagoniansys.com")</f>
        <v>javier.vergara@patagoniansys.com</v>
      </c>
      <c r="F2" s="4" t="str">
        <f>IFERROR(__xludf.DUMMYFUNCTION("""COMPUTED_VALUE"""),"ezequiel.cortes@patagoniansys.com")</f>
        <v>ezequiel.cortes@patagoniansys.com</v>
      </c>
      <c r="G2" s="4" t="str">
        <f>IFERROR(__xludf.DUMMYFUNCTION("""COMPUTED_VALUE"""),"👁 Revisión")</f>
        <v>👁 Revisión</v>
      </c>
      <c r="H2" s="4"/>
      <c r="I2" s="6"/>
      <c r="J2" s="4" t="str">
        <f>IFERROR(__xludf.DUMMYFUNCTION("""COMPUTED_VALUE"""),"TLs")</f>
        <v>TLs</v>
      </c>
    </row>
    <row r="3" hidden="1">
      <c r="A3" s="4">
        <f>IFERROR(__xludf.DUMMYFUNCTION("""COMPUTED_VALUE"""),275.0)</f>
        <v>275</v>
      </c>
      <c r="B3" s="4" t="str">
        <f>IFERROR(__xludf.DUMMYFUNCTION("""COMPUTED_VALUE"""),"elias.keller")</f>
        <v>elias.keller</v>
      </c>
      <c r="C3" s="5">
        <f>IFERROR(__xludf.DUMMYFUNCTION("""COMPUTED_VALUE"""),44851.473058298616)</f>
        <v>44851.47306</v>
      </c>
      <c r="D3" s="5">
        <f>IFERROR(__xludf.DUMMYFUNCTION("""COMPUTED_VALUE"""),44851.0)</f>
        <v>44851</v>
      </c>
      <c r="E3" s="4" t="str">
        <f>IFERROR(__xludf.DUMMYFUNCTION("""COMPUTED_VALUE"""),"eduardo.cuomo@patagoniansys.com")</f>
        <v>eduardo.cuomo@patagoniansys.com</v>
      </c>
      <c r="F3" s="4" t="str">
        <f>IFERROR(__xludf.DUMMYFUNCTION("""COMPUTED_VALUE"""),"elias.keller@patagoniansys.com")</f>
        <v>elias.keller@patagoniansys.com</v>
      </c>
      <c r="G3" s="4" t="str">
        <f>IFERROR(__xludf.DUMMYFUNCTION("""COMPUTED_VALUE"""),"🌀 Ocasional")</f>
        <v>🌀 Ocasional</v>
      </c>
      <c r="H3" s="4"/>
      <c r="I3" s="6"/>
      <c r="J3" s="4" t="str">
        <f>IFERROR(__xludf.DUMMYFUNCTION("""COMPUTED_VALUE"""),"PX|Referents|RRHH")</f>
        <v>PX|Referents|RRHH</v>
      </c>
    </row>
    <row r="4">
      <c r="A4" s="4">
        <f>IFERROR(__xludf.DUMMYFUNCTION("""COMPUTED_VALUE"""),9.0)</f>
        <v>9</v>
      </c>
      <c r="B4" s="7" t="str">
        <f>IFERROR(__xludf.DUMMYFUNCTION("""COMPUTED_VALUE"""),"eduardo.cuomo")</f>
        <v>eduardo.cuomo</v>
      </c>
      <c r="C4" s="5">
        <f>IFERROR(__xludf.DUMMYFUNCTION("""COMPUTED_VALUE"""),44875.501359444446)</f>
        <v>44875.50136</v>
      </c>
      <c r="D4" s="5">
        <f>IFERROR(__xludf.DUMMYFUNCTION("""COMPUTED_VALUE"""),44875.0)</f>
        <v>44875</v>
      </c>
      <c r="E4" s="4" t="str">
        <f>IFERROR(__xludf.DUMMYFUNCTION("""COMPUTED_VALUE"""),"eduardo.cuomo@patagoniansys.com")</f>
        <v>eduardo.cuomo@patagoniansys.com</v>
      </c>
      <c r="F4" s="4" t="str">
        <f>IFERROR(__xludf.DUMMYFUNCTION("""COMPUTED_VALUE"""),"eduardo.cuomo@patagonian.com")</f>
        <v>eduardo.cuomo@patagonian.com</v>
      </c>
      <c r="G4" s="4" t="str">
        <f>IFERROR(__xludf.DUMMYFUNCTION("""COMPUTED_VALUE"""),"Initial gathering")</f>
        <v>Initial gathering</v>
      </c>
      <c r="H4" s="4"/>
      <c r="I4" s="6" t="str">
        <f>IFERROR(__xludf.DUMMYFUNCTION("""COMPUTED_VALUE"""),"- Project name: Conversifi
- Project | Role: Backend Developer, Frontend Developer, Data Engineer, DevOps/SRE, Architect, TL
- Project | Description: Aprendizaje de idioma mediante videollamadas cortas. Era el TL, Arquitecto, DevOps y Developer.
- Project"&amp;" | technologies: NodeJS, MongoDB, MySQL, Express, AWS, Redis, Kubernetes, Docker, React, JavaScript, Bash Script, Jenkins, Linux, WebSockets, Twilio, Sentry, Grafana
- Happiness in project technology | Description: Muy contento
- Project | The best/cooles"&amp;"t thing: Desafíos técnicos constantes
- Project | The worst thing: El cliente no prioriza correctamente, y terminamos haciendo tareas innecesariamente
- Project | Improvements: Actualizar librerías y versión de NodeJS.
- Team | TL: Martin Castro
- Team | "&amp;"PX: Juanito
- Team | QA: 2
- Team | QA Automation: Si
- Team | UI/UX: 0
- Team | DevOps: 1
- Team | Data Engineer: 0")</f>
        <v>- Project name: Conversifi
- Project | Role: Backend Developer, Frontend Developer, Data Engineer, DevOps/SRE, Architect, TL
- Project | Description: Aprendizaje de idioma mediante videollamadas cortas. Era el TL, Arquitecto, DevOps y Developer.
- Project | technologies: NodeJS, MongoDB, MySQL, Express, AWS, Redis, Kubernetes, Docker, React, JavaScript, Bash Script, Jenkins, Linux, WebSockets, Twilio, Sentry, Grafana
- Happiness in project technology | Description: Muy contento
- Project | The best/coolest thing: Desafíos técnicos constantes
- Project | The worst thing: El cliente no prioriza correctamente, y terminamos haciendo tareas innecesariamente
- Project | Improvements: Actualizar librerías y versión de NodeJS.
- Team | TL: Martin Castro
- Team | PX: Juanito
- Team | QA: 2
- Team | QA Automation: Si
- Team | UI/UX: 0
- Team | DevOps: 1
- Team | Data Engineer: 0</v>
      </c>
      <c r="J4" s="4" t="str">
        <f>IFERROR(__xludf.DUMMYFUNCTION("""COMPUTED_VALUE"""),"Tech Referent - Initial gathering")</f>
        <v>Tech Referent - Initial gathering</v>
      </c>
    </row>
    <row r="5">
      <c r="A5" s="4">
        <f>IFERROR(__xludf.DUMMYFUNCTION("""COMPUTED_VALUE"""),9.0)</f>
        <v>9</v>
      </c>
      <c r="B5" s="4" t="str">
        <f>IFERROR(__xludf.DUMMYFUNCTION("""COMPUTED_VALUE"""),"eduardo.cuomo")</f>
        <v>eduardo.cuomo</v>
      </c>
      <c r="C5" s="5">
        <f>IFERROR(__xludf.DUMMYFUNCTION("""COMPUTED_VALUE"""),44875.506116122684)</f>
        <v>44875.50612</v>
      </c>
      <c r="D5" s="5">
        <f>IFERROR(__xludf.DUMMYFUNCTION("""COMPUTED_VALUE"""),44875.0)</f>
        <v>44875</v>
      </c>
      <c r="E5" s="4" t="str">
        <f>IFERROR(__xludf.DUMMYFUNCTION("""COMPUTED_VALUE"""),"eduardo.cuomo@patagoniansys.com")</f>
        <v>eduardo.cuomo@patagoniansys.com</v>
      </c>
      <c r="F5" s="4" t="str">
        <f>IFERROR(__xludf.DUMMYFUNCTION("""COMPUTED_VALUE"""),"eduardo.cuomo@patagonian.com")</f>
        <v>eduardo.cuomo@patagonian.com</v>
      </c>
      <c r="G5" s="4" t="str">
        <f>IFERROR(__xludf.DUMMYFUNCTION("""COMPUTED_VALUE"""),"Referent One on One")</f>
        <v>Referent One on One</v>
      </c>
      <c r="H5" s="4"/>
      <c r="I5" s="6" t="str">
        <f>IFERROR(__xludf.DUMMYFUNCTION("""COMPUTED_VALUE"""),"- Project Status Check: Todo bien.
- Project Role | Feeling: 5
- Extra Work Hours | Amount: 2
- Extra Work Hours | Reason: ⏱ Mala estimación de los tiempos y tareas, 🏁 Deadlines próximas e inamovibles
- Techs | Research: No
- Collaborator | Seniority: 👍"&amp;" No, es correcto
- Project Techs | Learning: 3
- Techs | Research: 0
- Project Techs | Difficulty: 5
- Project Role | Value: 5
- Project role | Notes: Era el TL.")</f>
        <v>- Project Status Check: Todo bien.
- Project Role | Feeling: 5
- Extra Work Hours | Amount: 2
- Extra Work Hours | Reason: ⏱ Mala estimación de los tiempos y tareas, 🏁 Deadlines próximas e inamovibles
- Techs | Research: No
- Collaborator | Seniority: 👍 No, es correcto
- Project Techs | Learning: 3
- Techs | Research: 0
- Project Techs | Difficulty: 5
- Project Role | Value: 5
- Project role | Notes: Era el TL.</v>
      </c>
      <c r="J5" s="4" t="str">
        <f>IFERROR(__xludf.DUMMYFUNCTION("""COMPUTED_VALUE"""),"Tech Referent - OneOnOne")</f>
        <v>Tech Referent - OneOnOne</v>
      </c>
    </row>
    <row r="6" hidden="1">
      <c r="A6" s="4">
        <f>IFERROR(__xludf.DUMMYFUNCTION("""COMPUTED_VALUE"""),230.0)</f>
        <v>230</v>
      </c>
      <c r="B6" s="4" t="str">
        <f>IFERROR(__xludf.DUMMYFUNCTION("""COMPUTED_VALUE"""),"jorge.contreras")</f>
        <v>jorge.contreras</v>
      </c>
      <c r="C6" s="5">
        <f>IFERROR(__xludf.DUMMYFUNCTION("""COMPUTED_VALUE"""),44876.73646190972)</f>
        <v>44876.73646</v>
      </c>
      <c r="D6" s="5">
        <f>IFERROR(__xludf.DUMMYFUNCTION("""COMPUTED_VALUE"""),44876.0)</f>
        <v>44876</v>
      </c>
      <c r="E6" s="4" t="str">
        <f>IFERROR(__xludf.DUMMYFUNCTION("""COMPUTED_VALUE"""),"juanmanuel@patagoniansys.com")</f>
        <v>juanmanuel@patagoniansys.com</v>
      </c>
      <c r="F6" s="4" t="str">
        <f>IFERROR(__xludf.DUMMYFUNCTION("""COMPUTED_VALUE"""),"jorge.contreras@patagoniansys.com")</f>
        <v>jorge.contreras@patagoniansys.com</v>
      </c>
      <c r="G6" s="4" t="str">
        <f>IFERROR(__xludf.DUMMYFUNCTION("""COMPUTED_VALUE"""),"🌀 Ocasional")</f>
        <v>🌀 Ocasional</v>
      </c>
      <c r="H6" s="4"/>
      <c r="I6" s="6"/>
      <c r="J6" s="4" t="str">
        <f>IFERROR(__xludf.DUMMYFUNCTION("""COMPUTED_VALUE"""),"PX|Referents|RRHH")</f>
        <v>PX|Referents|RRHH</v>
      </c>
    </row>
    <row r="7" hidden="1">
      <c r="A7" s="4">
        <f>IFERROR(__xludf.DUMMYFUNCTION("""COMPUTED_VALUE"""),73.0)</f>
        <v>73</v>
      </c>
      <c r="B7" s="4" t="str">
        <f>IFERROR(__xludf.DUMMYFUNCTION("""COMPUTED_VALUE"""),"andres.attwell")</f>
        <v>andres.attwell</v>
      </c>
      <c r="C7" s="5">
        <f>IFERROR(__xludf.DUMMYFUNCTION("""COMPUTED_VALUE"""),44910.59767831019)</f>
        <v>44910.59768</v>
      </c>
      <c r="D7" s="5">
        <f>IFERROR(__xludf.DUMMYFUNCTION("""COMPUTED_VALUE"""),44910.0)</f>
        <v>44910</v>
      </c>
      <c r="E7" s="4" t="str">
        <f>IFERROR(__xludf.DUMMYFUNCTION("""COMPUTED_VALUE"""),"eduardo.cuomo@patagoniansys.com")</f>
        <v>eduardo.cuomo@patagoniansys.com</v>
      </c>
      <c r="F7" s="4" t="str">
        <f>IFERROR(__xludf.DUMMYFUNCTION("""COMPUTED_VALUE"""),"andres.attwell@patagoniansys.com")</f>
        <v>andres.attwell@patagoniansys.com</v>
      </c>
      <c r="G7" s="4" t="str">
        <f>IFERROR(__xludf.DUMMYFUNCTION("""COMPUTED_VALUE"""),"🌀 Ocasional")</f>
        <v>🌀 Ocasional</v>
      </c>
      <c r="H7" s="4"/>
      <c r="I7" s="6"/>
      <c r="J7" s="4" t="str">
        <f>IFERROR(__xludf.DUMMYFUNCTION("""COMPUTED_VALUE"""),"PX|Referents|RRHH")</f>
        <v>PX|Referents|RRHH</v>
      </c>
    </row>
    <row r="8" hidden="1">
      <c r="A8" s="4">
        <f>IFERROR(__xludf.DUMMYFUNCTION("""COMPUTED_VALUE"""),280.0)</f>
        <v>280</v>
      </c>
      <c r="B8" s="4" t="str">
        <f>IFERROR(__xludf.DUMMYFUNCTION("""COMPUTED_VALUE"""),"jose.flores")</f>
        <v>jose.flores</v>
      </c>
      <c r="C8" s="5">
        <f>IFERROR(__xludf.DUMMYFUNCTION("""COMPUTED_VALUE"""),44929.71770878472)</f>
        <v>44929.71771</v>
      </c>
      <c r="D8" s="5">
        <f>IFERROR(__xludf.DUMMYFUNCTION("""COMPUTED_VALUE"""),44929.0)</f>
        <v>44929</v>
      </c>
      <c r="E8" s="4" t="str">
        <f>IFERROR(__xludf.DUMMYFUNCTION("""COMPUTED_VALUE"""),"micaela.zorzetto@patagoniansys.com")</f>
        <v>micaela.zorzetto@patagoniansys.com</v>
      </c>
      <c r="F8" s="4" t="str">
        <f>IFERROR(__xludf.DUMMYFUNCTION("""COMPUTED_VALUE"""),"jose.flores@patagoniansys.com")</f>
        <v>jose.flores@patagoniansys.com</v>
      </c>
      <c r="G8" s="4" t="str">
        <f>IFERROR(__xludf.DUMMYFUNCTION("""COMPUTED_VALUE"""),"⏱ One on One")</f>
        <v>⏱ One on One</v>
      </c>
      <c r="H8" s="4" t="str">
        <f>IFERROR(__xludf.DUMMYFUNCTION("""COMPUTED_VALUE"""),"🙂 Feliz")</f>
        <v>🙂 Feliz</v>
      </c>
      <c r="I8" s="6" t="str">
        <f>IFERROR(__xludf.DUMMYFUNCTION("""COMPUTED_VALUE"""),"Personal: Jose se lo nota animado. 
Proyecto y equipo: Esta contento con el proyecto y con el equipo que esta trabajando. El unico comentario fue que la introducción al proyecto no fue muy buena, hubiese preferido que sea un poco mas extensa y que se le e"&amp;"xplique un poco mas sobre el funcionamiento/burocracia de Halli, esto me marco como punto a mejorar. 
Capacitación: esta realizando cursos en Udemy que ya tenia pagos, se mostró interesado en mejorar sus inglés, va anotarse a las clases que da la empresa."&amp;" ")</f>
        <v>Personal: Jose se lo nota animado. 
Proyecto y equipo: Esta contento con el proyecto y con el equipo que esta trabajando. El unico comentario fue que la introducción al proyecto no fue muy buena, hubiese preferido que sea un poco mas extensa y que se le explique un poco mas sobre el funcionamiento/burocracia de Halli, esto me marco como punto a mejorar. 
Capacitación: esta realizando cursos en Udemy que ya tenia pagos, se mostró interesado en mejorar sus inglés, va anotarse a las clases que da la empresa. </v>
      </c>
      <c r="J8" s="4" t="str">
        <f>IFERROR(__xludf.DUMMYFUNCTION("""COMPUTED_VALUE"""),"PX|Referents|RRHH")</f>
        <v>PX|Referents|RRHH</v>
      </c>
    </row>
    <row r="9" hidden="1">
      <c r="A9" s="4">
        <f>IFERROR(__xludf.DUMMYFUNCTION("""COMPUTED_VALUE"""),73.0)</f>
        <v>73</v>
      </c>
      <c r="B9" s="4" t="str">
        <f>IFERROR(__xludf.DUMMYFUNCTION("""COMPUTED_VALUE"""),"andres.attwell")</f>
        <v>andres.attwell</v>
      </c>
      <c r="C9" s="5">
        <f>IFERROR(__xludf.DUMMYFUNCTION("""COMPUTED_VALUE"""),44929.73584032407)</f>
        <v>44929.73584</v>
      </c>
      <c r="D9" s="5">
        <f>IFERROR(__xludf.DUMMYFUNCTION("""COMPUTED_VALUE"""),44929.0)</f>
        <v>44929</v>
      </c>
      <c r="E9" s="4" t="str">
        <f>IFERROR(__xludf.DUMMYFUNCTION("""COMPUTED_VALUE"""),"micaela.zorzetto@patagoniansys.com")</f>
        <v>micaela.zorzetto@patagoniansys.com</v>
      </c>
      <c r="F9" s="4" t="str">
        <f>IFERROR(__xludf.DUMMYFUNCTION("""COMPUTED_VALUE"""),"andres.attwell@patagoniansys.com")</f>
        <v>andres.attwell@patagoniansys.com</v>
      </c>
      <c r="G9" s="4" t="str">
        <f>IFERROR(__xludf.DUMMYFUNCTION("""COMPUTED_VALUE"""),"⏱ One on One")</f>
        <v>⏱ One on One</v>
      </c>
      <c r="H9" s="4" t="str">
        <f>IFERROR(__xludf.DUMMYFUNCTION("""COMPUTED_VALUE"""),"🙂 Feliz")</f>
        <v>🙂 Feliz</v>
      </c>
      <c r="I9" s="6" t="str">
        <f>IFERROR(__xludf.DUMMYFUNCTION("""COMPUTED_VALUE"""),"Personal: esta bien de ánimo.
Empresa y proyecto: ya se siente más tranquilo y mejor luego de haber solucionado el problema que tuvo con el proyecto hace unos meses. Esta contento con su rol en Connect y los desafios que se vienen en el proyecto. Se sient"&amp;"e muy acompaño. 
Capacitaciones: esta interesado en certificarse en AWS.  
Mejoras: cree que se deberia comunicar de manera mas clara los nuevos roles que se comunican, no queda claro cual es el papel o funciones. (directores, managers).")</f>
        <v>Personal: esta bien de ánimo.
Empresa y proyecto: ya se siente más tranquilo y mejor luego de haber solucionado el problema que tuvo con el proyecto hace unos meses. Esta contento con su rol en Connect y los desafios que se vienen en el proyecto. Se siente muy acompaño. 
Capacitaciones: esta interesado en certificarse en AWS.  
Mejoras: cree que se deberia comunicar de manera mas clara los nuevos roles que se comunican, no queda claro cual es el papel o funciones. (directores, managers).</v>
      </c>
      <c r="J9" s="4" t="str">
        <f>IFERROR(__xludf.DUMMYFUNCTION("""COMPUTED_VALUE"""),"PX|Referents|RRHH")</f>
        <v>PX|Referents|RRHH</v>
      </c>
    </row>
    <row r="10" hidden="1">
      <c r="A10" s="4">
        <f>IFERROR(__xludf.DUMMYFUNCTION("""COMPUTED_VALUE"""),272.0)</f>
        <v>272</v>
      </c>
      <c r="B10" s="4" t="str">
        <f>IFERROR(__xludf.DUMMYFUNCTION("""COMPUTED_VALUE"""),"santiago.grossi")</f>
        <v>santiago.grossi</v>
      </c>
      <c r="C10" s="5">
        <f>IFERROR(__xludf.DUMMYFUNCTION("""COMPUTED_VALUE"""),44933.49713296296)</f>
        <v>44933.49713</v>
      </c>
      <c r="D10" s="5">
        <f>IFERROR(__xludf.DUMMYFUNCTION("""COMPUTED_VALUE"""),44930.0)</f>
        <v>44930</v>
      </c>
      <c r="E10" s="4" t="str">
        <f>IFERROR(__xludf.DUMMYFUNCTION("""COMPUTED_VALUE"""),"micaela.zorzetto@patagoniansys.com")</f>
        <v>micaela.zorzetto@patagoniansys.com</v>
      </c>
      <c r="F10" s="4" t="str">
        <f>IFERROR(__xludf.DUMMYFUNCTION("""COMPUTED_VALUE"""),"santiago.grossi@patagoniansys.com")</f>
        <v>santiago.grossi@patagoniansys.com</v>
      </c>
      <c r="G10" s="4" t="str">
        <f>IFERROR(__xludf.DUMMYFUNCTION("""COMPUTED_VALUE"""),"⏱ One on One")</f>
        <v>⏱ One on One</v>
      </c>
      <c r="H10" s="4" t="str">
        <f>IFERROR(__xludf.DUMMYFUNCTION("""COMPUTED_VALUE"""),"🙂 Feliz")</f>
        <v>🙂 Feliz</v>
      </c>
      <c r="I10" s="6" t="str">
        <f>IFERROR(__xludf.DUMMYFUNCTION("""COMPUTED_VALUE"""),"Proyecto y empresa: se cómodo en el proyecto, me comento que con el ingreso de Andy Attwell el proyecto cambio para mejor. En cuanto al equipo, siente que no hay mucha comunicación entre todos, esta muy separado y se siente un poco solo. Esta contento en "&amp;"la empresa. 
Capacitación: por ahora esta enfocado en terminar su carrera universitaria. Y quiere dedicarle mas tiempo a mejorar su inglés. ")</f>
        <v>Proyecto y empresa: se cómodo en el proyecto, me comento que con el ingreso de Andy Attwell el proyecto cambio para mejor. En cuanto al equipo, siente que no hay mucha comunicación entre todos, esta muy separado y se siente un poco solo. Esta contento en la empresa. 
Capacitación: por ahora esta enfocado en terminar su carrera universitaria. Y quiere dedicarle mas tiempo a mejorar su inglés. </v>
      </c>
      <c r="J10" s="4" t="str">
        <f>IFERROR(__xludf.DUMMYFUNCTION("""COMPUTED_VALUE"""),"PX|Referents|RRHH")</f>
        <v>PX|Referents|RRHH</v>
      </c>
    </row>
    <row r="11" hidden="1">
      <c r="A11" s="4">
        <f>IFERROR(__xludf.DUMMYFUNCTION("""COMPUTED_VALUE"""),249.0)</f>
        <v>249</v>
      </c>
      <c r="B11" s="4" t="str">
        <f>IFERROR(__xludf.DUMMYFUNCTION("""COMPUTED_VALUE"""),"nahuel.diaz")</f>
        <v>nahuel.diaz</v>
      </c>
      <c r="C11" s="5">
        <f>IFERROR(__xludf.DUMMYFUNCTION("""COMPUTED_VALUE"""),44933.501727256946)</f>
        <v>44933.50173</v>
      </c>
      <c r="D11" s="5">
        <f>IFERROR(__xludf.DUMMYFUNCTION("""COMPUTED_VALUE"""),44930.0)</f>
        <v>44930</v>
      </c>
      <c r="E11" s="4" t="str">
        <f>IFERROR(__xludf.DUMMYFUNCTION("""COMPUTED_VALUE"""),"micaela.zorzetto@patagoniansys.com")</f>
        <v>micaela.zorzetto@patagoniansys.com</v>
      </c>
      <c r="F11" s="4" t="str">
        <f>IFERROR(__xludf.DUMMYFUNCTION("""COMPUTED_VALUE"""),"nahuel.diaz@patagoniansys.com")</f>
        <v>nahuel.diaz@patagoniansys.com</v>
      </c>
      <c r="G11" s="4" t="str">
        <f>IFERROR(__xludf.DUMMYFUNCTION("""COMPUTED_VALUE"""),"⏱ One on One")</f>
        <v>⏱ One on One</v>
      </c>
      <c r="H11" s="4" t="str">
        <f>IFERROR(__xludf.DUMMYFUNCTION("""COMPUTED_VALUE"""),"🙂 Feliz")</f>
        <v>🙂 Feliz</v>
      </c>
      <c r="I11" s="6" t="str">
        <f>IFERROR(__xludf.DUMMYFUNCTION("""COMPUTED_VALUE"""),"Proyecto y empresa: se siente cómodo con el equipo y el proyecto. En el proyecto en un momento se comenzó a trabajar la parte del front y él no se siente muy cómodo ya que no tiene el conocimiento necesario. Quiere dedicarse 100% al back. Se siente a gust"&amp;"a trabajando en Patagonian. 
Capacitación: Quiere capacitarse en algo de Python, Go y AWS. Se anoto para retomar las clases de inglés.")</f>
        <v>Proyecto y empresa: se siente cómodo con el equipo y el proyecto. En el proyecto en un momento se comenzó a trabajar la parte del front y él no se siente muy cómodo ya que no tiene el conocimiento necesario. Quiere dedicarse 100% al back. Se siente a gusta trabajando en Patagonian. 
Capacitación: Quiere capacitarse en algo de Python, Go y AWS. Se anoto para retomar las clases de inglés.</v>
      </c>
      <c r="J11" s="4" t="str">
        <f>IFERROR(__xludf.DUMMYFUNCTION("""COMPUTED_VALUE"""),"PX|Referents|RRHH")</f>
        <v>PX|Referents|RRHH</v>
      </c>
    </row>
    <row r="12" hidden="1">
      <c r="A12" s="4">
        <f>IFERROR(__xludf.DUMMYFUNCTION("""COMPUTED_VALUE"""),136.0)</f>
        <v>136</v>
      </c>
      <c r="B12" s="4" t="str">
        <f>IFERROR(__xludf.DUMMYFUNCTION("""COMPUTED_VALUE"""),"freddy.orozco")</f>
        <v>freddy.orozco</v>
      </c>
      <c r="C12" s="5">
        <f>IFERROR(__xludf.DUMMYFUNCTION("""COMPUTED_VALUE"""),44931.54494505787)</f>
        <v>44931.54495</v>
      </c>
      <c r="D12" s="5">
        <f>IFERROR(__xludf.DUMMYFUNCTION("""COMPUTED_VALUE"""),44931.0)</f>
        <v>44931</v>
      </c>
      <c r="E12" s="4" t="str">
        <f>IFERROR(__xludf.DUMMYFUNCTION("""COMPUTED_VALUE"""),"diana.grajales@patagoniansys.com")</f>
        <v>diana.grajales@patagoniansys.com</v>
      </c>
      <c r="F12" s="4" t="str">
        <f>IFERROR(__xludf.DUMMYFUNCTION("""COMPUTED_VALUE"""),"freddy.orozco@patagoniansys.com")</f>
        <v>freddy.orozco@patagoniansys.com</v>
      </c>
      <c r="G12" s="4" t="str">
        <f>IFERROR(__xludf.DUMMYFUNCTION("""COMPUTED_VALUE"""),"👋 RRHH")</f>
        <v>👋 RRHH</v>
      </c>
      <c r="H12" s="4" t="str">
        <f>IFERROR(__xludf.DUMMYFUNCTION("""COMPUTED_VALUE"""),"😀 Sumamente Feliz")</f>
        <v>😀 Sumamente Feliz</v>
      </c>
      <c r="I12" s="6" t="str">
        <f>IFERROR(__xludf.DUMMYFUNCTION("""COMPUTED_VALUE"""),"- Eduacación: Ya se pago Platzi y esta iniciando un curso de Back End Kotlin que hace parte de lo que esta utilizando en el Proyecto que actualmente en BFA
Nivel Proyecto:  BFA, es una empresa muy solida, muy organizada con unos procesos muy establecidos "&amp;"que ayudado a organizarme. Siente que ha crecido bastante y el grupo de trabajo es muy chevere, el grupo de BFA hace unas actividades de team building cheveres. 
- Seniority :  Semi Senior aun  siente que debe fortalacer ciertas areas tecnicas y de soluci"&amp;"ón de problemas. Desde el lado de Soft Skills fortalecer comunicación efectiva.
")</f>
        <v>- Eduacación: Ya se pago Platzi y esta iniciando un curso de Back End Kotlin que hace parte de lo que esta utilizando en el Proyecto que actualmente en BFA
Nivel Proyecto:  BFA, es una empresa muy solida, muy organizada con unos procesos muy establecidos que ayudado a organizarme. Siente que ha crecido bastante y el grupo de trabajo es muy chevere, el grupo de BFA hace unas actividades de team building cheveres. 
- Seniority :  Semi Senior aun  siente que debe fortalacer ciertas areas tecnicas y de solución de problemas. Desde el lado de Soft Skills fortalecer comunicación efectiva.
</v>
      </c>
      <c r="J12" s="4" t="str">
        <f>IFERROR(__xludf.DUMMYFUNCTION("""COMPUTED_VALUE"""),"PX|Referents|RRHH")</f>
        <v>PX|Referents|RRHH</v>
      </c>
    </row>
    <row r="13" hidden="1">
      <c r="A13" s="4">
        <f>IFERROR(__xludf.DUMMYFUNCTION("""COMPUTED_VALUE"""),178.0)</f>
        <v>178</v>
      </c>
      <c r="B13" s="4" t="str">
        <f>IFERROR(__xludf.DUMMYFUNCTION("""COMPUTED_VALUE"""),"julian.perez")</f>
        <v>julian.perez</v>
      </c>
      <c r="C13" s="5">
        <f>IFERROR(__xludf.DUMMYFUNCTION("""COMPUTED_VALUE"""),44931.671948587966)</f>
        <v>44931.67195</v>
      </c>
      <c r="D13" s="5">
        <f>IFERROR(__xludf.DUMMYFUNCTION("""COMPUTED_VALUE"""),44931.0)</f>
        <v>44931</v>
      </c>
      <c r="E13" s="4" t="str">
        <f>IFERROR(__xludf.DUMMYFUNCTION("""COMPUTED_VALUE"""),"diana.grajales@patagoniansys.com")</f>
        <v>diana.grajales@patagoniansys.com</v>
      </c>
      <c r="F13" s="4" t="str">
        <f>IFERROR(__xludf.DUMMYFUNCTION("""COMPUTED_VALUE"""),"julian.perez@patagoniansys.com")</f>
        <v>julian.perez@patagoniansys.com</v>
      </c>
      <c r="G13" s="4" t="str">
        <f>IFERROR(__xludf.DUMMYFUNCTION("""COMPUTED_VALUE"""),"👋 RRHH")</f>
        <v>👋 RRHH</v>
      </c>
      <c r="H13" s="4" t="str">
        <f>IFERROR(__xludf.DUMMYFUNCTION("""COMPUTED_VALUE"""),"🙂 Feliz")</f>
        <v>🙂 Feliz</v>
      </c>
      <c r="I13" s="6" t="str">
        <f>IFERROR(__xludf.DUMMYFUNCTION("""COMPUTED_VALUE"""),"Eduación- Ingenieria de Software Universidad de España una Maestria, quiere crecer en TL o Arq.
Esta haciendo un cursos en RPA y Block Chain
Reforzando el Ingles con Open English 
Proyecto - Se ha sentido bien, con el equipo del cliente lo han acogido mu"&amp;"y bien. 
PM - Bien Heran responde rapido a sus solicitud 
En que podemos ayudar:  Con el Pago de la Maestria o  Certificado de AWS y Azure 
- En Agosto revisar como estamos en la certificaciones que quiere tomar 
")</f>
        <v>Eduación- Ingenieria de Software Universidad de España una Maestria, quiere crecer en TL o Arq.
Esta haciendo un cursos en RPA y Block Chain
Reforzando el Ingles con Open English 
Proyecto - Se ha sentido bien, con el equipo del cliente lo han acogido muy bien. 
PM - Bien Heran responde rapido a sus solicitud 
En que podemos ayudar:  Con el Pago de la Maestria o  Certificado de AWS y Azure 
- En Agosto revisar como estamos en la certificaciones que quiere tomar 
</v>
      </c>
      <c r="J13" s="4" t="str">
        <f>IFERROR(__xludf.DUMMYFUNCTION("""COMPUTED_VALUE"""),"PX|Referents|RRHH")</f>
        <v>PX|Referents|RRHH</v>
      </c>
    </row>
    <row r="14" hidden="1">
      <c r="A14" s="4">
        <f>IFERROR(__xludf.DUMMYFUNCTION("""COMPUTED_VALUE"""),149.0)</f>
        <v>149</v>
      </c>
      <c r="B14" s="4" t="str">
        <f>IFERROR(__xludf.DUMMYFUNCTION("""COMPUTED_VALUE"""),"jonatan.ordonez")</f>
        <v>jonatan.ordonez</v>
      </c>
      <c r="C14" s="5">
        <f>IFERROR(__xludf.DUMMYFUNCTION("""COMPUTED_VALUE"""),44931.701723854174)</f>
        <v>44931.70172</v>
      </c>
      <c r="D14" s="5">
        <f>IFERROR(__xludf.DUMMYFUNCTION("""COMPUTED_VALUE"""),44931.0)</f>
        <v>44931</v>
      </c>
      <c r="E14" s="4" t="str">
        <f>IFERROR(__xludf.DUMMYFUNCTION("""COMPUTED_VALUE"""),"diana.grajales@patagoniansys.com")</f>
        <v>diana.grajales@patagoniansys.com</v>
      </c>
      <c r="F14" s="4" t="str">
        <f>IFERROR(__xludf.DUMMYFUNCTION("""COMPUTED_VALUE"""),"jonatan.ordonez@patagoniansys.com")</f>
        <v>jonatan.ordonez@patagoniansys.com</v>
      </c>
      <c r="G14" s="4" t="str">
        <f>IFERROR(__xludf.DUMMYFUNCTION("""COMPUTED_VALUE"""),"⏱ One on One")</f>
        <v>⏱ One on One</v>
      </c>
      <c r="H14" s="4" t="str">
        <f>IFERROR(__xludf.DUMMYFUNCTION("""COMPUTED_VALUE"""),"🙂 Feliz")</f>
        <v>🙂 Feliz</v>
      </c>
      <c r="I14" s="6" t="str">
        <f>IFERROR(__xludf.DUMMYFUNCTION("""COMPUTED_VALUE"""),"Educación- Quiere hacer una certificación en AWS este año 
Esta sacando el tiempo en las tardes para estar preparado a principios de Febrero hacer el examen. 
Meta este año es recategorizar de Semi Senior a Senior y le a pedido a su TL guia de que debe me"&amp;"jorar. 
Proyecto- Va alineado con la tech que siempre he querido trabajar, si se siente atascado en que deje aprender  - IMPORTANTE : hacer le un roadmap que otras technologias o infraestructura. 
PM: A la expectativa con el nuevo PM ( Fede Peralta) ")</f>
        <v>Educación- Quiere hacer una certificación en AWS este año 
Esta sacando el tiempo en las tardes para estar preparado a principios de Febrero hacer el examen. 
Meta este año es recategorizar de Semi Senior a Senior y le a pedido a su TL guia de que debe mejorar. 
Proyecto- Va alineado con la tech que siempre he querido trabajar, si se siente atascado en que deje aprender  - IMPORTANTE : hacer le un roadmap que otras technologias o infraestructura. 
PM: A la expectativa con el nuevo PM ( Fede Peralta) </v>
      </c>
      <c r="J14" s="4" t="str">
        <f>IFERROR(__xludf.DUMMYFUNCTION("""COMPUTED_VALUE"""),"PX|Referents|RRHH")</f>
        <v>PX|Referents|RRHH</v>
      </c>
    </row>
    <row r="15" hidden="1">
      <c r="A15" s="4">
        <f>IFERROR(__xludf.DUMMYFUNCTION("""COMPUTED_VALUE"""),177.0)</f>
        <v>177</v>
      </c>
      <c r="B15" s="4" t="str">
        <f>IFERROR(__xludf.DUMMYFUNCTION("""COMPUTED_VALUE"""),"juan.marin")</f>
        <v>juan.marin</v>
      </c>
      <c r="C15" s="5">
        <f>IFERROR(__xludf.DUMMYFUNCTION("""COMPUTED_VALUE"""),44931.72012023148)</f>
        <v>44931.72012</v>
      </c>
      <c r="D15" s="5">
        <f>IFERROR(__xludf.DUMMYFUNCTION("""COMPUTED_VALUE"""),44931.0)</f>
        <v>44931</v>
      </c>
      <c r="E15" s="4" t="str">
        <f>IFERROR(__xludf.DUMMYFUNCTION("""COMPUTED_VALUE"""),"diana.grajales@patagoniansys.com")</f>
        <v>diana.grajales@patagoniansys.com</v>
      </c>
      <c r="F15" s="4" t="str">
        <f>IFERROR(__xludf.DUMMYFUNCTION("""COMPUTED_VALUE"""),"juan.marin@patagoniansys.com")</f>
        <v>juan.marin@patagoniansys.com</v>
      </c>
      <c r="G15" s="4" t="str">
        <f>IFERROR(__xludf.DUMMYFUNCTION("""COMPUTED_VALUE"""),"⏱ One on One")</f>
        <v>⏱ One on One</v>
      </c>
      <c r="H15" s="4" t="str">
        <f>IFERROR(__xludf.DUMMYFUNCTION("""COMPUTED_VALUE"""),"🙂 Feliz")</f>
        <v>🙂 Feliz</v>
      </c>
      <c r="I15" s="6" t="str">
        <f>IFERROR(__xludf.DUMMYFUNCTION("""COMPUTED_VALUE"""),"Tecnico-  Quiere estudiar para Solutions Arq. Professional - AWS 
Ingles - Mejorar la fluidez y vocabulario
Proyecto
Voy muy bien, carga laboral esta manejable, si sabe que la carga va a aumentar debido a que uno de sus compañeros se va. 
PM
Sebastian e"&amp;"sta muy comprometido interesado
* Si le gustaria el apoyo de Pata para trabajar en un proyecto de AWS. ")</f>
        <v>Tecnico-  Quiere estudiar para Solutions Arq. Professional - AWS 
Ingles - Mejorar la fluidez y vocabulario
Proyecto
Voy muy bien, carga laboral esta manejable, si sabe que la carga va a aumentar debido a que uno de sus compañeros se va. 
PM
Sebastian esta muy comprometido interesado
* Si le gustaria el apoyo de Pata para trabajar en un proyecto de AWS. </v>
      </c>
      <c r="J15" s="4" t="str">
        <f>IFERROR(__xludf.DUMMYFUNCTION("""COMPUTED_VALUE"""),"PX|Referents|RRHH")</f>
        <v>PX|Referents|RRHH</v>
      </c>
    </row>
    <row r="16" hidden="1">
      <c r="A16" s="4">
        <f>IFERROR(__xludf.DUMMYFUNCTION("""COMPUTED_VALUE"""),197.0)</f>
        <v>197</v>
      </c>
      <c r="B16" s="4" t="str">
        <f>IFERROR(__xludf.DUMMYFUNCTION("""COMPUTED_VALUE"""),"gianfranco.fois")</f>
        <v>gianfranco.fois</v>
      </c>
      <c r="C16" s="5">
        <f>IFERROR(__xludf.DUMMYFUNCTION("""COMPUTED_VALUE"""),44933.50522255788)</f>
        <v>44933.50522</v>
      </c>
      <c r="D16" s="5">
        <f>IFERROR(__xludf.DUMMYFUNCTION("""COMPUTED_VALUE"""),44931.0)</f>
        <v>44931</v>
      </c>
      <c r="E16" s="4" t="str">
        <f>IFERROR(__xludf.DUMMYFUNCTION("""COMPUTED_VALUE"""),"micaela.zorzetto@patagoniansys.com")</f>
        <v>micaela.zorzetto@patagoniansys.com</v>
      </c>
      <c r="F16" s="4" t="str">
        <f>IFERROR(__xludf.DUMMYFUNCTION("""COMPUTED_VALUE"""),"gianfranco.fois@patagoniansys.com")</f>
        <v>gianfranco.fois@patagoniansys.com</v>
      </c>
      <c r="G16" s="4" t="str">
        <f>IFERROR(__xludf.DUMMYFUNCTION("""COMPUTED_VALUE"""),"⏱ One on One")</f>
        <v>⏱ One on One</v>
      </c>
      <c r="H16" s="4" t="str">
        <f>IFERROR(__xludf.DUMMYFUNCTION("""COMPUTED_VALUE"""),"🙂 Feliz")</f>
        <v>🙂 Feliz</v>
      </c>
      <c r="I16" s="6" t="str">
        <f>IFERROR(__xludf.DUMMYFUNCTION("""COMPUTED_VALUE"""),"Proyecto y empresa: esta contento con le proyecto y la empresa, comenta que se siente muy valorado. 
Capacitación: no participa de las clases de inglés de la empresa, porque prefiere ir a un instituto y que sean presenciales. No sabe en que quiere capacit"&amp;"arse, tiene que investigar. 
Mejora: que se explique de manera más clara el funcionamiento de la SEAMANA PATAGONIAN (cuando se puede tomar, vencimiento, a partir de cuando esta habilitada)")</f>
        <v>Proyecto y empresa: esta contento con le proyecto y la empresa, comenta que se siente muy valorado. 
Capacitación: no participa de las clases de inglés de la empresa, porque prefiere ir a un instituto y que sean presenciales. No sabe en que quiere capacitarse, tiene que investigar. 
Mejora: que se explique de manera más clara el funcionamiento de la SEAMANA PATAGONIAN (cuando se puede tomar, vencimiento, a partir de cuando esta habilitada)</v>
      </c>
      <c r="J16" s="4" t="str">
        <f>IFERROR(__xludf.DUMMYFUNCTION("""COMPUTED_VALUE"""),"PX|Referents|RRHH")</f>
        <v>PX|Referents|RRHH</v>
      </c>
    </row>
    <row r="17" hidden="1">
      <c r="A17" s="4">
        <f>IFERROR(__xludf.DUMMYFUNCTION("""COMPUTED_VALUE"""),311.0)</f>
        <v>311</v>
      </c>
      <c r="B17" s="4" t="str">
        <f>IFERROR(__xludf.DUMMYFUNCTION("""COMPUTED_VALUE"""),"andres.murillo")</f>
        <v>andres.murillo</v>
      </c>
      <c r="C17" s="5">
        <f>IFERROR(__xludf.DUMMYFUNCTION("""COMPUTED_VALUE"""),44932.628655949076)</f>
        <v>44932.62866</v>
      </c>
      <c r="D17" s="5">
        <f>IFERROR(__xludf.DUMMYFUNCTION("""COMPUTED_VALUE"""),44932.0)</f>
        <v>44932</v>
      </c>
      <c r="E17" s="4" t="str">
        <f>IFERROR(__xludf.DUMMYFUNCTION("""COMPUTED_VALUE"""),"diana.grajales@patagoniansys.com")</f>
        <v>diana.grajales@patagoniansys.com</v>
      </c>
      <c r="F17" s="4" t="str">
        <f>IFERROR(__xludf.DUMMYFUNCTION("""COMPUTED_VALUE"""),"andres.murillo@patagoniansys.com")</f>
        <v>andres.murillo@patagoniansys.com</v>
      </c>
      <c r="G17" s="4" t="str">
        <f>IFERROR(__xludf.DUMMYFUNCTION("""COMPUTED_VALUE"""),"⏱ One on One")</f>
        <v>⏱ One on One</v>
      </c>
      <c r="H17" s="4" t="str">
        <f>IFERROR(__xludf.DUMMYFUNCTION("""COMPUTED_VALUE"""),"🙂 Feliz")</f>
        <v>🙂 Feliz</v>
      </c>
      <c r="I17" s="6" t="str">
        <f>IFERROR(__xludf.DUMMYFUNCTION("""COMPUTED_VALUE"""),"Proyecto : Va bien, pero hace algunos dias no ha tenido tareas, le notifico a su PM. Concluyo que estan iniciando año y el proyecto inicio algo lento.  Lo cual le incomodo un poco.
En general siempre se ha sentido muy bien con el proyecto, con el ritmo de"&amp;" trabajo. 
PM : Natalia hace muy buenos seguimientos, pero desde su parte nunca tiene mucho que informar.
Con la Empresa: Se siente muy bien, no se siente presionado innecesariamente. 
En este momento no se encuentra interesado  en capacitarse en nada
")</f>
        <v>Proyecto : Va bien, pero hace algunos dias no ha tenido tareas, le notifico a su PM. Concluyo que estan iniciando año y el proyecto inicio algo lento.  Lo cual le incomodo un poco.
En general siempre se ha sentido muy bien con el proyecto, con el ritmo de trabajo. 
PM : Natalia hace muy buenos seguimientos, pero desde su parte nunca tiene mucho que informar.
Con la Empresa: Se siente muy bien, no se siente presionado innecesariamente. 
En este momento no se encuentra interesado  en capacitarse en nada
</v>
      </c>
      <c r="J17" s="4" t="str">
        <f>IFERROR(__xludf.DUMMYFUNCTION("""COMPUTED_VALUE"""),"PX|Referents|RRHH")</f>
        <v>PX|Referents|RRHH</v>
      </c>
    </row>
    <row r="18" hidden="1">
      <c r="A18" s="4">
        <f>IFERROR(__xludf.DUMMYFUNCTION("""COMPUTED_VALUE"""),204.0)</f>
        <v>204</v>
      </c>
      <c r="B18" s="4" t="str">
        <f>IFERROR(__xludf.DUMMYFUNCTION("""COMPUTED_VALUE"""),"luisa.fernandez")</f>
        <v>luisa.fernandez</v>
      </c>
      <c r="C18" s="5">
        <f>IFERROR(__xludf.DUMMYFUNCTION("""COMPUTED_VALUE"""),44932.65129447916)</f>
        <v>44932.65129</v>
      </c>
      <c r="D18" s="5">
        <f>IFERROR(__xludf.DUMMYFUNCTION("""COMPUTED_VALUE"""),44932.0)</f>
        <v>44932</v>
      </c>
      <c r="E18" s="4" t="str">
        <f>IFERROR(__xludf.DUMMYFUNCTION("""COMPUTED_VALUE"""),"diana.grajales@patagoniansys.com")</f>
        <v>diana.grajales@patagoniansys.com</v>
      </c>
      <c r="F18" s="4" t="str">
        <f>IFERROR(__xludf.DUMMYFUNCTION("""COMPUTED_VALUE"""),"luisa.fernandez@patagoniansys.com")</f>
        <v>luisa.fernandez@patagoniansys.com</v>
      </c>
      <c r="G18" s="4" t="str">
        <f>IFERROR(__xludf.DUMMYFUNCTION("""COMPUTED_VALUE"""),"⏱ One on One")</f>
        <v>⏱ One on One</v>
      </c>
      <c r="H18" s="4" t="str">
        <f>IFERROR(__xludf.DUMMYFUNCTION("""COMPUTED_VALUE"""),"😀 Sumamente Feliz")</f>
        <v>😀 Sumamente Feliz</v>
      </c>
      <c r="I18" s="6" t="str">
        <f>IFERROR(__xludf.DUMMYFUNCTION("""COMPUTED_VALUE"""),"Proyecto: Desde que hable con Bocha, el ambiente laboral con Hali ha mejorado muchisimo
Educacion: Certificación AWS Practitioner quiere solicitar un apoyo de Pata. Tambien una certificacion de Datos 
PM : Con Sebastian he tenido poca interacción, pero si"&amp;" ha estado muy pendiente de mi de las vacaciones. 
")</f>
        <v>Proyecto: Desde que hable con Bocha, el ambiente laboral con Hali ha mejorado muchisimo
Educacion: Certificación AWS Practitioner quiere solicitar un apoyo de Pata. Tambien una certificacion de Datos 
PM : Con Sebastian he tenido poca interacción, pero si ha estado muy pendiente de mi de las vacaciones. 
</v>
      </c>
      <c r="J18" s="4" t="str">
        <f>IFERROR(__xludf.DUMMYFUNCTION("""COMPUTED_VALUE"""),"PX|Referents|RRHH")</f>
        <v>PX|Referents|RRHH</v>
      </c>
    </row>
    <row r="19" hidden="1">
      <c r="A19" s="4">
        <f>IFERROR(__xludf.DUMMYFUNCTION("""COMPUTED_VALUE"""),201.0)</f>
        <v>201</v>
      </c>
      <c r="B19" s="4" t="str">
        <f>IFERROR(__xludf.DUMMYFUNCTION("""COMPUTED_VALUE"""),"daniel.cardenas")</f>
        <v>daniel.cardenas</v>
      </c>
      <c r="C19" s="5">
        <f>IFERROR(__xludf.DUMMYFUNCTION("""COMPUTED_VALUE"""),44932.68306011574)</f>
        <v>44932.68306</v>
      </c>
      <c r="D19" s="5">
        <f>IFERROR(__xludf.DUMMYFUNCTION("""COMPUTED_VALUE"""),44932.0)</f>
        <v>44932</v>
      </c>
      <c r="E19" s="4" t="str">
        <f>IFERROR(__xludf.DUMMYFUNCTION("""COMPUTED_VALUE"""),"diana.grajales@patagoniansys.com")</f>
        <v>diana.grajales@patagoniansys.com</v>
      </c>
      <c r="F19" s="4" t="str">
        <f>IFERROR(__xludf.DUMMYFUNCTION("""COMPUTED_VALUE"""),"daniel.cardenas@patagoniansys.com")</f>
        <v>daniel.cardenas@patagoniansys.com</v>
      </c>
      <c r="G19" s="4" t="str">
        <f>IFERROR(__xludf.DUMMYFUNCTION("""COMPUTED_VALUE"""),"⏱ One on One")</f>
        <v>⏱ One on One</v>
      </c>
      <c r="H19" s="4" t="str">
        <f>IFERROR(__xludf.DUMMYFUNCTION("""COMPUTED_VALUE"""),"🙂 Feliz")</f>
        <v>🙂 Feliz</v>
      </c>
      <c r="I19" s="6" t="str">
        <f>IFERROR(__xludf.DUMMYFUNCTION("""COMPUTED_VALUE"""),"Metas 2023: Esta muy interesado en el BackEnd ya que en el Proyecto de AL Mundo esta viendo. 
Educación: Back End - pero no ha visto cursos 
Tambien ha visto cositas de AWS, esta tratando de ver otras cosas que no sean de FrontEnd 
Proyecto: A veces es le"&amp;"nto con respecto a tickets y los bugs que tiene.
PM: Con Ximena todo marcha muy bien ")</f>
        <v>Metas 2023: Esta muy interesado en el BackEnd ya que en el Proyecto de AL Mundo esta viendo. 
Educación: Back End - pero no ha visto cursos 
Tambien ha visto cositas de AWS, esta tratando de ver otras cosas que no sean de FrontEnd 
Proyecto: A veces es lento con respecto a tickets y los bugs que tiene.
PM: Con Ximena todo marcha muy bien </v>
      </c>
      <c r="J19" s="4" t="str">
        <f>IFERROR(__xludf.DUMMYFUNCTION("""COMPUTED_VALUE"""),"PX|Referents|RRHH")</f>
        <v>PX|Referents|RRHH</v>
      </c>
    </row>
    <row r="20" hidden="1">
      <c r="A20" s="4">
        <f>IFERROR(__xludf.DUMMYFUNCTION("""COMPUTED_VALUE"""),11.0)</f>
        <v>11</v>
      </c>
      <c r="B20" s="4" t="str">
        <f>IFERROR(__xludf.DUMMYFUNCTION("""COMPUTED_VALUE"""),"ernesto.parada")</f>
        <v>ernesto.parada</v>
      </c>
      <c r="C20" s="5">
        <f>IFERROR(__xludf.DUMMYFUNCTION("""COMPUTED_VALUE"""),44935.72559005787)</f>
        <v>44935.72559</v>
      </c>
      <c r="D20" s="5">
        <f>IFERROR(__xludf.DUMMYFUNCTION("""COMPUTED_VALUE"""),44935.0)</f>
        <v>44935</v>
      </c>
      <c r="E20" s="4" t="str">
        <f>IFERROR(__xludf.DUMMYFUNCTION("""COMPUTED_VALUE"""),"eduardo.cuomo@patagoniansys.com")</f>
        <v>eduardo.cuomo@patagoniansys.com</v>
      </c>
      <c r="F20" s="4" t="str">
        <f>IFERROR(__xludf.DUMMYFUNCTION("""COMPUTED_VALUE"""),"ernesto.parada@patagoniansys.com")</f>
        <v>ernesto.parada@patagoniansys.com</v>
      </c>
      <c r="G20" s="4" t="str">
        <f>IFERROR(__xludf.DUMMYFUNCTION("""COMPUTED_VALUE"""),"🗣 Solicita hablar")</f>
        <v>🗣 Solicita hablar</v>
      </c>
      <c r="H20" s="4" t="str">
        <f>IFERROR(__xludf.DUMMYFUNCTION("""COMPUTED_VALUE"""),"😐 Indiferente")</f>
        <v>😐 Indiferente</v>
      </c>
      <c r="I20" s="6" t="str">
        <f>IFERROR(__xludf.DUMMYFUNCTION("""COMPUTED_VALUE"""),"- Mbody está requiriendo mucho de su tiempo, quiere hacer algo nuevo pero el proyecto no le da tiempo para ello.
- El PartTime que le ofrecieron no se puedo cumplir, porque las prioridades de Mbody son mayores.
- No siguió con Ingles, porque se levantaba "&amp;"temprano para las clases y no tenía ganas.
- Lo habló con Jessy (su PM) en la revisión de Desempeño. Hay que ver qué pasará.
- Le gustaría invertir más tiempo desarrollando y en el proyecto nuevo Eythena. Le gustaría poder dirigir Mbody como TL exclusivo,"&amp;" pero no desarrollar.
- Pregunta por su plan de carrera, cómo capacitarse. Sugiero que siga con la certificación de AWS. Había comenzado con la de ""Developer"", posiblemente la continúe si es que le dan tiempo del proyecto para hacerlo.
- Resultado: Habl"&amp;"ará con su PM respecto a su tiempo. Luego, capacitará a Camila para que pueda tomar el rol de TL en Mbody.")</f>
        <v>- Mbody está requiriendo mucho de su tiempo, quiere hacer algo nuevo pero el proyecto no le da tiempo para ello.
- El PartTime que le ofrecieron no se puedo cumplir, porque las prioridades de Mbody son mayores.
- No siguió con Ingles, porque se levantaba temprano para las clases y no tenía ganas.
- Lo habló con Jessy (su PM) en la revisión de Desempeño. Hay que ver qué pasará.
- Le gustaría invertir más tiempo desarrollando y en el proyecto nuevo Eythena. Le gustaría poder dirigir Mbody como TL exclusivo, pero no desarrollar.
- Pregunta por su plan de carrera, cómo capacitarse. Sugiero que siga con la certificación de AWS. Había comenzado con la de "Developer", posiblemente la continúe si es que le dan tiempo del proyecto para hacerlo.
- Resultado: Hablará con su PM respecto a su tiempo. Luego, capacitará a Camila para que pueda tomar el rol de TL en Mbody.</v>
      </c>
      <c r="J20" s="4" t="str">
        <f>IFERROR(__xludf.DUMMYFUNCTION("""COMPUTED_VALUE"""),"PX|Referents|RRHH")</f>
        <v>PX|Referents|RRHH</v>
      </c>
    </row>
    <row r="21" hidden="1">
      <c r="A21" s="4">
        <f>IFERROR(__xludf.DUMMYFUNCTION("""COMPUTED_VALUE"""),287.0)</f>
        <v>287</v>
      </c>
      <c r="B21" s="4" t="str">
        <f>IFERROR(__xludf.DUMMYFUNCTION("""COMPUTED_VALUE"""),"duvan.narvaez")</f>
        <v>duvan.narvaez</v>
      </c>
      <c r="C21" s="5">
        <f>IFERROR(__xludf.DUMMYFUNCTION("""COMPUTED_VALUE"""),44937.76516388889)</f>
        <v>44937.76516</v>
      </c>
      <c r="D21" s="5">
        <f>IFERROR(__xludf.DUMMYFUNCTION("""COMPUTED_VALUE"""),44937.0)</f>
        <v>44937</v>
      </c>
      <c r="E21" s="4" t="str">
        <f>IFERROR(__xludf.DUMMYFUNCTION("""COMPUTED_VALUE"""),"diana.grajales@patagoniansys.com")</f>
        <v>diana.grajales@patagoniansys.com</v>
      </c>
      <c r="F21" s="4" t="str">
        <f>IFERROR(__xludf.DUMMYFUNCTION("""COMPUTED_VALUE"""),"duvan.narvaez@patagoniansys.com")</f>
        <v>duvan.narvaez@patagoniansys.com</v>
      </c>
      <c r="G21" s="4" t="str">
        <f>IFERROR(__xludf.DUMMYFUNCTION("""COMPUTED_VALUE"""),"⏱ One on One")</f>
        <v>⏱ One on One</v>
      </c>
      <c r="H21" s="4" t="str">
        <f>IFERROR(__xludf.DUMMYFUNCTION("""COMPUTED_VALUE"""),"😀 Sumamente Feliz")</f>
        <v>😀 Sumamente Feliz</v>
      </c>
      <c r="I21" s="6" t="str">
        <f>IFERROR(__xludf.DUMMYFUNCTION("""COMPUTED_VALUE"""),"Proyecto - HaliBurton ha estado supervisando y ayudando a sus miembros de equipo y ha estado dandole forma a el proyecto
En el proyecto segun fue categorizado con JR.
Ingles - Quiere inscribirse nuevamente a las clases de ingles nuevamente
Educacion - Qu"&amp;"iere tambien empezar una certificación en AWS
Es mi primera empresa en la que he podido trabajar integrado con el equipo.
")</f>
        <v>Proyecto - HaliBurton ha estado supervisando y ayudando a sus miembros de equipo y ha estado dandole forma a el proyecto
En el proyecto segun fue categorizado con JR.
Ingles - Quiere inscribirse nuevamente a las clases de ingles nuevamente
Educacion - Quiere tambien empezar una certificación en AWS
Es mi primera empresa en la que he podido trabajar integrado con el equipo.
</v>
      </c>
      <c r="J21" s="4" t="str">
        <f>IFERROR(__xludf.DUMMYFUNCTION("""COMPUTED_VALUE"""),"PX|Referents|RRHH")</f>
        <v>PX|Referents|RRHH</v>
      </c>
    </row>
    <row r="22" hidden="1">
      <c r="A22" s="4">
        <f>IFERROR(__xludf.DUMMYFUNCTION("""COMPUTED_VALUE"""),41.0)</f>
        <v>41</v>
      </c>
      <c r="B22" s="4" t="str">
        <f>IFERROR(__xludf.DUMMYFUNCTION("""COMPUTED_VALUE"""),"ezequiel.cortes")</f>
        <v>ezequiel.cortes</v>
      </c>
      <c r="C22" s="5">
        <f>IFERROR(__xludf.DUMMYFUNCTION("""COMPUTED_VALUE"""),44942.6629008912)</f>
        <v>44942.6629</v>
      </c>
      <c r="D22" s="5">
        <f>IFERROR(__xludf.DUMMYFUNCTION("""COMPUTED_VALUE"""),44938.0)</f>
        <v>44938</v>
      </c>
      <c r="E22" s="4" t="str">
        <f>IFERROR(__xludf.DUMMYFUNCTION("""COMPUTED_VALUE"""),"micaela.zorzetto@patagoniansys.com")</f>
        <v>micaela.zorzetto@patagoniansys.com</v>
      </c>
      <c r="F22" s="4" t="str">
        <f>IFERROR(__xludf.DUMMYFUNCTION("""COMPUTED_VALUE"""),"ezequiel.cortes@patagoniansys.com")</f>
        <v>ezequiel.cortes@patagoniansys.com</v>
      </c>
      <c r="G22" s="4" t="str">
        <f>IFERROR(__xludf.DUMMYFUNCTION("""COMPUTED_VALUE"""),"⏱ One on One")</f>
        <v>⏱ One on One</v>
      </c>
      <c r="H22" s="4" t="str">
        <f>IFERROR(__xludf.DUMMYFUNCTION("""COMPUTED_VALUE"""),"🙂 Feliz")</f>
        <v>🙂 Feliz</v>
      </c>
      <c r="I22" s="6" t="str">
        <f>IFERROR(__xludf.DUMMYFUNCTION("""COMPUTED_VALUE"""),"Personal: se lo ve bien, contento. Estaba en Chile de viaje")</f>
        <v>Personal: se lo ve bien, contento. Estaba en Chile de viaje</v>
      </c>
      <c r="J22" s="4" t="str">
        <f>IFERROR(__xludf.DUMMYFUNCTION("""COMPUTED_VALUE"""),"PX|Referents|RRHH")</f>
        <v>PX|Referents|RRHH</v>
      </c>
    </row>
    <row r="23" hidden="1">
      <c r="A23" s="4">
        <f>IFERROR(__xludf.DUMMYFUNCTION("""COMPUTED_VALUE"""),297.0)</f>
        <v>297</v>
      </c>
      <c r="B23" s="4" t="str">
        <f>IFERROR(__xludf.DUMMYFUNCTION("""COMPUTED_VALUE"""),"charly.palencia")</f>
        <v>charly.palencia</v>
      </c>
      <c r="C23" s="5">
        <f>IFERROR(__xludf.DUMMYFUNCTION("""COMPUTED_VALUE"""),44939.72330453704)</f>
        <v>44939.7233</v>
      </c>
      <c r="D23" s="5">
        <f>IFERROR(__xludf.DUMMYFUNCTION("""COMPUTED_VALUE"""),44939.0)</f>
        <v>44939</v>
      </c>
      <c r="E23" s="4" t="str">
        <f>IFERROR(__xludf.DUMMYFUNCTION("""COMPUTED_VALUE"""),"diana.grajales@patagoniansys.com")</f>
        <v>diana.grajales@patagoniansys.com</v>
      </c>
      <c r="F23" s="4" t="str">
        <f>IFERROR(__xludf.DUMMYFUNCTION("""COMPUTED_VALUE"""),"charly.palencia@patagoniansys.com")</f>
        <v>charly.palencia@patagoniansys.com</v>
      </c>
      <c r="G23" s="4" t="str">
        <f>IFERROR(__xludf.DUMMYFUNCTION("""COMPUTED_VALUE"""),"⏱ One on One")</f>
        <v>⏱ One on One</v>
      </c>
      <c r="H23" s="4" t="str">
        <f>IFERROR(__xludf.DUMMYFUNCTION("""COMPUTED_VALUE"""),"😀 Sumamente Feliz")</f>
        <v>😀 Sumamente Feliz</v>
      </c>
      <c r="I23" s="6" t="str">
        <f>IFERROR(__xludf.DUMMYFUNCTION("""COMPUTED_VALUE"""),"
Quiere seguir afianzando lazos con el cliente
PM-  Marcela es excelente muy diligente. 
En temas de educación soy más de libros, no tanto de cursos
Estoy muy contento con mi proyecto
")</f>
        <v>
Quiere seguir afianzando lazos con el cliente
PM-  Marcela es excelente muy diligente. 
En temas de educación soy más de libros, no tanto de cursos
Estoy muy contento con mi proyecto
</v>
      </c>
      <c r="J23" s="4" t="str">
        <f>IFERROR(__xludf.DUMMYFUNCTION("""COMPUTED_VALUE"""),"PX|Referents|RRHH")</f>
        <v>PX|Referents|RRHH</v>
      </c>
    </row>
    <row r="24" hidden="1">
      <c r="A24" s="4">
        <f>IFERROR(__xludf.DUMMYFUNCTION("""COMPUTED_VALUE"""),254.0)</f>
        <v>254</v>
      </c>
      <c r="B24" s="4" t="str">
        <f>IFERROR(__xludf.DUMMYFUNCTION("""COMPUTED_VALUE"""),"ismael.cespedes")</f>
        <v>ismael.cespedes</v>
      </c>
      <c r="C24" s="5">
        <f>IFERROR(__xludf.DUMMYFUNCTION("""COMPUTED_VALUE"""),44939.73974001157)</f>
        <v>44939.73974</v>
      </c>
      <c r="D24" s="5">
        <f>IFERROR(__xludf.DUMMYFUNCTION("""COMPUTED_VALUE"""),44939.0)</f>
        <v>44939</v>
      </c>
      <c r="E24" s="4" t="str">
        <f>IFERROR(__xludf.DUMMYFUNCTION("""COMPUTED_VALUE"""),"diana.grajales@patagoniansys.com")</f>
        <v>diana.grajales@patagoniansys.com</v>
      </c>
      <c r="F24" s="4" t="str">
        <f>IFERROR(__xludf.DUMMYFUNCTION("""COMPUTED_VALUE"""),"ismael.cespedes@patagoniansys.com")</f>
        <v>ismael.cespedes@patagoniansys.com</v>
      </c>
      <c r="G24" s="4" t="str">
        <f>IFERROR(__xludf.DUMMYFUNCTION("""COMPUTED_VALUE"""),"⏱ One on One")</f>
        <v>⏱ One on One</v>
      </c>
      <c r="H24" s="4" t="str">
        <f>IFERROR(__xludf.DUMMYFUNCTION("""COMPUTED_VALUE"""),"🙂 Feliz")</f>
        <v>🙂 Feliz</v>
      </c>
      <c r="I24" s="6" t="str">
        <f>IFERROR(__xludf.DUMMYFUNCTION("""COMPUTED_VALUE"""),"Este año le gustaria aprender un poco mas de AI
Al inicio se le dificulto un poco el tema de ingles, pero su mejor practica fue ingresar a reuniones
PM: hubo un momento en el que el PM del proyecto alzo la voz, pero despues se disculpo 
PM de Pata: Al ini"&amp;"cio fue lento el proceso pero ya tienen un buen ritmo de trabajo
Equipo:  Se siente bien ahora .
Beneficios: Cumpleaños Off 
")</f>
        <v>Este año le gustaria aprender un poco mas de AI
Al inicio se le dificulto un poco el tema de ingles, pero su mejor practica fue ingresar a reuniones
PM: hubo un momento en el que el PM del proyecto alzo la voz, pero despues se disculpo 
PM de Pata: Al inicio fue lento el proceso pero ya tienen un buen ritmo de trabajo
Equipo:  Se siente bien ahora .
Beneficios: Cumpleaños Off 
</v>
      </c>
      <c r="J24" s="4" t="str">
        <f>IFERROR(__xludf.DUMMYFUNCTION("""COMPUTED_VALUE"""),"PX|Referents|RRHH")</f>
        <v>PX|Referents|RRHH</v>
      </c>
    </row>
    <row r="25" hidden="1">
      <c r="A25" s="4">
        <f>IFERROR(__xludf.DUMMYFUNCTION("""COMPUTED_VALUE"""),204.0)</f>
        <v>204</v>
      </c>
      <c r="B25" s="4" t="str">
        <f>IFERROR(__xludf.DUMMYFUNCTION("""COMPUTED_VALUE"""),"luisa.fernandez")</f>
        <v>luisa.fernandez</v>
      </c>
      <c r="C25" s="5">
        <f>IFERROR(__xludf.DUMMYFUNCTION("""COMPUTED_VALUE"""),44944.42326393519)</f>
        <v>44944.42326</v>
      </c>
      <c r="D25" s="5">
        <f>IFERROR(__xludf.DUMMYFUNCTION("""COMPUTED_VALUE"""),44943.0)</f>
        <v>44943</v>
      </c>
      <c r="E25" s="4" t="str">
        <f>IFERROR(__xludf.DUMMYFUNCTION("""COMPUTED_VALUE"""),"sebastian.charre@patagoniansys.com")</f>
        <v>sebastian.charre@patagoniansys.com</v>
      </c>
      <c r="F25" s="4" t="str">
        <f>IFERROR(__xludf.DUMMYFUNCTION("""COMPUTED_VALUE"""),"luisa.fernandez@patagoniansys.com")</f>
        <v>luisa.fernandez@patagoniansys.com</v>
      </c>
      <c r="G25" s="4" t="str">
        <f>IFERROR(__xludf.DUMMYFUNCTION("""COMPUTED_VALUE"""),"⏱ One on One")</f>
        <v>⏱ One on One</v>
      </c>
      <c r="H25" s="4" t="str">
        <f>IFERROR(__xludf.DUMMYFUNCTION("""COMPUTED_VALUE"""),"🙂 Feliz")</f>
        <v>🙂 Feliz</v>
      </c>
      <c r="I25" s="6" t="str">
        <f>IFERROR(__xludf.DUMMYFUNCTION("""COMPUTED_VALUE"""),"Está contenta en el proyecto. Está trabajando junto con una persona del cliente con el cual se llevan bien y se ayudan mutuamente (del lado de Patagonian está sola). Le gustaba mucho el proyecto anterior, pero en este, luego de un tiempo, se adaptó y está"&amp;" satisfecha. Le gusta la tecnologia que utiliza (python)")</f>
        <v>Está contenta en el proyecto. Está trabajando junto con una persona del cliente con el cual se llevan bien y se ayudan mutuamente (del lado de Patagonian está sola). Le gustaba mucho el proyecto anterior, pero en este, luego de un tiempo, se adaptó y está satisfecha. Le gusta la tecnologia que utiliza (python)</v>
      </c>
      <c r="J25" s="4" t="str">
        <f>IFERROR(__xludf.DUMMYFUNCTION("""COMPUTED_VALUE"""),"PX|Referents|RRHH")</f>
        <v>PX|Referents|RRHH</v>
      </c>
    </row>
    <row r="26" hidden="1">
      <c r="A26" s="4">
        <f>IFERROR(__xludf.DUMMYFUNCTION("""COMPUTED_VALUE"""),73.0)</f>
        <v>73</v>
      </c>
      <c r="B26" s="4" t="str">
        <f>IFERROR(__xludf.DUMMYFUNCTION("""COMPUTED_VALUE"""),"andres.attwell")</f>
        <v>andres.attwell</v>
      </c>
      <c r="C26" s="5">
        <f>IFERROR(__xludf.DUMMYFUNCTION("""COMPUTED_VALUE"""),44944.53053016203)</f>
        <v>44944.53053</v>
      </c>
      <c r="D26" s="5">
        <f>IFERROR(__xludf.DUMMYFUNCTION("""COMPUTED_VALUE"""),44944.0)</f>
        <v>44944</v>
      </c>
      <c r="E26" s="4" t="str">
        <f>IFERROR(__xludf.DUMMYFUNCTION("""COMPUTED_VALUE"""),"agustin.kloster@patagoniansys.com")</f>
        <v>agustin.kloster@patagoniansys.com</v>
      </c>
      <c r="F26" s="4" t="str">
        <f>IFERROR(__xludf.DUMMYFUNCTION("""COMPUTED_VALUE"""),"andres.attwell@patagoniansys.com")</f>
        <v>andres.attwell@patagoniansys.com</v>
      </c>
      <c r="G26" s="4" t="str">
        <f>IFERROR(__xludf.DUMMYFUNCTION("""COMPUTED_VALUE"""),"⏱ One on One")</f>
        <v>⏱ One on One</v>
      </c>
      <c r="H26" s="4" t="str">
        <f>IFERROR(__xludf.DUMMYFUNCTION("""COMPUTED_VALUE"""),"😀 Sumamente Feliz")</f>
        <v>😀 Sumamente Feliz</v>
      </c>
      <c r="I26" s="6" t="str">
        <f>IFERROR(__xludf.DUMMYFUNCTION("""COMPUTED_VALUE"""),"Está muy contento con el proyecto, con el equipo. Lo siente como uno de los mejores equipos con los que ha trabajado a lo largo de su carrera. Alguna inseguridad en el nuevo rol de TL, especialmente con las estimaciones.")</f>
        <v>Está muy contento con el proyecto, con el equipo. Lo siente como uno de los mejores equipos con los que ha trabajado a lo largo de su carrera. Alguna inseguridad en el nuevo rol de TL, especialmente con las estimaciones.</v>
      </c>
      <c r="J26" s="4" t="str">
        <f>IFERROR(__xludf.DUMMYFUNCTION("""COMPUTED_VALUE"""),"PX|Referents|RRHH")</f>
        <v>PX|Referents|RRHH</v>
      </c>
    </row>
    <row r="27" hidden="1">
      <c r="A27" s="4">
        <f>IFERROR(__xludf.DUMMYFUNCTION("""COMPUTED_VALUE"""),272.0)</f>
        <v>272</v>
      </c>
      <c r="B27" s="4" t="str">
        <f>IFERROR(__xludf.DUMMYFUNCTION("""COMPUTED_VALUE"""),"santiago.grossi")</f>
        <v>santiago.grossi</v>
      </c>
      <c r="C27" s="5">
        <f>IFERROR(__xludf.DUMMYFUNCTION("""COMPUTED_VALUE"""),44944.5433725926)</f>
        <v>44944.54337</v>
      </c>
      <c r="D27" s="5">
        <f>IFERROR(__xludf.DUMMYFUNCTION("""COMPUTED_VALUE"""),44944.0)</f>
        <v>44944</v>
      </c>
      <c r="E27" s="4" t="str">
        <f>IFERROR(__xludf.DUMMYFUNCTION("""COMPUTED_VALUE"""),"agustin.kloster@patagoniansys.com")</f>
        <v>agustin.kloster@patagoniansys.com</v>
      </c>
      <c r="F27" s="4" t="str">
        <f>IFERROR(__xludf.DUMMYFUNCTION("""COMPUTED_VALUE"""),"santiago.grossi@patagoniansys.com")</f>
        <v>santiago.grossi@patagoniansys.com</v>
      </c>
      <c r="G27" s="4" t="str">
        <f>IFERROR(__xludf.DUMMYFUNCTION("""COMPUTED_VALUE"""),"⏱ One on One")</f>
        <v>⏱ One on One</v>
      </c>
      <c r="H27" s="4" t="str">
        <f>IFERROR(__xludf.DUMMYFUNCTION("""COMPUTED_VALUE"""),"😐 Indiferente")</f>
        <v>😐 Indiferente</v>
      </c>
      <c r="I27" s="6" t="str">
        <f>IFERROR(__xludf.DUMMYFUNCTION("""COMPUTED_VALUE"""),"Muy contento con el equipo, las personas, el trato. Pero no le gusta nada el proyecto, específicamente el Drupal. Siente que avanza muy lento, que no es productivo, y que está un poco estancado. Y le estresa estar en el lugar de no saber, de trabajar con "&amp;"tecnologías que no entiende, que no conoce, de depender de que otras personas lo ayuden para hacer sus tareas.")</f>
        <v>Muy contento con el equipo, las personas, el trato. Pero no le gusta nada el proyecto, específicamente el Drupal. Siente que avanza muy lento, que no es productivo, y que está un poco estancado. Y le estresa estar en el lugar de no saber, de trabajar con tecnologías que no entiende, que no conoce, de depender de que otras personas lo ayuden para hacer sus tareas.</v>
      </c>
      <c r="J27" s="4" t="str">
        <f>IFERROR(__xludf.DUMMYFUNCTION("""COMPUTED_VALUE"""),"PX|Referents|RRHH")</f>
        <v>PX|Referents|RRHH</v>
      </c>
    </row>
    <row r="28" hidden="1">
      <c r="A28" s="4">
        <f>IFERROR(__xludf.DUMMYFUNCTION("""COMPUTED_VALUE"""),249.0)</f>
        <v>249</v>
      </c>
      <c r="B28" s="4" t="str">
        <f>IFERROR(__xludf.DUMMYFUNCTION("""COMPUTED_VALUE"""),"nahuel.diaz")</f>
        <v>nahuel.diaz</v>
      </c>
      <c r="C28" s="5">
        <f>IFERROR(__xludf.DUMMYFUNCTION("""COMPUTED_VALUE"""),44946.50977486111)</f>
        <v>44946.50977</v>
      </c>
      <c r="D28" s="5">
        <f>IFERROR(__xludf.DUMMYFUNCTION("""COMPUTED_VALUE"""),44944.0)</f>
        <v>44944</v>
      </c>
      <c r="E28" s="4" t="str">
        <f>IFERROR(__xludf.DUMMYFUNCTION("""COMPUTED_VALUE"""),"hernan.muras@patagoniansys.com")</f>
        <v>hernan.muras@patagoniansys.com</v>
      </c>
      <c r="F28" s="4" t="str">
        <f>IFERROR(__xludf.DUMMYFUNCTION("""COMPUTED_VALUE"""),"nahuel.diaz@patagoniansys.com")</f>
        <v>nahuel.diaz@patagoniansys.com</v>
      </c>
      <c r="G28" s="4" t="str">
        <f>IFERROR(__xludf.DUMMYFUNCTION("""COMPUTED_VALUE"""),"⏱ One on One")</f>
        <v>⏱ One on One</v>
      </c>
      <c r="H28" s="4" t="str">
        <f>IFERROR(__xludf.DUMMYFUNCTION("""COMPUTED_VALUE"""),"🙂 Feliz")</f>
        <v>🙂 Feliz</v>
      </c>
      <c r="I28" s="6" t="str">
        <f>IFERROR(__xludf.DUMMYFUNCTION("""COMPUTED_VALUE"""),"Nahuel se siente a gusto en el proyecto (ABC). Si bien es su primera experiencia laboral y no tiene contra qué comparar, reconoce que es un equipo de trabajo muy colaborativo. Siente que su trabajo aporta valor al producto. Le hubiese gustado que la docum"&amp;"entación fuera más prolija, pero entiende que la dinámica del proyecto no facilitó que así fuera. Reconoce que haber trabajado tanto en front como en back le brindaron herramientas muy útiles. Se identifica con el ADN Patagonian y cree que es el fuerte de"&amp;" la empresa a la hora de retener talentos. Destacó la labor de Henry Tong por su curiosidad, su predisposición y el ánimo que tiene para compartir cursos.")</f>
        <v>Nahuel se siente a gusto en el proyecto (ABC). Si bien es su primera experiencia laboral y no tiene contra qué comparar, reconoce que es un equipo de trabajo muy colaborativo. Siente que su trabajo aporta valor al producto. Le hubiese gustado que la documentación fuera más prolija, pero entiende que la dinámica del proyecto no facilitó que así fuera. Reconoce que haber trabajado tanto en front como en back le brindaron herramientas muy útiles. Se identifica con el ADN Patagonian y cree que es el fuerte de la empresa a la hora de retener talentos. Destacó la labor de Henry Tong por su curiosidad, su predisposición y el ánimo que tiene para compartir cursos.</v>
      </c>
      <c r="J28" s="4" t="str">
        <f>IFERROR(__xludf.DUMMYFUNCTION("""COMPUTED_VALUE"""),"PX|Referents|RRHH")</f>
        <v>PX|Referents|RRHH</v>
      </c>
    </row>
    <row r="29" hidden="1">
      <c r="A29" s="4">
        <f>IFERROR(__xludf.DUMMYFUNCTION("""COMPUTED_VALUE"""),280.0)</f>
        <v>280</v>
      </c>
      <c r="B29" s="4" t="str">
        <f>IFERROR(__xludf.DUMMYFUNCTION("""COMPUTED_VALUE"""),"jose.flores")</f>
        <v>jose.flores</v>
      </c>
      <c r="C29" s="5">
        <f>IFERROR(__xludf.DUMMYFUNCTION("""COMPUTED_VALUE"""),44945.494999027775)</f>
        <v>44945.495</v>
      </c>
      <c r="D29" s="5">
        <f>IFERROR(__xludf.DUMMYFUNCTION("""COMPUTED_VALUE"""),44945.0)</f>
        <v>44945</v>
      </c>
      <c r="E29" s="4" t="str">
        <f>IFERROR(__xludf.DUMMYFUNCTION("""COMPUTED_VALUE"""),"sebastian.charre@patagoniansys.com")</f>
        <v>sebastian.charre@patagoniansys.com</v>
      </c>
      <c r="F29" s="4" t="str">
        <f>IFERROR(__xludf.DUMMYFUNCTION("""COMPUTED_VALUE"""),"jose.flores@patagoniansys.com")</f>
        <v>jose.flores@patagoniansys.com</v>
      </c>
      <c r="G29" s="4" t="str">
        <f>IFERROR(__xludf.DUMMYFUNCTION("""COMPUTED_VALUE"""),"⏱ One on One")</f>
        <v>⏱ One on One</v>
      </c>
      <c r="H29" s="4" t="str">
        <f>IFERROR(__xludf.DUMMYFUNCTION("""COMPUTED_VALUE"""),"😐 Indiferente")</f>
        <v>😐 Indiferente</v>
      </c>
      <c r="I29" s="6" t="str">
        <f>IFERROR(__xludf.DUMMYFUNCTION("""COMPUTED_VALUE"""),"José está muy a gusto en el proyecto asignado (SA para Halliburton - PAE). Él ingresa en julio del 22 a un proyecto iniciado y se sinitió un poco perdido. Este nuevo proyecto lo inicia desde el comienzo por lo que se siente a gusto. Tiene buena relación c"&amp;"on el equipo de Halliburton, pero es el único de Patagonian. Está muy a gusto con la empresa. Hablamos de los beneficios (interesado en inglés). Es su primer experiencia en relación de dependencia.")</f>
        <v>José está muy a gusto en el proyecto asignado (SA para Halliburton - PAE). Él ingresa en julio del 22 a un proyecto iniciado y se sinitió un poco perdido. Este nuevo proyecto lo inicia desde el comienzo por lo que se siente a gusto. Tiene buena relación con el equipo de Halliburton, pero es el único de Patagonian. Está muy a gusto con la empresa. Hablamos de los beneficios (interesado en inglés). Es su primer experiencia en relación de dependencia.</v>
      </c>
      <c r="J29" s="4" t="str">
        <f>IFERROR(__xludf.DUMMYFUNCTION("""COMPUTED_VALUE"""),"PX|Referents|RRHH")</f>
        <v>PX|Referents|RRHH</v>
      </c>
    </row>
    <row r="30">
      <c r="A30" s="4">
        <f>IFERROR(__xludf.DUMMYFUNCTION("""COMPUTED_VALUE"""),177.0)</f>
        <v>177</v>
      </c>
      <c r="B30" s="4" t="str">
        <f>IFERROR(__xludf.DUMMYFUNCTION("""COMPUTED_VALUE"""),"juan.marin")</f>
        <v>juan.marin</v>
      </c>
      <c r="C30" s="5">
        <f>IFERROR(__xludf.DUMMYFUNCTION("""COMPUTED_VALUE"""),44945.547767638884)</f>
        <v>44945.54777</v>
      </c>
      <c r="D30" s="5">
        <f>IFERROR(__xludf.DUMMYFUNCTION("""COMPUTED_VALUE"""),44945.0)</f>
        <v>44945</v>
      </c>
      <c r="E30" s="4" t="str">
        <f>IFERROR(__xludf.DUMMYFUNCTION("""COMPUTED_VALUE"""),"juan.villamizar@patagoniansys.com")</f>
        <v>juan.villamizar@patagoniansys.com</v>
      </c>
      <c r="F30" s="4" t="str">
        <f>IFERROR(__xludf.DUMMYFUNCTION("""COMPUTED_VALUE"""),"juan.marin@patagonian.com")</f>
        <v>juan.marin@patagonian.com</v>
      </c>
      <c r="G30" s="4" t="str">
        <f>IFERROR(__xludf.DUMMYFUNCTION("""COMPUTED_VALUE"""),"Referent One on One")</f>
        <v>Referent One on One</v>
      </c>
      <c r="H30" s="4"/>
      <c r="I30" s="6" t="str">
        <f>IFERROR(__xludf.DUMMYFUNCTION("""COMPUTED_VALUE"""),"- Interviewee e-Mail: juan.marin@patagonian.com
- Project Status Check: Juanda manifestó una inconformidad con el proyecto en curso sobre la asignación de tareas que no corresponden a su nivel técnico de desarrollo, estoy esperando a la reunión one on one"&amp;" para poder entrar en detalle de su molestia
- Project Changes | Notes: Trabaja con APHL y algo de Mbady (devops) cambio de equipo, remplazo de jon kim (senior consultant) remplazado por Malika, Juanda encagargado de hacer proceso de onborading, Jon hizo "&amp;"una buena entrega y no tiene problemas para hacer onboarding 
- Project Role | Feeling: 2
- Extra Work Hours | Amount: 0
- Techs | Research: Kebernetes, AWS
- Techs | Certifications: AWS Solutions Architect
- Techs | Recomendations: Certificación de AWS S"&amp;"olitions Arquitect Professional
- Techs | Recomendations check: SI, ya se empezó a hacer un plan de estudios para poder hacer la certificación de Kubernetes
- Collaborator | Seniority: 👆 Si, es mayor al establecido
- Alerts: Hay un poco de desmotivación "&amp;"en el trabajo que está haciendo en el proyecto que está asignado de PwC APHL ya que siente que su conocimiento técnico no está siendo realmente utilizado
- Project Needs / Oportunities: Hacer seguimiento de las tareas que le son asignadas para que cumplan"&amp;" con sus expectativas profesionales y sienta que su aporte genera valor a su carrera profesional, Hay que comunicarse directamente con el cliente para revisar si es posible hacer cambios en la gestión del proyecto y asignar tareas más técnicas para su des"&amp;"arrollo.
- Final notes: Juanda manifiesta que la gestión que se está haciendo es buena por el lado de Project Management, le parece bien que se hagan los seguimientos Siente que se está haciendo buen trabajo de acompañamiento. Por mi lado siento que Juand"&amp;"a quiere tener crecimiento laboral rápido y siente que no lo está teniendo, está a la expectativa para que lo suban de seniority ya que según él lo había hablado con Fico para verlo en el próximo Q
- Project Techs | Learning: 1
- Techs | Research: 10
- Pr"&amp;"oject Techs | Difficulty: 4
- Project Changes | Reasons: 🔀 Cambio de roles dentro del equipo, Staff Augmentation, cambio de roles dentro del equipo del cliente
- Project Changes | Personal Impact: 3
- Project Role | Value: 2
- Project role | Notes: La ma"&amp;"yoria de las tareas asignadas no corresponden al job description de Juanda sintiendose sub valorado en las capacidades tecnicas que tiene. No siente que su aporte en el proyecto le genere valor como profesional.")</f>
        <v>- Interviewee e-Mail: juan.marin@patagonian.com
- Project Status Check: Juanda manifestó una inconformidad con el proyecto en curso sobre la asignación de tareas que no corresponden a su nivel técnico de desarrollo, estoy esperando a la reunión one on one para poder entrar en detalle de su molestia
- Project Changes | Notes: Trabaja con APHL y algo de Mbady (devops) cambio de equipo, remplazo de jon kim (senior consultant) remplazado por Malika, Juanda encagargado de hacer proceso de onborading, Jon hizo una buena entrega y no tiene problemas para hacer onboarding 
- Project Role | Feeling: 2
- Extra Work Hours | Amount: 0
- Techs | Research: Kebernetes, AWS
- Techs | Certifications: AWS Solutions Architect
- Techs | Recomendations: Certificación de AWS Solitions Arquitect Professional
- Techs | Recomendations check: SI, ya se empezó a hacer un plan de estudios para poder hacer la certificación de Kubernetes
- Collaborator | Seniority: 👆 Si, es mayor al establecido
- Alerts: Hay un poco de desmotivación en el trabajo que está haciendo en el proyecto que está asignado de PwC APHL ya que siente que su conocimiento técnico no está siendo realmente utilizado
- Project Needs / Oportunities: Hacer seguimiento de las tareas que le son asignadas para que cumplan con sus expectativas profesionales y sienta que su aporte genera valor a su carrera profesional, Hay que comunicarse directamente con el cliente para revisar si es posible hacer cambios en la gestión del proyecto y asignar tareas más técnicas para su desarrollo.
- Final notes: Juanda manifiesta que la gestión que se está haciendo es buena por el lado de Project Management, le parece bien que se hagan los seguimientos Siente que se está haciendo buen trabajo de acompañamiento. Por mi lado siento que Juanda quiere tener crecimiento laboral rápido y siente que no lo está teniendo, está a la expectativa para que lo suban de seniority ya que según él lo había hablado con Fico para verlo en el próximo Q
- Project Techs | Learning: 1
- Techs | Research: 10
- Project Techs | Difficulty: 4
- Project Changes | Reasons: 🔀 Cambio de roles dentro del equipo, Staff Augmentation, cambio de roles dentro del equipo del cliente
- Project Changes | Personal Impact: 3
- Project Role | Value: 2
- Project role | Notes: La mayoria de las tareas asignadas no corresponden al job description de Juanda sintiendose sub valorado en las capacidades tecnicas que tiene. No siente que su aporte en el proyecto le genere valor como profesional.</v>
      </c>
      <c r="J30" s="4" t="str">
        <f>IFERROR(__xludf.DUMMYFUNCTION("""COMPUTED_VALUE"""),"Tech Referent - OneOnOne")</f>
        <v>Tech Referent - OneOnOne</v>
      </c>
    </row>
    <row r="31" hidden="1">
      <c r="A31" s="4">
        <f>IFERROR(__xludf.DUMMYFUNCTION("""COMPUTED_VALUE"""),177.0)</f>
        <v>177</v>
      </c>
      <c r="B31" s="4" t="str">
        <f>IFERROR(__xludf.DUMMYFUNCTION("""COMPUTED_VALUE"""),"juan.marin")</f>
        <v>juan.marin</v>
      </c>
      <c r="C31" s="5">
        <f>IFERROR(__xludf.DUMMYFUNCTION("""COMPUTED_VALUE"""),44950.4972837037)</f>
        <v>44950.49728</v>
      </c>
      <c r="D31" s="5">
        <f>IFERROR(__xludf.DUMMYFUNCTION("""COMPUTED_VALUE"""),44945.0)</f>
        <v>44945</v>
      </c>
      <c r="E31" s="4" t="str">
        <f>IFERROR(__xludf.DUMMYFUNCTION("""COMPUTED_VALUE"""),"juan.villamizar@patagoniansys.com")</f>
        <v>juan.villamizar@patagoniansys.com</v>
      </c>
      <c r="F31" s="4" t="str">
        <f>IFERROR(__xludf.DUMMYFUNCTION("""COMPUTED_VALUE"""),"juan.marin@patagoniansys.com")</f>
        <v>juan.marin@patagoniansys.com</v>
      </c>
      <c r="G31" s="4" t="str">
        <f>IFERROR(__xludf.DUMMYFUNCTION("""COMPUTED_VALUE"""),"⏱ One on One")</f>
        <v>⏱ One on One</v>
      </c>
      <c r="H31" s="4" t="str">
        <f>IFERROR(__xludf.DUMMYFUNCTION("""COMPUTED_VALUE"""),"😐 Indiferente")</f>
        <v>😐 Indiferente</v>
      </c>
      <c r="I31" s="6" t="str">
        <f>IFERROR(__xludf.DUMMYFUNCTION("""COMPUTED_VALUE"""),"JuanDa no está muy a gusto con las asignaciones que tiene en el proyecto porque no todo tiene que ver con desarrollo DevOps. A pesar de ser pieza clave no siente que le esté aportando mucho a su desempeño profesional. Va a entrar a estudiar para especiali"&amp;"zarse en Kubernetes, con el equipo se siente cómodo y ve en Luca un buen apoyo de trabajo.")</f>
        <v>JuanDa no está muy a gusto con las asignaciones que tiene en el proyecto porque no todo tiene que ver con desarrollo DevOps. A pesar de ser pieza clave no siente que le esté aportando mucho a su desempeño profesional. Va a entrar a estudiar para especializarse en Kubernetes, con el equipo se siente cómodo y ve en Luca un buen apoyo de trabajo.</v>
      </c>
      <c r="J31" s="4" t="str">
        <f>IFERROR(__xludf.DUMMYFUNCTION("""COMPUTED_VALUE"""),"PX|Referents|RRHH")</f>
        <v>PX|Referents|RRHH</v>
      </c>
    </row>
    <row r="32" hidden="1">
      <c r="A32" s="4">
        <f>IFERROR(__xludf.DUMMYFUNCTION("""COMPUTED_VALUE"""),201.0)</f>
        <v>201</v>
      </c>
      <c r="B32" s="4" t="str">
        <f>IFERROR(__xludf.DUMMYFUNCTION("""COMPUTED_VALUE"""),"daniel.cardenas")</f>
        <v>daniel.cardenas</v>
      </c>
      <c r="C32" s="5">
        <f>IFERROR(__xludf.DUMMYFUNCTION("""COMPUTED_VALUE"""),44951.50897721065)</f>
        <v>44951.50898</v>
      </c>
      <c r="D32" s="5">
        <f>IFERROR(__xludf.DUMMYFUNCTION("""COMPUTED_VALUE"""),44946.0)</f>
        <v>44946</v>
      </c>
      <c r="E32" s="4" t="str">
        <f>IFERROR(__xludf.DUMMYFUNCTION("""COMPUTED_VALUE"""),"jimena.gutierrez@patagoniansys.com")</f>
        <v>jimena.gutierrez@patagoniansys.com</v>
      </c>
      <c r="F32" s="4" t="str">
        <f>IFERROR(__xludf.DUMMYFUNCTION("""COMPUTED_VALUE"""),"daniel.cardenas@patagoniansys.com")</f>
        <v>daniel.cardenas@patagoniansys.com</v>
      </c>
      <c r="G32" s="4" t="str">
        <f>IFERROR(__xludf.DUMMYFUNCTION("""COMPUTED_VALUE"""),"⏱ One on One")</f>
        <v>⏱ One on One</v>
      </c>
      <c r="H32" s="4" t="str">
        <f>IFERROR(__xludf.DUMMYFUNCTION("""COMPUTED_VALUE"""),"😀 Sumamente Feliz")</f>
        <v>😀 Sumamente Feliz</v>
      </c>
      <c r="I32" s="6" t="str">
        <f>IFERROR(__xludf.DUMMYFUNCTION("""COMPUTED_VALUE"""),"Con Patagonian está muy contento, le gusta mucho la empresa. Comentó que le han llegado muchas ofertas de trabajo pero las ha rechazado porque está a gusto, le gusta trabajar con la gente de pata, todos son proactivos, amables, no tiene ningún problema co"&amp;"n nadie.
Con el proyecto, no es muy divertido, es un proyecto que no tiene mucha documentación. Hay falta de comunicación entre los equipos dentro de Almundo. Es un proyecto que requiere mucha proactividad de parte de cada miembro del equipo. A veces se "&amp;"demoran con ciertas temas burocráticos pero más allá de los inconvenientes que se han ido presentando se siente a gusto. Tienen un PM Matias. Tienen un líder técnico que está bastante ausente. A veces siente que por falta de management o seguimiento del l"&amp;"ado de Almundo no se ve lo que se hace o el avance que tienen. Le da inseguridad su continuidad en el proyecto. Siente el cliente no los tiene mucho en cuenta. Se siente un poco desmotivado en ese sentido.
")</f>
        <v>Con Patagonian está muy contento, le gusta mucho la empresa. Comentó que le han llegado muchas ofertas de trabajo pero las ha rechazado porque está a gusto, le gusta trabajar con la gente de pata, todos son proactivos, amables, no tiene ningún problema con nadie.
Con el proyecto, no es muy divertido, es un proyecto que no tiene mucha documentación. Hay falta de comunicación entre los equipos dentro de Almundo. Es un proyecto que requiere mucha proactividad de parte de cada miembro del equipo. A veces se demoran con ciertas temas burocráticos pero más allá de los inconvenientes que se han ido presentando se siente a gusto. Tienen un PM Matias. Tienen un líder técnico que está bastante ausente. A veces siente que por falta de management o seguimiento del lado de Almundo no se ve lo que se hace o el avance que tienen. Le da inseguridad su continuidad en el proyecto. Siente el cliente no los tiene mucho en cuenta. Se siente un poco desmotivado en ese sentido.
</v>
      </c>
      <c r="J32" s="4" t="str">
        <f>IFERROR(__xludf.DUMMYFUNCTION("""COMPUTED_VALUE"""),"PX|Referents|RRHH")</f>
        <v>PX|Referents|RRHH</v>
      </c>
    </row>
    <row r="33" hidden="1">
      <c r="A33" s="4">
        <f>IFERROR(__xludf.DUMMYFUNCTION("""COMPUTED_VALUE"""),136.0)</f>
        <v>136</v>
      </c>
      <c r="B33" s="4" t="str">
        <f>IFERROR(__xludf.DUMMYFUNCTION("""COMPUTED_VALUE"""),"freddy.orozco")</f>
        <v>freddy.orozco</v>
      </c>
      <c r="C33" s="5">
        <f>IFERROR(__xludf.DUMMYFUNCTION("""COMPUTED_VALUE"""),44956.484189930554)</f>
        <v>44956.48419</v>
      </c>
      <c r="D33" s="5">
        <f>IFERROR(__xludf.DUMMYFUNCTION("""COMPUTED_VALUE"""),44949.0)</f>
        <v>44949</v>
      </c>
      <c r="E33" s="4" t="str">
        <f>IFERROR(__xludf.DUMMYFUNCTION("""COMPUTED_VALUE"""),"jimena.gutierrez@patagoniansys.com")</f>
        <v>jimena.gutierrez@patagoniansys.com</v>
      </c>
      <c r="F33" s="4" t="str">
        <f>IFERROR(__xludf.DUMMYFUNCTION("""COMPUTED_VALUE"""),"freddy.orozco@patagoniansys.com")</f>
        <v>freddy.orozco@patagoniansys.com</v>
      </c>
      <c r="G33" s="4" t="str">
        <f>IFERROR(__xludf.DUMMYFUNCTION("""COMPUTED_VALUE"""),"⏱ One on One")</f>
        <v>⏱ One on One</v>
      </c>
      <c r="H33" s="4" t="str">
        <f>IFERROR(__xludf.DUMMYFUNCTION("""COMPUTED_VALUE"""),"🙂 Feliz")</f>
        <v>🙂 Feliz</v>
      </c>
      <c r="I33" s="6" t="str">
        <f>IFERROR(__xludf.DUMMYFUNCTION("""COMPUTED_VALUE"""),"Se siente bien tanto con el equipo como con el proyecto. Mencionó que dentro del proyecto se aprende bastante, siempre hay desafíos lo cual lo motiva. Se siente apoyado. Destacó que el cliente es muy organizado en sus procesos, arquitectura y generación d"&amp;"e código.")</f>
        <v>Se siente bien tanto con el equipo como con el proyecto. Mencionó que dentro del proyecto se aprende bastante, siempre hay desafíos lo cual lo motiva. Se siente apoyado. Destacó que el cliente es muy organizado en sus procesos, arquitectura y generación de código.</v>
      </c>
      <c r="J33" s="4" t="str">
        <f>IFERROR(__xludf.DUMMYFUNCTION("""COMPUTED_VALUE"""),"PX|Referents|RRHH")</f>
        <v>PX|Referents|RRHH</v>
      </c>
    </row>
    <row r="34" hidden="1">
      <c r="A34" s="4">
        <f>IFERROR(__xludf.DUMMYFUNCTION("""COMPUTED_VALUE"""),287.0)</f>
        <v>287</v>
      </c>
      <c r="B34" s="4" t="str">
        <f>IFERROR(__xludf.DUMMYFUNCTION("""COMPUTED_VALUE"""),"duvan.narvaez")</f>
        <v>duvan.narvaez</v>
      </c>
      <c r="C34" s="5">
        <f>IFERROR(__xludf.DUMMYFUNCTION("""COMPUTED_VALUE"""),44953.79306168981)</f>
        <v>44953.79306</v>
      </c>
      <c r="D34" s="5">
        <f>IFERROR(__xludf.DUMMYFUNCTION("""COMPUTED_VALUE"""),44950.0)</f>
        <v>44950</v>
      </c>
      <c r="E34" s="4" t="str">
        <f>IFERROR(__xludf.DUMMYFUNCTION("""COMPUTED_VALUE"""),"sebastian.charre@patagoniansys.com")</f>
        <v>sebastian.charre@patagoniansys.com</v>
      </c>
      <c r="F34" s="4" t="str">
        <f>IFERROR(__xludf.DUMMYFUNCTION("""COMPUTED_VALUE"""),"duvan.narvaez@patagoniansys.com")</f>
        <v>duvan.narvaez@patagoniansys.com</v>
      </c>
      <c r="G34" s="4" t="str">
        <f>IFERROR(__xludf.DUMMYFUNCTION("""COMPUTED_VALUE"""),"⏱ One on One")</f>
        <v>⏱ One on One</v>
      </c>
      <c r="H34" s="4" t="str">
        <f>IFERROR(__xludf.DUMMYFUNCTION("""COMPUTED_VALUE"""),"🙂 Feliz")</f>
        <v>🙂 Feliz</v>
      </c>
      <c r="I34" s="6" t="str">
        <f>IFERROR(__xludf.DUMMYFUNCTION("""COMPUTED_VALUE"""),"Actualmente en proyecto Halliburton Colombia. Trabajó en anteriores empresas como Front end y back end. Maneja NODE.JS y React. Está contento con Patagonian por poder actualizarse en nuevas tecnologías.")</f>
        <v>Actualmente en proyecto Halliburton Colombia. Trabajó en anteriores empresas como Front end y back end. Maneja NODE.JS y React. Está contento con Patagonian por poder actualizarse en nuevas tecnologías.</v>
      </c>
      <c r="J34" s="4" t="str">
        <f>IFERROR(__xludf.DUMMYFUNCTION("""COMPUTED_VALUE"""),"PX|Referents|RRHH")</f>
        <v>PX|Referents|RRHH</v>
      </c>
    </row>
    <row r="35" hidden="1">
      <c r="A35" s="4">
        <f>IFERROR(__xludf.DUMMYFUNCTION("""COMPUTED_VALUE"""),173.0)</f>
        <v>173</v>
      </c>
      <c r="B35" s="4" t="str">
        <f>IFERROR(__xludf.DUMMYFUNCTION("""COMPUTED_VALUE"""),"elias.caram")</f>
        <v>elias.caram</v>
      </c>
      <c r="C35" s="5">
        <f>IFERROR(__xludf.DUMMYFUNCTION("""COMPUTED_VALUE"""),44960.42157810186)</f>
        <v>44960.42158</v>
      </c>
      <c r="D35" s="5">
        <f>IFERROR(__xludf.DUMMYFUNCTION("""COMPUTED_VALUE"""),44951.0)</f>
        <v>44951</v>
      </c>
      <c r="E35" s="4" t="str">
        <f>IFERROR(__xludf.DUMMYFUNCTION("""COMPUTED_VALUE"""),"micaela.zorzetto@patagoniansys.com")</f>
        <v>micaela.zorzetto@patagoniansys.com</v>
      </c>
      <c r="F35" s="4" t="str">
        <f>IFERROR(__xludf.DUMMYFUNCTION("""COMPUTED_VALUE"""),"elias.caram@patagoniansys.com")</f>
        <v>elias.caram@patagoniansys.com</v>
      </c>
      <c r="G35" s="4" t="str">
        <f>IFERROR(__xludf.DUMMYFUNCTION("""COMPUTED_VALUE"""),"⏱ One on One")</f>
        <v>⏱ One on One</v>
      </c>
      <c r="H35" s="4" t="str">
        <f>IFERROR(__xludf.DUMMYFUNCTION("""COMPUTED_VALUE"""),"😐 Indiferente")</f>
        <v>😐 Indiferente</v>
      </c>
      <c r="I35" s="6" t="str">
        <f>IFERROR(__xludf.DUMMYFUNCTION("""COMPUTED_VALUE"""),"Proyecto y empresa: Me comenta que esta iniciando en un nuevo proyecto, él había solicitado el cambio hace unos meses. Se adapatando y conociendo el nuevo equipo. 
En la empresa se siente cómodo y esta a gusto.")</f>
        <v>Proyecto y empresa: Me comenta que esta iniciando en un nuevo proyecto, él había solicitado el cambio hace unos meses. Se adapatando y conociendo el nuevo equipo. 
En la empresa se siente cómodo y esta a gusto.</v>
      </c>
      <c r="J35" s="4" t="str">
        <f>IFERROR(__xludf.DUMMYFUNCTION("""COMPUTED_VALUE"""),"PX|Referents|RRHH")</f>
        <v>PX|Referents|RRHH</v>
      </c>
    </row>
    <row r="36" hidden="1">
      <c r="A36" s="4">
        <f>IFERROR(__xludf.DUMMYFUNCTION("""COMPUTED_VALUE"""),297.0)</f>
        <v>297</v>
      </c>
      <c r="B36" s="4" t="str">
        <f>IFERROR(__xludf.DUMMYFUNCTION("""COMPUTED_VALUE"""),"charly.palencia")</f>
        <v>charly.palencia</v>
      </c>
      <c r="C36" s="5">
        <f>IFERROR(__xludf.DUMMYFUNCTION("""COMPUTED_VALUE"""),44964.70250679398)</f>
        <v>44964.70251</v>
      </c>
      <c r="D36" s="5">
        <f>IFERROR(__xludf.DUMMYFUNCTION("""COMPUTED_VALUE"""),44952.0)</f>
        <v>44952</v>
      </c>
      <c r="E36" s="4" t="str">
        <f>IFERROR(__xludf.DUMMYFUNCTION("""COMPUTED_VALUE"""),"marcela.benavides@patagoniansys.com")</f>
        <v>marcela.benavides@patagoniansys.com</v>
      </c>
      <c r="F36" s="4" t="str">
        <f>IFERROR(__xludf.DUMMYFUNCTION("""COMPUTED_VALUE"""),"charly.palencia@patagoniansys.com")</f>
        <v>charly.palencia@patagoniansys.com</v>
      </c>
      <c r="G36" s="4" t="str">
        <f>IFERROR(__xludf.DUMMYFUNCTION("""COMPUTED_VALUE"""),"⏱ One on One")</f>
        <v>⏱ One on One</v>
      </c>
      <c r="H36" s="4" t="str">
        <f>IFERROR(__xludf.DUMMYFUNCTION("""COMPUTED_VALUE"""),"😀 Sumamente Feliz")</f>
        <v>😀 Sumamente Feliz</v>
      </c>
      <c r="I36" s="6" t="str">
        <f>IFERROR(__xludf.DUMMYFUNCTION("""COMPUTED_VALUE"""),"Charly expresa que se siente muy contento en el proyecto en el que se encuentra en Forge, las actividades y equipo de trabajo lo hacen muy ameno. Recientemente tuvo varios cambios en su equipo pero están adaptándose. Le preocupa que inicien más llamadas d"&amp;"e las habituales pero cree que no es algo que no se pueda manejar. ")</f>
        <v>Charly expresa que se siente muy contento en el proyecto en el que se encuentra en Forge, las actividades y equipo de trabajo lo hacen muy ameno. Recientemente tuvo varios cambios en su equipo pero están adaptándose. Le preocupa que inicien más llamadas de las habituales pero cree que no es algo que no se pueda manejar. </v>
      </c>
      <c r="J36" s="4" t="str">
        <f>IFERROR(__xludf.DUMMYFUNCTION("""COMPUTED_VALUE"""),"PX|Referents|RRHH")</f>
        <v>PX|Referents|RRHH</v>
      </c>
    </row>
    <row r="37" hidden="1">
      <c r="A37" s="4">
        <f>IFERROR(__xludf.DUMMYFUNCTION("""COMPUTED_VALUE"""),197.0)</f>
        <v>197</v>
      </c>
      <c r="B37" s="4" t="str">
        <f>IFERROR(__xludf.DUMMYFUNCTION("""COMPUTED_VALUE"""),"gianfranco.fois")</f>
        <v>gianfranco.fois</v>
      </c>
      <c r="C37" s="5">
        <f>IFERROR(__xludf.DUMMYFUNCTION("""COMPUTED_VALUE"""),44985.71240420139)</f>
        <v>44985.7124</v>
      </c>
      <c r="D37" s="5">
        <f>IFERROR(__xludf.DUMMYFUNCTION("""COMPUTED_VALUE"""),44953.0)</f>
        <v>44953</v>
      </c>
      <c r="E37" s="4" t="str">
        <f>IFERROR(__xludf.DUMMYFUNCTION("""COMPUTED_VALUE"""),"maria.llano@patagoniansys.com")</f>
        <v>maria.llano@patagoniansys.com</v>
      </c>
      <c r="F37" s="4" t="str">
        <f>IFERROR(__xludf.DUMMYFUNCTION("""COMPUTED_VALUE"""),"gianfranco.fois@patagoniansys.com")</f>
        <v>gianfranco.fois@patagoniansys.com</v>
      </c>
      <c r="G37" s="4" t="str">
        <f>IFERROR(__xludf.DUMMYFUNCTION("""COMPUTED_VALUE"""),"⏱ One on One")</f>
        <v>⏱ One on One</v>
      </c>
      <c r="H37" s="4" t="str">
        <f>IFERROR(__xludf.DUMMYFUNCTION("""COMPUTED_VALUE"""),"🙂 Feliz")</f>
        <v>🙂 Feliz</v>
      </c>
      <c r="I37" s="6" t="str">
        <f>IFERROR(__xludf.DUMMYFUNCTION("""COMPUTED_VALUE"""),"Esta muy contento con como ha podido desarrollar su potencial dentro de un equipo, se ve enfrentado a diferentes retos tecnologicos constantemente lo cual lo tiene motivado. Le causa ansiedad y mucha expectativa a que proyecto va a ser asignado cuando aca"&amp;"be INVAP, su proyecto actual, ya que no quisiera repetir la ecperiencia anterior que fue en Almundo, donde no se sentia valorado ni estaba ante retos que lo motivaran.")</f>
        <v>Esta muy contento con como ha podido desarrollar su potencial dentro de un equipo, se ve enfrentado a diferentes retos tecnologicos constantemente lo cual lo tiene motivado. Le causa ansiedad y mucha expectativa a que proyecto va a ser asignado cuando acabe INVAP, su proyecto actual, ya que no quisiera repetir la ecperiencia anterior que fue en Almundo, donde no se sentia valorado ni estaba ante retos que lo motivaran.</v>
      </c>
      <c r="J37" s="4" t="str">
        <f>IFERROR(__xludf.DUMMYFUNCTION("""COMPUTED_VALUE"""),"PX|Referents|RRHH")</f>
        <v>PX|Referents|RRHH</v>
      </c>
    </row>
    <row r="38">
      <c r="A38" s="4">
        <f>IFERROR(__xludf.DUMMYFUNCTION("""COMPUTED_VALUE"""),280.0)</f>
        <v>280</v>
      </c>
      <c r="B38" s="4" t="str">
        <f>IFERROR(__xludf.DUMMYFUNCTION("""COMPUTED_VALUE"""),"jose.flores")</f>
        <v>jose.flores</v>
      </c>
      <c r="C38" s="5">
        <f>IFERROR(__xludf.DUMMYFUNCTION("""COMPUTED_VALUE"""),44957.520054085646)</f>
        <v>44957.52005</v>
      </c>
      <c r="D38" s="5">
        <f>IFERROR(__xludf.DUMMYFUNCTION("""COMPUTED_VALUE"""),44957.0)</f>
        <v>44957</v>
      </c>
      <c r="E38" s="4" t="str">
        <f>IFERROR(__xludf.DUMMYFUNCTION("""COMPUTED_VALUE"""),"luciano.fuentes@patagoniansys.com")</f>
        <v>luciano.fuentes@patagoniansys.com</v>
      </c>
      <c r="F38" s="4" t="str">
        <f>IFERROR(__xludf.DUMMYFUNCTION("""COMPUTED_VALUE"""),"jose.flores@patagoniansys.com")</f>
        <v>jose.flores@patagoniansys.com</v>
      </c>
      <c r="G38" s="4" t="str">
        <f>IFERROR(__xludf.DUMMYFUNCTION("""COMPUTED_VALUE"""),"Referent One on One")</f>
        <v>Referent One on One</v>
      </c>
      <c r="H38" s="4"/>
      <c r="I38" s="6" t="str">
        <f>IFERROR(__xludf.DUMMYFUNCTION("""COMPUTED_VALUE"""),"- Interviewee e-Mail: jose.flores@patagoniansys.com
- Project Status Check: Proyecto DHO (mantenimiento) - Proyecto de Stock 
Angular v11 - Angular v15 
Node - Express
Postgres
- Project Changes | Notes: Si, nueva proyecto sobre manejo de stock, donde se "&amp;"mantuvo el equipo y se unió un nuevo desarrollador.
- Project Role | Feeling: 5
- Extra Work Hours | Amount: 1
- Extra Work Hours | Reason: Para adelantar tareas
- Techs | Recomendations: https://angular.io/guide/standalone-components
- Collaborator | Sen"&amp;"iority: 👍 No, es correcto
- Alerts: No note alertas, ya que se lo veía muy motivado con el nuevo proyecto y con el equipo. 
- Project Needs / Oportunities: No encontré por el momento puntos de mejoras.
- Final notes: Se lo ve muy conforme con el proyecto"&amp;" y con las tecnologías usadas. Es lo que el quiere hacer y seguir creciendo. Muy conforme con lo que esta aprendiendo actualmente.
- Project Techs | Learning: 2
- Techs | Research: 0
- Project Techs | Difficulty: 5
- Project Changes | Reasons: ⬆️ Aumento "&amp;"del equipo, 🏁 Cambios en los objetivos
- Project Changes | Personal Impact: 4
- Project Role | Value: 5
- Project role | Notes: Muy conforme con las tecnologías y lo que esta aprendiendo actualmente. Conforme con las metodologías.")</f>
        <v>- Interviewee e-Mail: jose.flores@patagoniansys.com
- Project Status Check: Proyecto DHO (mantenimiento) - Proyecto de Stock 
Angular v11 - Angular v15 
Node - Express
Postgres
- Project Changes | Notes: Si, nueva proyecto sobre manejo de stock, donde se mantuvo el equipo y se unió un nuevo desarrollador.
- Project Role | Feeling: 5
- Extra Work Hours | Amount: 1
- Extra Work Hours | Reason: Para adelantar tareas
- Techs | Recomendations: https://angular.io/guide/standalone-components
- Collaborator | Seniority: 👍 No, es correcto
- Alerts: No note alertas, ya que se lo veía muy motivado con el nuevo proyecto y con el equipo. 
- Project Needs / Oportunities: No encontré por el momento puntos de mejoras.
- Final notes: Se lo ve muy conforme con el proyecto y con las tecnologías usadas. Es lo que el quiere hacer y seguir creciendo. Muy conforme con lo que esta aprendiendo actualmente.
- Project Techs | Learning: 2
- Techs | Research: 0
- Project Techs | Difficulty: 5
- Project Changes | Reasons: ⬆️ Aumento del equipo, 🏁 Cambios en los objetivos
- Project Changes | Personal Impact: 4
- Project Role | Value: 5
- Project role | Notes: Muy conforme con las tecnologías y lo que esta aprendiendo actualmente. Conforme con las metodologías.</v>
      </c>
      <c r="J38" s="4" t="str">
        <f>IFERROR(__xludf.DUMMYFUNCTION("""COMPUTED_VALUE"""),"Tech Referent - OneOnOne")</f>
        <v>Tech Referent - OneOnOne</v>
      </c>
    </row>
    <row r="39">
      <c r="A39" s="4">
        <f>IFERROR(__xludf.DUMMYFUNCTION("""COMPUTED_VALUE"""),73.0)</f>
        <v>73</v>
      </c>
      <c r="B39" s="4" t="str">
        <f>IFERROR(__xludf.DUMMYFUNCTION("""COMPUTED_VALUE"""),"andres.attwell")</f>
        <v>andres.attwell</v>
      </c>
      <c r="C39" s="5">
        <f>IFERROR(__xludf.DUMMYFUNCTION("""COMPUTED_VALUE"""),44957.54052119213)</f>
        <v>44957.54052</v>
      </c>
      <c r="D39" s="5">
        <f>IFERROR(__xludf.DUMMYFUNCTION("""COMPUTED_VALUE"""),44957.0)</f>
        <v>44957</v>
      </c>
      <c r="E39" s="4" t="str">
        <f>IFERROR(__xludf.DUMMYFUNCTION("""COMPUTED_VALUE"""),"andres.bolocco@patagoniansys.com")</f>
        <v>andres.bolocco@patagoniansys.com</v>
      </c>
      <c r="F39" s="4" t="str">
        <f>IFERROR(__xludf.DUMMYFUNCTION("""COMPUTED_VALUE"""),"andres.attwell@patagonian.com")</f>
        <v>andres.attwell@patagonian.com</v>
      </c>
      <c r="G39" s="4" t="str">
        <f>IFERROR(__xludf.DUMMYFUNCTION("""COMPUTED_VALUE"""),"Initial gathering")</f>
        <v>Initial gathering</v>
      </c>
      <c r="H39" s="4"/>
      <c r="I39" s="6" t="str">
        <f>IFERROR(__xludf.DUMMYFUNCTION("""COMPUTED_VALUE"""),"- Interviewee e-Mail: andres.attwell@patagonian.com
- Project name: BID ConnectAmericas
- Project | Role: TL
- Project | Description: red social orientada a empresas, objetivo: vincular emprendedores y entidades gubernamentales. rol de andy: orientar al e"&amp;"quipo en temas técnicos, debloquear.
- Project | technologies: - core: PHP, Drupal 7, AngularJS 1.7
- whitelabels: Java Grails Springboot Groovy AngularJS
- bid: PHP Slim, jQuery, algo de ReactJS
- Happiness in project technology: 🙂 Feliz
- Happiness in "&amp;"project technology | Description: está contento, cómodo y le gusta el equipo. conoce el stack y el proyecto. disfruta su nuevo rol como TL guiando.
- Project | The best/coolest thing: es robusto y estable
- Project | The worst thing: Drupal deprecado, pue"&amp;"de haber riesgos de seguridad, Angular 1.7 deprecado. los chicos del equipo quieren algo más nuevo.
- Project | Improvements: usar strapi y react con nextjs en el frontend
- Team | TL: Andy Attwell
- Team | PX: Agus Kloster (yendose), Jimena Gutierrez (en"&amp;"trando), en PTP: Jessica Petrauskas
- Team | QA: 1
- Team | QA Automation: Si
- Team | UI/UX: 1
- Team | DevOps: 1
- Team | Data Engineer: 0")</f>
        <v>- Interviewee e-Mail: andres.attwell@patagonian.com
- Project name: BID ConnectAmericas
- Project | Role: TL
- Project | Description: red social orientada a empresas, objetivo: vincular emprendedores y entidades gubernamentales. rol de andy: orientar al equipo en temas técnicos, debloquear.
- Project | technologies: - core: PHP, Drupal 7, AngularJS 1.7
- whitelabels: Java Grails Springboot Groovy AngularJS
- bid: PHP Slim, jQuery, algo de ReactJS
- Happiness in project technology: 🙂 Feliz
- Happiness in project technology | Description: está contento, cómodo y le gusta el equipo. conoce el stack y el proyecto. disfruta su nuevo rol como TL guiando.
- Project | The best/coolest thing: es robusto y estable
- Project | The worst thing: Drupal deprecado, puede haber riesgos de seguridad, Angular 1.7 deprecado. los chicos del equipo quieren algo más nuevo.
- Project | Improvements: usar strapi y react con nextjs en el frontend
- Team | TL: Andy Attwell
- Team | PX: Agus Kloster (yendose), Jimena Gutierrez (entrando), en PTP: Jessica Petrauskas
- Team | QA: 1
- Team | QA Automation: Si
- Team | UI/UX: 1
- Team | DevOps: 1
- Team | Data Engineer: 0</v>
      </c>
      <c r="J39" s="4" t="str">
        <f>IFERROR(__xludf.DUMMYFUNCTION("""COMPUTED_VALUE"""),"Tech Referent - Initial gathering")</f>
        <v>Tech Referent - Initial gathering</v>
      </c>
    </row>
    <row r="40">
      <c r="A40" s="4">
        <f>IFERROR(__xludf.DUMMYFUNCTION("""COMPUTED_VALUE"""),201.0)</f>
        <v>201</v>
      </c>
      <c r="B40" s="4" t="str">
        <f>IFERROR(__xludf.DUMMYFUNCTION("""COMPUTED_VALUE"""),"daniel.cardenas")</f>
        <v>daniel.cardenas</v>
      </c>
      <c r="C40" s="5">
        <f>IFERROR(__xludf.DUMMYFUNCTION("""COMPUTED_VALUE"""),44959.622424085646)</f>
        <v>44959.62242</v>
      </c>
      <c r="D40" s="5">
        <f>IFERROR(__xludf.DUMMYFUNCTION("""COMPUTED_VALUE"""),44959.0)</f>
        <v>44959</v>
      </c>
      <c r="E40" s="4" t="str">
        <f>IFERROR(__xludf.DUMMYFUNCTION("""COMPUTED_VALUE"""),"edgar.bonilla@patagoniansys.com")</f>
        <v>edgar.bonilla@patagoniansys.com</v>
      </c>
      <c r="F40" s="4" t="str">
        <f>IFERROR(__xludf.DUMMYFUNCTION("""COMPUTED_VALUE"""),"daniel.cardenas@patagoniansys.com")</f>
        <v>daniel.cardenas@patagoniansys.com</v>
      </c>
      <c r="G40" s="4" t="str">
        <f>IFERROR(__xludf.DUMMYFUNCTION("""COMPUTED_VALUE"""),"Initial gathering")</f>
        <v>Initial gathering</v>
      </c>
      <c r="H40" s="4"/>
      <c r="I40" s="6" t="str">
        <f>IFERROR(__xludf.DUMMYFUNCTION("""COMPUTED_VALUE"""),"- Interviewee e-Mail: daniel.cardenas@patagoniansys.com
- Project name: Almundo
- Project | Role: Mobile Developer
- Project | Description: Almundo es una empresa con un producto andando y con un equipo de tamaño considerable. Dentro de Almundo, Daniel tr"&amp;"abaja específicamente en la parte de la aplicación Mobile. En este momento trabaja también muy de la mano del PM ayudando a definir tickets, estimaciones y entregas de funcionalidades.
La dinámica del equipo es buena en Almundo y del lado de Patagonian t"&amp;"ambién se siente muy bien con sus compañeros de trabajo y con la empresa, se siente muy respaldado y en un buen ambiente de trabajo y eso lo motiva a dar lo mejor de sí.
Daniel expresa intentar siempre ser muy proactivo e ir más allá al proponer mejoras "&amp;"y ajustar partes del código que se puedan mejorar dentro del scope del ticket que esté haciendo, así como proponer mejoras generales y apoyar en la parte de QA.
Le parecería interesante incursionar un poco en la parte de automatización como por ejemplo e"&amp;"stablecer pipelines con Jenkins y temas por el estilo.
- Project | technologies: React Native
- Happiness in project technology | Description: En general sí está contento con su rol en el proyecto, sus tareas y asignaciones, así como las tecnologías usada"&amp;"s. Quizás hay un poco de descontento por el tema de hacer cosas que debería hacer un QA, pero en este momento no hay QAs porque decidieron prescindir de ellos en Almundo, con lo cual no está muy de acuerdo.
- Project | The best/coolest thing: Que el proye"&amp;"cto y la empresa está en constante evolución y siempre hay algo nuevo para hacer, algo nuevo que implementar, un nuevo problema que resolver. No se vuelve monótono el trabajo.
- Project | The worst thing: El tema de que hayan eliminado al equipo de QA. A "&amp;"los devs les toca ser ahora demasiado meticulosos al momento de programar y por más de que hacen su mayor esfuerzo, no está exentos a que algún caso que no hayan contemplado se pase. Algunos features (sobre todo los nuevos) los testean ellos mismos y quiz"&amp;"ás tampoco se les ocurre testearlos de todas las maneras que un QA podría hacerlo y descubrir posibles fallas en la app.
Otro tema es que no hay mucha documentación, sobre todo del lado del back-end y eso a veces dificulta el desarrollo y llevar a cabo l"&amp;"os sprints de buena manera.
- Project | Improvements: - Volver a tener equipo de QA
- Que haya más documentación (aunque ya están trabajando un poco en eso)
- Hay muchos procesos que se hacen manualmente, podría ser importante trabajar en automatizar vari"&amp;"as cosas, como los builds de las apps, pipelines, entre otros.
- Team | TL: Hay un TL del lado de Almundo pero no tiene mucho contacto con el equipo ya que está en temas de un poco más alto nivel organizacional por así decirlo.
- Team | PX: Del lado de Pa"&amp;"tagonian está Jimena y del lado de Almundo tienen a su PM que es quien trabaja del lado del cliente y coordina como tal los sprints y demás
- Team | QA: 0
- Team | QA Automation: No
- Team | UI/UX: 3
- Team | DevOps: 1
- Team | Data Engineer: 0")</f>
        <v>- Interviewee e-Mail: daniel.cardenas@patagoniansys.com
- Project name: Almundo
- Project | Role: Mobile Developer
- Project | Description: Almundo es una empresa con un producto andando y con un equipo de tamaño considerable. Dentro de Almundo, Daniel trabaja específicamente en la parte de la aplicación Mobile. En este momento trabaja también muy de la mano del PM ayudando a definir tickets, estimaciones y entregas de funcionalidades.
La dinámica del equipo es buena en Almundo y del lado de Patagonian también se siente muy bien con sus compañeros de trabajo y con la empresa, se siente muy respaldado y en un buen ambiente de trabajo y eso lo motiva a dar lo mejor de sí.
Daniel expresa intentar siempre ser muy proactivo e ir más allá al proponer mejoras y ajustar partes del código que se puedan mejorar dentro del scope del ticket que esté haciendo, así como proponer mejoras generales y apoyar en la parte de QA.
Le parecería interesante incursionar un poco en la parte de automatización como por ejemplo establecer pipelines con Jenkins y temas por el estilo.
- Project | technologies: React Native
- Happiness in project technology | Description: En general sí está contento con su rol en el proyecto, sus tareas y asignaciones, así como las tecnologías usadas. Quizás hay un poco de descontento por el tema de hacer cosas que debería hacer un QA, pero en este momento no hay QAs porque decidieron prescindir de ellos en Almundo, con lo cual no está muy de acuerdo.
- Project | The best/coolest thing: Que el proyecto y la empresa está en constante evolución y siempre hay algo nuevo para hacer, algo nuevo que implementar, un nuevo problema que resolver. No se vuelve monótono el trabajo.
- Project | The worst thing: El tema de que hayan eliminado al equipo de QA. A los devs les toca ser ahora demasiado meticulosos al momento de programar y por más de que hacen su mayor esfuerzo, no está exentos a que algún caso que no hayan contemplado se pase. Algunos features (sobre todo los nuevos) los testean ellos mismos y quizás tampoco se les ocurre testearlos de todas las maneras que un QA podría hacerlo y descubrir posibles fallas en la app.
Otro tema es que no hay mucha documentación, sobre todo del lado del back-end y eso a veces dificulta el desarrollo y llevar a cabo los sprints de buena manera.
- Project | Improvements: - Volver a tener equipo de QA
- Que haya más documentación (aunque ya están trabajando un poco en eso)
- Hay muchos procesos que se hacen manualmente, podría ser importante trabajar en automatizar varias cosas, como los builds de las apps, pipelines, entre otros.
- Team | TL: Hay un TL del lado de Almundo pero no tiene mucho contacto con el equipo ya que está en temas de un poco más alto nivel organizacional por así decirlo.
- Team | PX: Del lado de Patagonian está Jimena y del lado de Almundo tienen a su PM que es quien trabaja del lado del cliente y coordina como tal los sprints y demás
- Team | QA: 0
- Team | QA Automation: No
- Team | UI/UX: 3
- Team | DevOps: 1
- Team | Data Engineer: 0</v>
      </c>
      <c r="J40" s="4" t="str">
        <f>IFERROR(__xludf.DUMMYFUNCTION("""COMPUTED_VALUE"""),"Tech Referent - Initial gathering")</f>
        <v>Tech Referent - Initial gathering</v>
      </c>
    </row>
    <row r="41">
      <c r="A41" s="4">
        <f>IFERROR(__xludf.DUMMYFUNCTION("""COMPUTED_VALUE"""),136.0)</f>
        <v>136</v>
      </c>
      <c r="B41" s="4" t="str">
        <f>IFERROR(__xludf.DUMMYFUNCTION("""COMPUTED_VALUE"""),"freddy.orozco")</f>
        <v>freddy.orozco</v>
      </c>
      <c r="C41" s="5">
        <f>IFERROR(__xludf.DUMMYFUNCTION("""COMPUTED_VALUE"""),44959.67735681713)</f>
        <v>44959.67736</v>
      </c>
      <c r="D41" s="5">
        <f>IFERROR(__xludf.DUMMYFUNCTION("""COMPUTED_VALUE"""),44959.0)</f>
        <v>44959</v>
      </c>
      <c r="E41" s="4" t="str">
        <f>IFERROR(__xludf.DUMMYFUNCTION("""COMPUTED_VALUE"""),"daniel.mansilla@patagoniansys.com")</f>
        <v>daniel.mansilla@patagoniansys.com</v>
      </c>
      <c r="F41" s="4" t="str">
        <f>IFERROR(__xludf.DUMMYFUNCTION("""COMPUTED_VALUE"""),"freddy.orozco@patagoniansys.com")</f>
        <v>freddy.orozco@patagoniansys.com</v>
      </c>
      <c r="G41" s="4" t="str">
        <f>IFERROR(__xludf.DUMMYFUNCTION("""COMPUTED_VALUE"""),"Initial gathering")</f>
        <v>Initial gathering</v>
      </c>
      <c r="H41" s="4"/>
      <c r="I41" s="6" t="str">
        <f>IFERROR(__xludf.DUMMYFUNCTION("""COMPUTED_VALUE"""),"- Interviewee e-Mail: freddy.orozco@patagoniansys.com
- Project name: BFA Industries
- Project | Role: Backend Developer, Frontend Developer
- Project | Description: Es un negocio de venta de productos de maquillaje con un sistema de suscripción mensual. "&amp;"Hace frontend mayormente y algo de backend.
- Project | technologies: NextJS (con Typescript), RBE (Kotlin)
- Happiness in project technology: 🙂 Feliz
- Happiness in project technology | Description: Está contento con las tecnologías que utiliza en este "&amp;"momento y el aprendizaje que implica el trabajo en el backend le resulta muy positivo. Las métodologías bien definidas de trabajo favorecen al desempeño en el proyecto.
- Project | The best/coolest thing: El orden y las métodologías que se utilizan. Las b"&amp;"ases del proyecto es muy sólida y se hace ameno trabajar sobre eso.
- Project | The worst thing: No tiene ningún punto negativo para remarcar por el momento.
- Project | Improvements: Es un proyecto bastante sólido por lo que no hay algo significativament"&amp;"e mejorable por el momento.
- Team | TL: Al ser staff augmentation, el TL pertenece al cliente. Jimena de Pata hace el seguimiento.
- Team | PX: Son personas de la parte del cliente
- Team | QA: 1
- Team | QA Automation: No
- Team | UI/UX: 1
- Team | DevO"&amp;"ps: 1
- Team | Data Engineer: 0")</f>
        <v>- Interviewee e-Mail: freddy.orozco@patagoniansys.com
- Project name: BFA Industries
- Project | Role: Backend Developer, Frontend Developer
- Project | Description: Es un negocio de venta de productos de maquillaje con un sistema de suscripción mensual. Hace frontend mayormente y algo de backend.
- Project | technologies: NextJS (con Typescript), RBE (Kotlin)
- Happiness in project technology: 🙂 Feliz
- Happiness in project technology | Description: Está contento con las tecnologías que utiliza en este momento y el aprendizaje que implica el trabajo en el backend le resulta muy positivo. Las métodologías bien definidas de trabajo favorecen al desempeño en el proyecto.
- Project | The best/coolest thing: El orden y las métodologías que se utilizan. Las bases del proyecto es muy sólida y se hace ameno trabajar sobre eso.
- Project | The worst thing: No tiene ningún punto negativo para remarcar por el momento.
- Project | Improvements: Es un proyecto bastante sólido por lo que no hay algo significativamente mejorable por el momento.
- Team | TL: Al ser staff augmentation, el TL pertenece al cliente. Jimena de Pata hace el seguimiento.
- Team | PX: Son personas de la parte del cliente
- Team | QA: 1
- Team | QA Automation: No
- Team | UI/UX: 1
- Team | DevOps: 1
- Team | Data Engineer: 0</v>
      </c>
      <c r="J41" s="4" t="str">
        <f>IFERROR(__xludf.DUMMYFUNCTION("""COMPUTED_VALUE"""),"Tech Referent - Initial gathering")</f>
        <v>Tech Referent - Initial gathering</v>
      </c>
    </row>
    <row r="42">
      <c r="A42" s="4">
        <f>IFERROR(__xludf.DUMMYFUNCTION("""COMPUTED_VALUE"""),178.0)</f>
        <v>178</v>
      </c>
      <c r="B42" s="4" t="str">
        <f>IFERROR(__xludf.DUMMYFUNCTION("""COMPUTED_VALUE"""),"julian.perez")</f>
        <v>julian.perez</v>
      </c>
      <c r="C42" s="5">
        <f>IFERROR(__xludf.DUMMYFUNCTION("""COMPUTED_VALUE"""),44959.684807199075)</f>
        <v>44959.68481</v>
      </c>
      <c r="D42" s="5">
        <f>IFERROR(__xludf.DUMMYFUNCTION("""COMPUTED_VALUE"""),44959.0)</f>
        <v>44959</v>
      </c>
      <c r="E42" s="4" t="str">
        <f>IFERROR(__xludf.DUMMYFUNCTION("""COMPUTED_VALUE"""),"martin.castro@patagoniansys.com")</f>
        <v>martin.castro@patagoniansys.com</v>
      </c>
      <c r="F42" s="4" t="str">
        <f>IFERROR(__xludf.DUMMYFUNCTION("""COMPUTED_VALUE"""),"julian.perez@patagoniansys.com")</f>
        <v>julian.perez@patagoniansys.com</v>
      </c>
      <c r="G42" s="4" t="str">
        <f>IFERROR(__xludf.DUMMYFUNCTION("""COMPUTED_VALUE"""),"Initial gathering")</f>
        <v>Initial gathering</v>
      </c>
      <c r="H42" s="4"/>
      <c r="I42" s="6" t="str">
        <f>IFERROR(__xludf.DUMMYFUNCTION("""COMPUTED_VALUE"""),"- Interviewee e-Mail: julian.perez@patagoniansys.com
- Project name: SnapClose
- Project | Role: Frontend Developer
- Project | Description: Proyecto: Gestión de compra/venta de inmuebles.
- Project | technologies: Nodejs (backend), React+StyleComponents+"&amp;"Redux (frontend), Mongodb
- Happiness in project technology: 🙂 Feliz
- Happiness in project technology | Description: Está comodo con las tecnologías que usa hoy en día, ha usado MaterialUI en otros proyectos pero se siente bien usando StyleComponents
- "&amp;"Project | The best/coolest thing: Tiene una ""libreria"" para reutilizar components
- Project | The worst thing: Tiene mucho desorden, componentes ""no terminados al 100%""
- Project | Improvements: En el backend podrian usar JOI
- Team | TL: Fabian Franq"&amp;"ui
- Team | PX: Hernan Muras
- Team | QA: 1
- Team | QA Automation: No
- Team | UI/UX: 3
- Team | DevOps: 0
- Team | Data Engineer: 0")</f>
        <v>- Interviewee e-Mail: julian.perez@patagoniansys.com
- Project name: SnapClose
- Project | Role: Frontend Developer
- Project | Description: Proyecto: Gestión de compra/venta de inmuebles.
- Project | technologies: Nodejs (backend), React+StyleComponents+Redux (frontend), Mongodb
- Happiness in project technology: 🙂 Feliz
- Happiness in project technology | Description: Está comodo con las tecnologías que usa hoy en día, ha usado MaterialUI en otros proyectos pero se siente bien usando StyleComponents
- Project | The best/coolest thing: Tiene una "libreria" para reutilizar components
- Project | The worst thing: Tiene mucho desorden, componentes "no terminados al 100%"
- Project | Improvements: En el backend podrian usar JOI
- Team | TL: Fabian Franqui
- Team | PX: Hernan Muras
- Team | QA: 1
- Team | QA Automation: No
- Team | UI/UX: 3
- Team | DevOps: 0
- Team | Data Engineer: 0</v>
      </c>
      <c r="J42" s="4" t="str">
        <f>IFERROR(__xludf.DUMMYFUNCTION("""COMPUTED_VALUE"""),"Tech Referent - Initial gathering")</f>
        <v>Tech Referent - Initial gathering</v>
      </c>
    </row>
    <row r="43">
      <c r="A43" s="4">
        <f>IFERROR(__xludf.DUMMYFUNCTION("""COMPUTED_VALUE"""),197.0)</f>
        <v>197</v>
      </c>
      <c r="B43" s="4" t="str">
        <f>IFERROR(__xludf.DUMMYFUNCTION("""COMPUTED_VALUE"""),"gianfranco.fois")</f>
        <v>gianfranco.fois</v>
      </c>
      <c r="C43" s="5">
        <f>IFERROR(__xludf.DUMMYFUNCTION("""COMPUTED_VALUE"""),44959.69696799769)</f>
        <v>44959.69697</v>
      </c>
      <c r="D43" s="5">
        <f>IFERROR(__xludf.DUMMYFUNCTION("""COMPUTED_VALUE"""),44959.0)</f>
        <v>44959</v>
      </c>
      <c r="E43" s="4" t="str">
        <f>IFERROR(__xludf.DUMMYFUNCTION("""COMPUTED_VALUE"""),"jmartinez@patagoniansys.com")</f>
        <v>jmartinez@patagoniansys.com</v>
      </c>
      <c r="F43" s="4" t="str">
        <f>IFERROR(__xludf.DUMMYFUNCTION("""COMPUTED_VALUE"""),"gianfranco.fois@patagonian.com")</f>
        <v>gianfranco.fois@patagonian.com</v>
      </c>
      <c r="G43" s="4" t="str">
        <f>IFERROR(__xludf.DUMMYFUNCTION("""COMPUTED_VALUE"""),"Initial gathering")</f>
        <v>Initial gathering</v>
      </c>
      <c r="H43" s="4"/>
      <c r="I43" s="6" t="str">
        <f>IFERROR(__xludf.DUMMYFUNCTION("""COMPUTED_VALUE"""),"- Interviewee e-Mail: gianfranco.fois@patagonian.com
- Project name: INVAP
- Project | Role: Mobile Developer
- Project | Description: Es una plataforma desarrollada para el ministerio de minería que permite gestionar tareas para los inspectores. Usa fuer"&amp;"temente mapas y geolocalización. Gian es la única persona trabajando en la aplicación móvil, y ayuda un poco en tareas de frontend y backend.
- Project | technologies: React Native, React JS, NestJS, PostgreSQL, AWS.
- Happiness in project technology: 🙂 "&amp;"Feliz
- Happiness in project technology | Description: Le gusta lo que hace, es el proyecto que más ha disfrutado. Realiza tareas que exceden de alguna manera su asignación (ayudar en los proyectos front y back), pero le gusta aprender un poco de todo.
- "&amp;"Project | The best/coolest thing: Lo mejor del proyecto es la integración con Mapbox y herramientas provistas por el Invap.
- Project | The worst thing: A nivel técnico le molesta que el proyecto mobile no tenia un mecanismo apropiado para la distribución"&amp;" de builds (para QA o para clientes), Gian creaba las builds en su computadora y las compartía mediante Google Drive. Siente que el proyecto mobile estaba un poco descuidado en comparación al frontend web y backend (por ejemplo, no tenia CI/CD).
- Project"&amp;" | Improvements: Lo mencionado en el punto anterior puede mejorarse.
- Team | TL: Brayan Barrios
- Team | PX: Isabel Llanos
- Team | QA: 2
- Team | QA Automation: No
- Team | UI/UX: 2
- Team | DevOps: 1
- Team | Data Engineer: 0")</f>
        <v>- Interviewee e-Mail: gianfranco.fois@patagonian.com
- Project name: INVAP
- Project | Role: Mobile Developer
- Project | Description: Es una plataforma desarrollada para el ministerio de minería que permite gestionar tareas para los inspectores. Usa fuertemente mapas y geolocalización. Gian es la única persona trabajando en la aplicación móvil, y ayuda un poco en tareas de frontend y backend.
- Project | technologies: React Native, React JS, NestJS, PostgreSQL, AWS.
- Happiness in project technology: 🙂 Feliz
- Happiness in project technology | Description: Le gusta lo que hace, es el proyecto que más ha disfrutado. Realiza tareas que exceden de alguna manera su asignación (ayudar en los proyectos front y back), pero le gusta aprender un poco de todo.
- Project | The best/coolest thing: Lo mejor del proyecto es la integración con Mapbox y herramientas provistas por el Invap.
- Project | The worst thing: A nivel técnico le molesta que el proyecto mobile no tenia un mecanismo apropiado para la distribución de builds (para QA o para clientes), Gian creaba las builds en su computadora y las compartía mediante Google Drive. Siente que el proyecto mobile estaba un poco descuidado en comparación al frontend web y backend (por ejemplo, no tenia CI/CD).
- Project | Improvements: Lo mencionado en el punto anterior puede mejorarse.
- Team | TL: Brayan Barrios
- Team | PX: Isabel Llanos
- Team | QA: 2
- Team | QA Automation: No
- Team | UI/UX: 2
- Team | DevOps: 1
- Team | Data Engineer: 0</v>
      </c>
      <c r="J43" s="4" t="str">
        <f>IFERROR(__xludf.DUMMYFUNCTION("""COMPUTED_VALUE"""),"Tech Referent - Initial gathering")</f>
        <v>Tech Referent - Initial gathering</v>
      </c>
    </row>
    <row r="44">
      <c r="A44" s="4">
        <f>IFERROR(__xludf.DUMMYFUNCTION("""COMPUTED_VALUE"""),149.0)</f>
        <v>149</v>
      </c>
      <c r="B44" s="4" t="str">
        <f>IFERROR(__xludf.DUMMYFUNCTION("""COMPUTED_VALUE"""),"jonatan.ordonez")</f>
        <v>jonatan.ordonez</v>
      </c>
      <c r="C44" s="5">
        <f>IFERROR(__xludf.DUMMYFUNCTION("""COMPUTED_VALUE"""),44960.7296343287)</f>
        <v>44960.72963</v>
      </c>
      <c r="D44" s="5">
        <f>IFERROR(__xludf.DUMMYFUNCTION("""COMPUTED_VALUE"""),44960.0)</f>
        <v>44960</v>
      </c>
      <c r="E44" s="4" t="str">
        <f>IFERROR(__xludf.DUMMYFUNCTION("""COMPUTED_VALUE"""),"gonzalo.garro@patagoniansys.com")</f>
        <v>gonzalo.garro@patagoniansys.com</v>
      </c>
      <c r="F44" s="4" t="str">
        <f>IFERROR(__xludf.DUMMYFUNCTION("""COMPUTED_VALUE"""),"jonatan.ordonez@patagoniansys.com")</f>
        <v>jonatan.ordonez@patagoniansys.com</v>
      </c>
      <c r="G44" s="4" t="str">
        <f>IFERROR(__xludf.DUMMYFUNCTION("""COMPUTED_VALUE"""),"Initial gathering")</f>
        <v>Initial gathering</v>
      </c>
      <c r="H44" s="4"/>
      <c r="I44" s="6" t="str">
        <f>IFERROR(__xludf.DUMMYFUNCTION("""COMPUTED_VALUE"""),"- Interviewee e-Mail: jonatan.ordonez@patagoniansys.com
- Project name: Conversifi
- Project | Role: Backend Developer, Frontend Developer
- Project | Description: Plataforma para aprender idiomas mediante video llamadas. Utilizan React con NodeJs y micro"&amp;"servicios.
- Project | technologies: React como principal
Context API, Hooks, Material UI, mongoDB, Nodejs, AWS
Le gusta mas el front (Stack, mas tangible)
- Happiness in project technology: 🙂 Feliz
- Happiness in project technology | Description: Feli"&amp;"z, le gustan las techs que están usando actualmente
- Project | The best/coolest thing: Microservicios, microprojectos de NodeJS, con Lerna para orquestarlos
- Project | The worst thing: Hay código en Javascript que quedo sin tipar. Se migra de a poco
- P"&amp;"roject | Improvements: Tienen herencia de contexts lo cual hace muy engorroso de seguir cuando quieren rastrear un problema.
- Team | TL: Martín Castro
- Team | PX: Fede Peralta
- Team | QA: 2
- Team | QA Automation: Si
- Team | QA | Notes: Un QA manual y"&amp;" un QA automation
- Team | UI/UX: 0
- Team | UI/UX | Notes: Le gustaría tener un diseñador en el equipo. Todas las pantallas las crean ellos mismos
- Team | DevOps: 🤔 Hay colaboradores pero no están asignados al proyecto
- Team | DevOps | Notes: Nico Mag"&amp;"nano los ayuda pero no esta asignado al proyecto
- Team | Data Engineer: 0")</f>
        <v>- Interviewee e-Mail: jonatan.ordonez@patagoniansys.com
- Project name: Conversifi
- Project | Role: Backend Developer, Frontend Developer
- Project | Description: Plataforma para aprender idiomas mediante video llamadas. Utilizan React con NodeJs y microservicios.
- Project | technologies: React como principal
Context API, Hooks, Material UI, mongoDB, Nodejs, AWS
Le gusta mas el front (Stack, mas tangible)
- Happiness in project technology: 🙂 Feliz
- Happiness in project technology | Description: Feliz, le gustan las techs que están usando actualmente
- Project | The best/coolest thing: Microservicios, microprojectos de NodeJS, con Lerna para orquestarlos
- Project | The worst thing: Hay código en Javascript que quedo sin tipar. Se migra de a poco
- Project | Improvements: Tienen herencia de contexts lo cual hace muy engorroso de seguir cuando quieren rastrear un problema.
- Team | TL: Martín Castro
- Team | PX: Fede Peralta
- Team | QA: 2
- Team | QA Automation: Si
- Team | QA | Notes: Un QA manual y un QA automation
- Team | UI/UX: 0
- Team | UI/UX | Notes: Le gustaría tener un diseñador en el equipo. Todas las pantallas las crean ellos mismos
- Team | DevOps: 🤔 Hay colaboradores pero no están asignados al proyecto
- Team | DevOps | Notes: Nico Magnano los ayuda pero no esta asignado al proyecto
- Team | Data Engineer: 0</v>
      </c>
      <c r="J44" s="4" t="str">
        <f>IFERROR(__xludf.DUMMYFUNCTION("""COMPUTED_VALUE"""),"Tech Referent - Initial gathering")</f>
        <v>Tech Referent - Initial gathering</v>
      </c>
    </row>
    <row r="45">
      <c r="A45" s="4">
        <f>IFERROR(__xludf.DUMMYFUNCTION("""COMPUTED_VALUE"""),204.0)</f>
        <v>204</v>
      </c>
      <c r="B45" s="4" t="str">
        <f>IFERROR(__xludf.DUMMYFUNCTION("""COMPUTED_VALUE"""),"luisa.fernandez")</f>
        <v>luisa.fernandez</v>
      </c>
      <c r="C45" s="5">
        <f>IFERROR(__xludf.DUMMYFUNCTION("""COMPUTED_VALUE"""),44963.42980958333)</f>
        <v>44963.42981</v>
      </c>
      <c r="D45" s="5">
        <f>IFERROR(__xludf.DUMMYFUNCTION("""COMPUTED_VALUE"""),44963.0)</f>
        <v>44963</v>
      </c>
      <c r="E45" s="4" t="str">
        <f>IFERROR(__xludf.DUMMYFUNCTION("""COMPUTED_VALUE"""),"martin.infante@patagoniansys.com")</f>
        <v>martin.infante@patagoniansys.com</v>
      </c>
      <c r="F45" s="4" t="str">
        <f>IFERROR(__xludf.DUMMYFUNCTION("""COMPUTED_VALUE"""),"luisa.fernandez@patagoniansys.com")</f>
        <v>luisa.fernandez@patagoniansys.com</v>
      </c>
      <c r="G45" s="4" t="str">
        <f>IFERROR(__xludf.DUMMYFUNCTION("""COMPUTED_VALUE"""),"Initial gathering")</f>
        <v>Initial gathering</v>
      </c>
      <c r="H45" s="4"/>
      <c r="I45" s="6" t="str">
        <f>IFERROR(__xludf.DUMMYFUNCTION("""COMPUTED_VALUE"""),"- Interviewee e-Mail: luisa.fernandez@patagoniansys.com
- Project name: Bench
- Project | Role: Backend Developer, Data Engineer
- Project | Description: El proyecto finalizo el miercoles 01/02/2023 y la colaboradora paso a estar en bench. El mismo dia de"&amp;" la reunion va a tener una meet con staffing para ver los pasos a seguir.
El proyecto que finalizo era para Halliburton. Fue una primera etapa de investigacion para generar un modelo de datos para un DataWarehouse que el cliente quiere crear. Su responsab"&amp;"ilidad era la de un Data Engineer avocado a entender la logica de negocio y en base a eso crear dicho modelo. Trabajo en conjunto con otra persona del cliente.
- Project | technologies: Python, MySQL.
- Happiness in project technology: 🙂 Feliz
- Happines"&amp;"s in project technology | Description: Muy feliz con su asignacion. Incluso trabajo con algunas cosas de backen JavaScript que tambien le parecieron interesantes.
- Project | The best/coolest thing: Creacion de un modelo de datos para un datawarehouse que"&amp;" el cliente esta construyendo.
- Project | The worst thing: No
- Project | Improvements: Manejo de repositorios. No usaban Git ni ningun tipo de herramienta de versionado.
- Team | TL: TL del cliente.
- Team | PX: PM dia a dia del cliente. PM de Patagonia"&amp;"n Sebastian Charre.
- Team | QA: 0
- Team | QA Automation: No
- Team | QA | Notes: Nada de QA. Teste propio manual.
- Team | UI/UX: 0
- Team | UI/UX | Notes: No habia interfaz de usuario.
- Team | DevOps: 0
- Team | DevOps | Notes: No habia equipo de DevO"&amp;"ps porque fue un proceso de investigacion.
- Team | Data Engineer: 2")</f>
        <v>- Interviewee e-Mail: luisa.fernandez@patagoniansys.com
- Project name: Bench
- Project | Role: Backend Developer, Data Engineer
- Project | Description: El proyecto finalizo el miercoles 01/02/2023 y la colaboradora paso a estar en bench. El mismo dia de la reunion va a tener una meet con staffing para ver los pasos a seguir.
El proyecto que finalizo era para Halliburton. Fue una primera etapa de investigacion para generar un modelo de datos para un DataWarehouse que el cliente quiere crear. Su responsabilidad era la de un Data Engineer avocado a entender la logica de negocio y en base a eso crear dicho modelo. Trabajo en conjunto con otra persona del cliente.
- Project | technologies: Python, MySQL.
- Happiness in project technology: 🙂 Feliz
- Happiness in project technology | Description: Muy feliz con su asignacion. Incluso trabajo con algunas cosas de backen JavaScript que tambien le parecieron interesantes.
- Project | The best/coolest thing: Creacion de un modelo de datos para un datawarehouse que el cliente esta construyendo.
- Project | The worst thing: No
- Project | Improvements: Manejo de repositorios. No usaban Git ni ningun tipo de herramienta de versionado.
- Team | TL: TL del cliente.
- Team | PX: PM dia a dia del cliente. PM de Patagonian Sebastian Charre.
- Team | QA: 0
- Team | QA Automation: No
- Team | QA | Notes: Nada de QA. Teste propio manual.
- Team | UI/UX: 0
- Team | UI/UX | Notes: No habia interfaz de usuario.
- Team | DevOps: 0
- Team | DevOps | Notes: No habia equipo de DevOps porque fue un proceso de investigacion.
- Team | Data Engineer: 2</v>
      </c>
      <c r="J45" s="4" t="str">
        <f>IFERROR(__xludf.DUMMYFUNCTION("""COMPUTED_VALUE"""),"Tech Referent - Initial gathering")</f>
        <v>Tech Referent - Initial gathering</v>
      </c>
    </row>
    <row r="46">
      <c r="A46" s="4">
        <f>IFERROR(__xludf.DUMMYFUNCTION("""COMPUTED_VALUE"""),254.0)</f>
        <v>254</v>
      </c>
      <c r="B46" s="4" t="str">
        <f>IFERROR(__xludf.DUMMYFUNCTION("""COMPUTED_VALUE"""),"ismael.cespedes")</f>
        <v>ismael.cespedes</v>
      </c>
      <c r="C46" s="5">
        <f>IFERROR(__xludf.DUMMYFUNCTION("""COMPUTED_VALUE"""),44964.45151572917)</f>
        <v>44964.45152</v>
      </c>
      <c r="D46" s="5">
        <f>IFERROR(__xludf.DUMMYFUNCTION("""COMPUTED_VALUE"""),44964.0)</f>
        <v>44964</v>
      </c>
      <c r="E46" s="4" t="str">
        <f>IFERROR(__xludf.DUMMYFUNCTION("""COMPUTED_VALUE"""),"juan.calou@patagoniansys.com")</f>
        <v>juan.calou@patagoniansys.com</v>
      </c>
      <c r="F46" s="4" t="str">
        <f>IFERROR(__xludf.DUMMYFUNCTION("""COMPUTED_VALUE"""),"ismael.cespedes@patagoniansys.com")</f>
        <v>ismael.cespedes@patagoniansys.com</v>
      </c>
      <c r="G46" s="4" t="str">
        <f>IFERROR(__xludf.DUMMYFUNCTION("""COMPUTED_VALUE"""),"Initial gathering")</f>
        <v>Initial gathering</v>
      </c>
      <c r="H46" s="4"/>
      <c r="I46" s="6" t="str">
        <f>IFERROR(__xludf.DUMMYFUNCTION("""COMPUTED_VALUE"""),"- Interviewee e-Mail: ismael.cespedes@patagoniansys.com
- Project name: Unreasonable Solutions
- Project | Role: Frontend Developer
- Project | Description: Manejar la parte de auditoria de ingenieria civil. Teichert. El frontend no es demasiado grande.
-"&amp;" Project | technologies: React, C#, postgres (no esta seguro)
- Happiness in project technology: 🙂 Feliz
- Happiness in project technology | Description: del lado del backend lo ve como que estan medio atrasados, pero el esta en el front
- Project | The "&amp;"best/coolest thing: Practico mi ingles con nativos
- Project | The worst thing: Coordinacion de trabajo con el backend.
- Project | Improvements: estamos migrando a TS. Actualizando librerias. Mejorando documentacion.
- Team | TL: No de Pata
- Team | PX: "&amp;"Tomas Bayley
- Team | QA: 5
- Team | QA Automation: Si
- Team | QA | Notes: Son del cliente
- Team | UI/UX: 1
- Team | UI/UX | Notes: son del cliente
- Team | DevOps: 1
- Team | DevOps | Notes: del cliente
- Team | Data Engineer: 1")</f>
        <v>- Interviewee e-Mail: ismael.cespedes@patagoniansys.com
- Project name: Unreasonable Solutions
- Project | Role: Frontend Developer
- Project | Description: Manejar la parte de auditoria de ingenieria civil. Teichert. El frontend no es demasiado grande.
- Project | technologies: React, C#, postgres (no esta seguro)
- Happiness in project technology: 🙂 Feliz
- Happiness in project technology | Description: del lado del backend lo ve como que estan medio atrasados, pero el esta en el front
- Project | The best/coolest thing: Practico mi ingles con nativos
- Project | The worst thing: Coordinacion de trabajo con el backend.
- Project | Improvements: estamos migrando a TS. Actualizando librerias. Mejorando documentacion.
- Team | TL: No de Pata
- Team | PX: Tomas Bayley
- Team | QA: 5
- Team | QA Automation: Si
- Team | QA | Notes: Son del cliente
- Team | UI/UX: 1
- Team | UI/UX | Notes: son del cliente
- Team | DevOps: 1
- Team | DevOps | Notes: del cliente
- Team | Data Engineer: 1</v>
      </c>
      <c r="J46" s="4" t="str">
        <f>IFERROR(__xludf.DUMMYFUNCTION("""COMPUTED_VALUE"""),"Tech Referent - Initial gathering")</f>
        <v>Tech Referent - Initial gathering</v>
      </c>
    </row>
    <row r="47">
      <c r="A47" s="4">
        <f>IFERROR(__xludf.DUMMYFUNCTION("""COMPUTED_VALUE"""),41.0)</f>
        <v>41</v>
      </c>
      <c r="B47" s="4" t="str">
        <f>IFERROR(__xludf.DUMMYFUNCTION("""COMPUTED_VALUE"""),"ezequiel.cortes")</f>
        <v>ezequiel.cortes</v>
      </c>
      <c r="C47" s="5">
        <f>IFERROR(__xludf.DUMMYFUNCTION("""COMPUTED_VALUE"""),44967.649874560186)</f>
        <v>44967.64987</v>
      </c>
      <c r="D47" s="5">
        <f>IFERROR(__xludf.DUMMYFUNCTION("""COMPUTED_VALUE"""),44967.0)</f>
        <v>44967</v>
      </c>
      <c r="E47" s="4" t="str">
        <f>IFERROR(__xludf.DUMMYFUNCTION("""COMPUTED_VALUE"""),"jorge.contreras@patagoniansys.com")</f>
        <v>jorge.contreras@patagoniansys.com</v>
      </c>
      <c r="F47" s="4" t="str">
        <f>IFERROR(__xludf.DUMMYFUNCTION("""COMPUTED_VALUE"""),"ezequiel.cortes@patagoniansys.com")</f>
        <v>ezequiel.cortes@patagoniansys.com</v>
      </c>
      <c r="G47" s="4" t="str">
        <f>IFERROR(__xludf.DUMMYFUNCTION("""COMPUTED_VALUE"""),"Initial gathering")</f>
        <v>Initial gathering</v>
      </c>
      <c r="H47" s="4"/>
      <c r="I47" s="6" t="str">
        <f>IFERROR(__xludf.DUMMYFUNCTION("""COMPUTED_VALUE"""),"- Interviewee e-Mail: ezequiel.cortes@patagoniansys.com
- Project name: Overplay
- Project | Role: Fullstack / DevOps
- Project | technologies: NodeJS, Express, ReactJS, AWS (arquitectura), Google Cloud (big query, firebase, dynamic links)
- Happiness in "&amp;"project technology: 🙂 Feliz
- Happiness in project technology | Description: No desmotivada
- Project | The best/coolest thing: La idea, de que se trata Overlay. Un tiktok con juegos
- Project | The worst thing: Probablemente el cliente. No tiene un hori"&amp;"zonte claro de que quiere
- Project | Improvements: Por los momento nada
- Team | TL: Creo que es Juan Martín Martínez
- Team | PX: Tomás Bayley
- Team | QA: 4
- Team | QA Automation: No
- Team | QA | Notes: Es externo, de Filipinas
- Team | UI/UX: 2
- Te"&amp;"am | UI/UX | Notes: Es externo, es de Colombia. También hay un Game Analysis y cubren todo lo de UI/UX (uno de ellos verifica si el juego es jugable)
- Team | DevOps: 0
- Team | DevOps | Notes: Ellos son sus propios DevOps
- Team | Data Engineer: 1")</f>
        <v>- Interviewee e-Mail: ezequiel.cortes@patagoniansys.com
- Project name: Overplay
- Project | Role: Fullstack / DevOps
- Project | technologies: NodeJS, Express, ReactJS, AWS (arquitectura), Google Cloud (big query, firebase, dynamic links)
- Happiness in project technology: 🙂 Feliz
- Happiness in project technology | Description: No desmotivada
- Project | The best/coolest thing: La idea, de que se trata Overlay. Un tiktok con juegos
- Project | The worst thing: Probablemente el cliente. No tiene un horizonte claro de que quiere
- Project | Improvements: Por los momento nada
- Team | TL: Creo que es Juan Martín Martínez
- Team | PX: Tomás Bayley
- Team | QA: 4
- Team | QA Automation: No
- Team | QA | Notes: Es externo, de Filipinas
- Team | UI/UX: 2
- Team | UI/UX | Notes: Es externo, es de Colombia. También hay un Game Analysis y cubren todo lo de UI/UX (uno de ellos verifica si el juego es jugable)
- Team | DevOps: 0
- Team | DevOps | Notes: Ellos son sus propios DevOps
- Team | Data Engineer: 1</v>
      </c>
      <c r="J47" s="4" t="str">
        <f>IFERROR(__xludf.DUMMYFUNCTION("""COMPUTED_VALUE"""),"Tech Referent - Initial gathering")</f>
        <v>Tech Referent - Initial gathering</v>
      </c>
    </row>
    <row r="48">
      <c r="A48" s="4">
        <f>IFERROR(__xludf.DUMMYFUNCTION("""COMPUTED_VALUE"""),297.0)</f>
        <v>297</v>
      </c>
      <c r="B48" s="4" t="str">
        <f>IFERROR(__xludf.DUMMYFUNCTION("""COMPUTED_VALUE"""),"charly.palencia")</f>
        <v>charly.palencia</v>
      </c>
      <c r="C48" s="5">
        <f>IFERROR(__xludf.DUMMYFUNCTION("""COMPUTED_VALUE"""),44970.58068630787)</f>
        <v>44970.58069</v>
      </c>
      <c r="D48" s="5">
        <f>IFERROR(__xludf.DUMMYFUNCTION("""COMPUTED_VALUE"""),44970.0)</f>
        <v>44970</v>
      </c>
      <c r="E48" s="4" t="str">
        <f>IFERROR(__xludf.DUMMYFUNCTION("""COMPUTED_VALUE"""),"pablo.gomez@patagoniansys.com")</f>
        <v>pablo.gomez@patagoniansys.com</v>
      </c>
      <c r="F48" s="4" t="str">
        <f>IFERROR(__xludf.DUMMYFUNCTION("""COMPUTED_VALUE"""),"charly.palencia@patagoniansys.com")</f>
        <v>charly.palencia@patagoniansys.com</v>
      </c>
      <c r="G48" s="4" t="str">
        <f>IFERROR(__xludf.DUMMYFUNCTION("""COMPUTED_VALUE"""),"Initial gathering")</f>
        <v>Initial gathering</v>
      </c>
      <c r="H48" s="4"/>
      <c r="I48" s="6" t="str">
        <f>IFERROR(__xludf.DUMMYFUNCTION("""COMPUTED_VALUE"""),"- Interviewee e-Mail: charly.palencia@patagoniansys.com
- Project name: Forge
- Project | Role: Backend Developer
- Project | technologies: ruby,rails,react,js
- Happiness in project technology: 🙂 Feliz
- Happiness in project technology | Description: Ca"&amp;"mbios recientes, muchas reuniones.
- Project | The best/coolest thing: La calidad técnica del equipo.
- Project | The worst thing: Muchas reuniones e incertidumbre en cuanto al producto.
- Team | TL: No lo sabe aún (dados recientes cambios)
- Team | PX: A"&amp;"licia Reebenacker 
- Team | QA: 1
- Team | QA Automation: No
- Team | QA | Notes: Olha Beskrovna
- Team | UI/UX: 0
- Team | DevOps: 0
- Team | Data Engineer: 0")</f>
        <v>- Interviewee e-Mail: charly.palencia@patagoniansys.com
- Project name: Forge
- Project | Role: Backend Developer
- Project | technologies: ruby,rails,react,js
- Happiness in project technology: 🙂 Feliz
- Happiness in project technology | Description: Cambios recientes, muchas reuniones.
- Project | The best/coolest thing: La calidad técnica del equipo.
- Project | The worst thing: Muchas reuniones e incertidumbre en cuanto al producto.
- Team | TL: No lo sabe aún (dados recientes cambios)
- Team | PX: Alicia Reebenacker 
- Team | QA: 1
- Team | QA Automation: No
- Team | QA | Notes: Olha Beskrovna
- Team | UI/UX: 0
- Team | DevOps: 0
- Team | Data Engineer: 0</v>
      </c>
      <c r="J48" s="4" t="str">
        <f>IFERROR(__xludf.DUMMYFUNCTION("""COMPUTED_VALUE"""),"Tech Referent - Initial gathering")</f>
        <v>Tech Referent - Initial gathering</v>
      </c>
    </row>
    <row r="49">
      <c r="A49" s="4">
        <f>IFERROR(__xludf.DUMMYFUNCTION("""COMPUTED_VALUE"""),272.0)</f>
        <v>272</v>
      </c>
      <c r="B49" s="4" t="str">
        <f>IFERROR(__xludf.DUMMYFUNCTION("""COMPUTED_VALUE"""),"santiago.grossi")</f>
        <v>santiago.grossi</v>
      </c>
      <c r="C49" s="5">
        <f>IFERROR(__xludf.DUMMYFUNCTION("""COMPUTED_VALUE"""),44971.69103800926)</f>
        <v>44971.69104</v>
      </c>
      <c r="D49" s="5">
        <f>IFERROR(__xludf.DUMMYFUNCTION("""COMPUTED_VALUE"""),44971.0)</f>
        <v>44971</v>
      </c>
      <c r="E49" s="4" t="str">
        <f>IFERROR(__xludf.DUMMYFUNCTION("""COMPUTED_VALUE"""),"bruno.molina@patagoniansys.com")</f>
        <v>bruno.molina@patagoniansys.com</v>
      </c>
      <c r="F49" s="4" t="str">
        <f>IFERROR(__xludf.DUMMYFUNCTION("""COMPUTED_VALUE"""),"santiago.grossi@patagoniansys.com")</f>
        <v>santiago.grossi@patagoniansys.com</v>
      </c>
      <c r="G49" s="4" t="str">
        <f>IFERROR(__xludf.DUMMYFUNCTION("""COMPUTED_VALUE"""),"Referent One on One")</f>
        <v>Referent One on One</v>
      </c>
      <c r="H49" s="4"/>
      <c r="I49" s="6" t="str">
        <f>IFERROR(__xludf.DUMMYFUNCTION("""COMPUTED_VALUE"""),"- Interviewee e-Mail: santiago.grossi@patagoniansys.com
- Project Status Check: Ha estado trabajando en ConnectAmericas y sus proyectos relacionados.
Se siente comodo y no precisa ayuda.
- Project Changes | Notes: El colaborador comenta que no le gustan m"&amp;"uchos los cambios abruptos que hubieron en los proyectos y que le hubiese gustado estar un poco mas al tanto.
Ejemplo Salida Agus K , su proxima salida del proyecto y nuevas asignaciones
- Project Role | Feeling: 4
- Extra Work Hours | Amount: 0
- Techs |"&amp;" Research: ESP (arduino) , NODE , REACT NATIVE , FLUTTER
- Techs | Recomendations: Se le hizo hincapie en intentar realizar alguna certificacion en AWS para complementar su desarrollo profesional.
- Techs | Recomendations check: Es la primera reunion , no"&amp;" hay feedback de esto
- Collaborator | Seniority: 👍 No, es correcto
- Alerts: ALERT - Su cambio a bench y cambio de proyecto / entrevistas con nuevos potenciales clientes lo tiene un poco incomodo, debieramos buscar un buen match para continuar con su ca"&amp;"rrera en la empresa.
- Project Needs / Oportunities: En el caso de Santiago creeria que buscar un proyecto de Producto a largo plazo le daria la estabilidad requerida para desarrollarse.
- Final notes: Creeria que estaria bueno determinar cual seria el si"&amp;"guiente paso de Santiago en cuanto a proyectos para poder darle un marco mas adecuado y clarificar un poco su panorama.
El viene de malas experiencias en otras empresas mas relacionadas a los staffs y creo que lo que mas valoraba de su participacion en Co"&amp;"nnect es la estabilidad relacionada con el desarrollo de productos. 
Habria que revisar bien cual seria un buen siguiente paso para el dentro de la empresa.
- Project Techs | Learning: 0
- Techs | Research: 1
- Project Techs | Difficulty: 3
- Project Chan"&amp;"ges | Reasons: ⬇️ Reducción del equipo, 🔀 Cambio de roles dentro del equipo
- Project Changes | Personal Impact: 1
- Project Role | Value: 5
- Project role | Notes: Cree que se le ha dado mas oportunidades y chances que en otras empresas en las que traba"&amp;"jo y valora eso. Hace hincapie en los roles de Andres Atwell y Bruno Molina.")</f>
        <v>- Interviewee e-Mail: santiago.grossi@patagoniansys.com
- Project Status Check: Ha estado trabajando en ConnectAmericas y sus proyectos relacionados.
Se siente comodo y no precisa ayuda.
- Project Changes | Notes: El colaborador comenta que no le gustan muchos los cambios abruptos que hubieron en los proyectos y que le hubiese gustado estar un poco mas al tanto.
Ejemplo Salida Agus K , su proxima salida del proyecto y nuevas asignaciones
- Project Role | Feeling: 4
- Extra Work Hours | Amount: 0
- Techs | Research: ESP (arduino) , NODE , REACT NATIVE , FLUTTER
- Techs | Recomendations: Se le hizo hincapie en intentar realizar alguna certificacion en AWS para complementar su desarrollo profesional.
- Techs | Recomendations check: Es la primera reunion , no hay feedback de esto
- Collaborator | Seniority: 👍 No, es correcto
- Alerts: ALERT - Su cambio a bench y cambio de proyecto / entrevistas con nuevos potenciales clientes lo tiene un poco incomodo, debieramos buscar un buen match para continuar con su carrera en la empresa.
- Project Needs / Oportunities: En el caso de Santiago creeria que buscar un proyecto de Producto a largo plazo le daria la estabilidad requerida para desarrollarse.
- Final notes: Creeria que estaria bueno determinar cual seria el siguiente paso de Santiago en cuanto a proyectos para poder darle un marco mas adecuado y clarificar un poco su panorama.
El viene de malas experiencias en otras empresas mas relacionadas a los staffs y creo que lo que mas valoraba de su participacion en Connect es la estabilidad relacionada con el desarrollo de productos. 
Habria que revisar bien cual seria un buen siguiente paso para el dentro de la empresa.
- Project Techs | Learning: 0
- Techs | Research: 1
- Project Techs | Difficulty: 3
- Project Changes | Reasons: ⬇️ Reducción del equipo, 🔀 Cambio de roles dentro del equipo
- Project Changes | Personal Impact: 1
- Project Role | Value: 5
- Project role | Notes: Cree que se le ha dado mas oportunidades y chances que en otras empresas en las que trabajo y valora eso. Hace hincapie en los roles de Andres Atwell y Bruno Molina.</v>
      </c>
      <c r="J49" s="4" t="str">
        <f>IFERROR(__xludf.DUMMYFUNCTION("""COMPUTED_VALUE"""),"Tech Referent - OneOnOne")</f>
        <v>Tech Referent - OneOnOne</v>
      </c>
    </row>
    <row r="50">
      <c r="A50" s="4">
        <f>IFERROR(__xludf.DUMMYFUNCTION("""COMPUTED_VALUE"""),287.0)</f>
        <v>287</v>
      </c>
      <c r="B50" s="4" t="str">
        <f>IFERROR(__xludf.DUMMYFUNCTION("""COMPUTED_VALUE"""),"duvan.narvaez")</f>
        <v>duvan.narvaez</v>
      </c>
      <c r="C50" s="5">
        <f>IFERROR(__xludf.DUMMYFUNCTION("""COMPUTED_VALUE"""),44972.68259733797)</f>
        <v>44972.6826</v>
      </c>
      <c r="D50" s="5">
        <f>IFERROR(__xludf.DUMMYFUNCTION("""COMPUTED_VALUE"""),44972.0)</f>
        <v>44972</v>
      </c>
      <c r="E50" s="4" t="str">
        <f>IFERROR(__xludf.DUMMYFUNCTION("""COMPUTED_VALUE"""),"juanmanuel@patagoniansys.com")</f>
        <v>juanmanuel@patagoniansys.com</v>
      </c>
      <c r="F50" s="4" t="str">
        <f>IFERROR(__xludf.DUMMYFUNCTION("""COMPUTED_VALUE"""),"duvan.narvaez@patagoniansys.com")</f>
        <v>duvan.narvaez@patagoniansys.com</v>
      </c>
      <c r="G50" s="4" t="str">
        <f>IFERROR(__xludf.DUMMYFUNCTION("""COMPUTED_VALUE"""),"Initial gathering")</f>
        <v>Initial gathering</v>
      </c>
      <c r="H50" s="4"/>
      <c r="I50" s="6" t="str">
        <f>IFERROR(__xludf.DUMMYFUNCTION("""COMPUTED_VALUE"""),"- Interviewee e-Mail: duvan.narvaez@patagoniansys.com
- Project name: Halliburton
- Project | Role: Backend Developer, Frontend Developer
- Project | Description: El trabajo que describe parece estar dentro de la categoría “transformación digital”. El cli"&amp;"ente tiene distintos tipos o categorías de información (formatos) volcados en excel y está en el proceso de digitalizar esos datos, validarlos, formatearlos, guardarlos y exponerlos de forma digital de manera que ayuden a hacer más eficiente las tareas o "&amp;"trabajos que dependen de estos datos.
- Project | technologies: Angular, NestJS, NodeJS
- Happiness in project technology: 🙂 Feliz
- Happiness in project technology | Description: No menciona desmotivación en cuestiones técnicas, pero si menciona una par"&amp;"te del proyecto como ""un tanto tedioso"" por la naturaleza del mismo en la etapa en la que se encuentra en donde las definiciones y requerimientos se están desarrollando y descubriendo en el momento. Menciona que atiende a “demasiadas” reuniones en las q"&amp;"ue el management y el cliente tratan estas definiciones pero no se avanza en el desarrollo y teme que para cuando estas definiciones estén listas, el tiempo que quede para el desarrollo sea corto ya que los deadlines sí están definidos de antemano.
- Proj"&amp;"ect | The best/coolest thing: Menciona como algo “super cool” la llegada de un nuevo TL por parte del cliente. Menciona que la forma que tiene de trabajar es muy buena, que toma decisiones de arquitectura que le parecen acertadas y que las mismas están en"&amp;" parte orientadas a delimitar responsabilidades (responsabilidades del desarrollador versus responsabilidades de otras areas como db management).
También menciona que le agrada el stack tecnológico que utilizan (Angular, NestJS). Que está aprendiendo las"&amp;" fortalezas que provee la utilización de un framework (Angular) en oposición a una librería (React).
- Project | The worst thing: No menciona específicamente cuestiones técnicas. Sí menciona lo tedioso que puede ser tener muchas reuniones en las que no se"&amp;" tratan específicamente cuestiones técnicas sino más bien definiciones de producto y requerimientos.
- Project | Improvements: Aun no poseo suficiente información para dar una opinión al respecto. Al menos no ha salido nada que sea evidente en esta primer"&amp;"a entrevista en lo referente a cuestiones tecnológicas que puedan ser sujeto de mejoras. Sí menciona la leve preocupación ya mencionada sobre los tiempos de definición de requerimientos.
- Team | TL: Menciona que es un TL que viene del lado del cliente. N"&amp;"o pregunté su nombre.
- Team | PX: No pregunté (my bad).
- Team | QA: 👀 Otra situación
- Team | QA Automation: 👍 Si
- Team | QA | Notes: Menciona que existe QA pero no pregunté muchos detalles al respecto. El equipo de trabajo cuenta con entre 12 a 14 m"&amp;"iembros de los cuales algunos de ellos son QA.
- Team | UI/UX: 👀 Otra situación
- Team | UI/UX | Notes: Menciona que existen diseñadores de patagonian en el proyecto. No indagué detalles acerca de la cantidad.
- Team | DevOps: 👀 Otra situación
- Team | "&amp;"DevOps | Notes: Tampoco indagué mucho al respecto. Asumo que es el cliente quien está a cargo de la mayoría del trabajo orientado a este área.
- Team | Data Engineer: 👀 Otra situación")</f>
        <v>- Interviewee e-Mail: duvan.narvaez@patagoniansys.com
- Project name: Halliburton
- Project | Role: Backend Developer, Frontend Developer
- Project | Description: El trabajo que describe parece estar dentro de la categoría “transformación digital”. El cliente tiene distintos tipos o categorías de información (formatos) volcados en excel y está en el proceso de digitalizar esos datos, validarlos, formatearlos, guardarlos y exponerlos de forma digital de manera que ayuden a hacer más eficiente las tareas o trabajos que dependen de estos datos.
- Project | technologies: Angular, NestJS, NodeJS
- Happiness in project technology: 🙂 Feliz
- Happiness in project technology | Description: No menciona desmotivación en cuestiones técnicas, pero si menciona una parte del proyecto como "un tanto tedioso" por la naturaleza del mismo en la etapa en la que se encuentra en donde las definiciones y requerimientos se están desarrollando y descubriendo en el momento. Menciona que atiende a “demasiadas” reuniones en las que el management y el cliente tratan estas definiciones pero no se avanza en el desarrollo y teme que para cuando estas definiciones estén listas, el tiempo que quede para el desarrollo sea corto ya que los deadlines sí están definidos de antemano.
- Project | The best/coolest thing: Menciona como algo “super cool” la llegada de un nuevo TL por parte del cliente. Menciona que la forma que tiene de trabajar es muy buena, que toma decisiones de arquitectura que le parecen acertadas y que las mismas están en parte orientadas a delimitar responsabilidades (responsabilidades del desarrollador versus responsabilidades de otras areas como db management).
También menciona que le agrada el stack tecnológico que utilizan (Angular, NestJS). Que está aprendiendo las fortalezas que provee la utilización de un framework (Angular) en oposición a una librería (React).
- Project | The worst thing: No menciona específicamente cuestiones técnicas. Sí menciona lo tedioso que puede ser tener muchas reuniones en las que no se tratan específicamente cuestiones técnicas sino más bien definiciones de producto y requerimientos.
- Project | Improvements: Aun no poseo suficiente información para dar una opinión al respecto. Al menos no ha salido nada que sea evidente en esta primera entrevista en lo referente a cuestiones tecnológicas que puedan ser sujeto de mejoras. Sí menciona la leve preocupación ya mencionada sobre los tiempos de definición de requerimientos.
- Team | TL: Menciona que es un TL que viene del lado del cliente. No pregunté su nombre.
- Team | PX: No pregunté (my bad).
- Team | QA: 👀 Otra situación
- Team | QA Automation: 👍 Si
- Team | QA | Notes: Menciona que existe QA pero no pregunté muchos detalles al respecto. El equipo de trabajo cuenta con entre 12 a 14 miembros de los cuales algunos de ellos son QA.
- Team | UI/UX: 👀 Otra situación
- Team | UI/UX | Notes: Menciona que existen diseñadores de patagonian en el proyecto. No indagué detalles acerca de la cantidad.
- Team | DevOps: 👀 Otra situación
- Team | DevOps | Notes: Tampoco indagué mucho al respecto. Asumo que es el cliente quien está a cargo de la mayoría del trabajo orientado a este área.
- Team | Data Engineer: 👀 Otra situación</v>
      </c>
      <c r="J50" s="4" t="str">
        <f>IFERROR(__xludf.DUMMYFUNCTION("""COMPUTED_VALUE"""),"Tech Referent - Initial gathering")</f>
        <v>Tech Referent - Initial gathering</v>
      </c>
    </row>
    <row r="51">
      <c r="A51" s="4">
        <f>IFERROR(__xludf.DUMMYFUNCTION("""COMPUTED_VALUE"""),249.0)</f>
        <v>249</v>
      </c>
      <c r="B51" s="4" t="str">
        <f>IFERROR(__xludf.DUMMYFUNCTION("""COMPUTED_VALUE"""),"nahuel.diaz")</f>
        <v>nahuel.diaz</v>
      </c>
      <c r="C51" s="5">
        <f>IFERROR(__xludf.DUMMYFUNCTION("""COMPUTED_VALUE"""),44974.578498599534)</f>
        <v>44974.5785</v>
      </c>
      <c r="D51" s="5">
        <f>IFERROR(__xludf.DUMMYFUNCTION("""COMPUTED_VALUE"""),44972.0)</f>
        <v>44972</v>
      </c>
      <c r="E51" s="4" t="str">
        <f>IFERROR(__xludf.DUMMYFUNCTION("""COMPUTED_VALUE"""),"henry.tong@patagoniansys.com")</f>
        <v>henry.tong@patagoniansys.com</v>
      </c>
      <c r="F51" s="4" t="str">
        <f>IFERROR(__xludf.DUMMYFUNCTION("""COMPUTED_VALUE"""),"nahuel.diaz@patagonian.com")</f>
        <v>nahuel.diaz@patagonian.com</v>
      </c>
      <c r="G51" s="4" t="str">
        <f>IFERROR(__xludf.DUMMYFUNCTION("""COMPUTED_VALUE"""),"Initial gathering")</f>
        <v>Initial gathering</v>
      </c>
      <c r="H51" s="4"/>
      <c r="I51" s="6" t="str">
        <f>IFERROR(__xludf.DUMMYFUNCTION("""COMPUTED_VALUE"""),"- Interviewee e-Mail: nahuel.diaz@patagonian.com
- Project name: ANR
- Project | Role: Backend Developer
- Project | Description: Sentiment busca el análisis de sentimientos en las comunicaciones usando Machine Learning. La idea es analizar de manera fáci"&amp;"l y ágil las comunicaciones (e-mails) dentro de una organización para encontrar patrones.
Se busca agrupar por categorias que temas se discuten con mayor frecuencia, analizar sentimientos en cada mail y poder asociar estos sentimientos a los temas discuti"&amp;"dos. 
Tambien se busca representar este analisis de una forma gráfica.
- Project | technologies: ML: Python. Backend: Java, Spring. Frontend: Next.js
- Happiness in project technology: 🙂 Feliz
- Happiness in project technology | Description: No aplica. E"&amp;"stá haciendo tareas relacionadas
- Project | The best/coolest thing: Le permite aprender Python
- Project | The worst thing: No es molestia pero no es su preferencia tocar javascript y usar Typescript le ayuda
- Project | Improvements: Todavía no conoce t"&amp;"anto del proyecto o de tecnologías para recomendar algo mejor
- Team | TL: Patagonian todavía no asigna uno
- Team | PX: PM: Tomas Bayley. PO: Silvina Urbani
- Team | QA: 0
- Team | QA Automation: 🤔 No lo se
- Team | UI/UX: 0
- Team | DevOps: 1
- Team | "&amp;"Data Engineer: 2")</f>
        <v>- Interviewee e-Mail: nahuel.diaz@patagonian.com
- Project name: ANR
- Project | Role: Backend Developer
- Project | Description: Sentiment busca el análisis de sentimientos en las comunicaciones usando Machine Learning. La idea es analizar de manera fácil y ágil las comunicaciones (e-mails) dentro de una organización para encontrar patrones.
Se busca agrupar por categorias que temas se discuten con mayor frecuencia, analizar sentimientos en cada mail y poder asociar estos sentimientos a los temas discutidos. 
Tambien se busca representar este analisis de una forma gráfica.
- Project | technologies: ML: Python. Backend: Java, Spring. Frontend: Next.js
- Happiness in project technology: 🙂 Feliz
- Happiness in project technology | Description: No aplica. Está haciendo tareas relacionadas
- Project | The best/coolest thing: Le permite aprender Python
- Project | The worst thing: No es molestia pero no es su preferencia tocar javascript y usar Typescript le ayuda
- Project | Improvements: Todavía no conoce tanto del proyecto o de tecnologías para recomendar algo mejor
- Team | TL: Patagonian todavía no asigna uno
- Team | PX: PM: Tomas Bayley. PO: Silvina Urbani
- Team | QA: 0
- Team | QA Automation: 🤔 No lo se
- Team | UI/UX: 0
- Team | DevOps: 1
- Team | Data Engineer: 2</v>
      </c>
      <c r="J51" s="4" t="str">
        <f>IFERROR(__xludf.DUMMYFUNCTION("""COMPUTED_VALUE"""),"Tech Referent - Initial gathering")</f>
        <v>Tech Referent - Initial gathering</v>
      </c>
    </row>
    <row r="52">
      <c r="A52" s="4">
        <f>IFERROR(__xludf.DUMMYFUNCTION("""COMPUTED_VALUE"""),173.0)</f>
        <v>173</v>
      </c>
      <c r="B52" s="4" t="str">
        <f>IFERROR(__xludf.DUMMYFUNCTION("""COMPUTED_VALUE"""),"elias.caram")</f>
        <v>elias.caram</v>
      </c>
      <c r="C52" s="5">
        <f>IFERROR(__xludf.DUMMYFUNCTION("""COMPUTED_VALUE"""),44979.718824930555)</f>
        <v>44979.71882</v>
      </c>
      <c r="D52" s="5">
        <f>IFERROR(__xludf.DUMMYFUNCTION("""COMPUTED_VALUE"""),44979.0)</f>
        <v>44979</v>
      </c>
      <c r="E52" s="4" t="str">
        <f>IFERROR(__xludf.DUMMYFUNCTION("""COMPUTED_VALUE"""),"eugenio.fioriti@patagoniansys.com")</f>
        <v>eugenio.fioriti@patagoniansys.com</v>
      </c>
      <c r="F52" s="4" t="str">
        <f>IFERROR(__xludf.DUMMYFUNCTION("""COMPUTED_VALUE"""),"elias.caram@patagonian.it")</f>
        <v>elias.caram@patagonian.it</v>
      </c>
      <c r="G52" s="4" t="str">
        <f>IFERROR(__xludf.DUMMYFUNCTION("""COMPUTED_VALUE"""),"Initial gathering")</f>
        <v>Initial gathering</v>
      </c>
      <c r="H52" s="4"/>
      <c r="I52" s="6" t="str">
        <f>IFERROR(__xludf.DUMMYFUNCTION("""COMPUTED_VALUE"""),"- Interviewee e-Mail: elias.caram@patagonian.it
- Project name: INVAP
- Project | Role: Mobile Developer
- Project | Description: Mapa hídrico del país. Rol: desarrollar la aplicación mobile desde cero, cargar datos desde un endpoint y mostrarlos en el ma"&amp;"pa para que usuarios puedan acceder a datos específicos.
- Project | technologies: React native, Typescript
- Happiness in project technology: 🙂 Feliz
- Project | The best/coolest thing: La organización del código establecida por el equipo.
- Project | T"&amp;"he worst thing: La tecnología utilizada para organizar tareas. Usan un backlog en excel.
- Project | Improvements: Mejorar la gestión del backlog.
- Team | TL: Bruno Molina
- Team | PX: Natalia Aguirre
- Team | QA: 1
- Team | QA Automation: 👎 No
- Team |"&amp;" QA | Notes: Mariano Sckerl única persona de QA
- Team | UI/UX: 0
- Team | UI/UX | Notes: El equipo UX/UI está provisto por el cliente
- Team | DevOps: 0
- Team | DevOps | Notes: En fase de desarrollo. Es una app mobile que se sube a los stores mediante u"&amp;"n comando. El cliente provee el backend con lo cual el equipo no necesita devops.
- Team | Data Engineer: 0")</f>
        <v>- Interviewee e-Mail: elias.caram@patagonian.it
- Project name: INVAP
- Project | Role: Mobile Developer
- Project | Description: Mapa hídrico del país. Rol: desarrollar la aplicación mobile desde cero, cargar datos desde un endpoint y mostrarlos en el mapa para que usuarios puedan acceder a datos específicos.
- Project | technologies: React native, Typescript
- Happiness in project technology: 🙂 Feliz
- Project | The best/coolest thing: La organización del código establecida por el equipo.
- Project | The worst thing: La tecnología utilizada para organizar tareas. Usan un backlog en excel.
- Project | Improvements: Mejorar la gestión del backlog.
- Team | TL: Bruno Molina
- Team | PX: Natalia Aguirre
- Team | QA: 1
- Team | QA Automation: 👎 No
- Team | QA | Notes: Mariano Sckerl única persona de QA
- Team | UI/UX: 0
- Team | UI/UX | Notes: El equipo UX/UI está provisto por el cliente
- Team | DevOps: 0
- Team | DevOps | Notes: En fase de desarrollo. Es una app mobile que se sube a los stores mediante un comando. El cliente provee el backend con lo cual el equipo no necesita devops.
- Team | Data Engineer: 0</v>
      </c>
      <c r="J52" s="4" t="str">
        <f>IFERROR(__xludf.DUMMYFUNCTION("""COMPUTED_VALUE"""),"Tech Referent - Initial gathering")</f>
        <v>Tech Referent - Initial gathering</v>
      </c>
    </row>
    <row r="53" hidden="1">
      <c r="A53" s="4">
        <f>IFERROR(__xludf.DUMMYFUNCTION("""COMPUTED_VALUE"""),297.0)</f>
        <v>297</v>
      </c>
      <c r="B53" s="4" t="str">
        <f>IFERROR(__xludf.DUMMYFUNCTION("""COMPUTED_VALUE"""),"charly.palencia")</f>
        <v>charly.palencia</v>
      </c>
      <c r="C53" s="5">
        <f>IFERROR(__xludf.DUMMYFUNCTION("""COMPUTED_VALUE"""),44999.58289585648)</f>
        <v>44999.5829</v>
      </c>
      <c r="D53" s="5">
        <f>IFERROR(__xludf.DUMMYFUNCTION("""COMPUTED_VALUE"""),44980.0)</f>
        <v>44980</v>
      </c>
      <c r="E53" s="4" t="str">
        <f>IFERROR(__xludf.DUMMYFUNCTION("""COMPUTED_VALUE"""),"marcela.benavides@patagoniansys.com")</f>
        <v>marcela.benavides@patagoniansys.com</v>
      </c>
      <c r="F53" s="4" t="str">
        <f>IFERROR(__xludf.DUMMYFUNCTION("""COMPUTED_VALUE"""),"charly.palencia@patagoniansys.com")</f>
        <v>charly.palencia@patagoniansys.com</v>
      </c>
      <c r="G53" s="4" t="str">
        <f>IFERROR(__xludf.DUMMYFUNCTION("""COMPUTED_VALUE"""),"⏱ One on One")</f>
        <v>⏱ One on One</v>
      </c>
      <c r="H53" s="4" t="str">
        <f>IFERROR(__xludf.DUMMYFUNCTION("""COMPUTED_VALUE"""),"😀 Sumamente Feliz")</f>
        <v>😀 Sumamente Feliz</v>
      </c>
      <c r="I53" s="6" t="str">
        <f>IFERROR(__xludf.DUMMYFUNCTION("""COMPUTED_VALUE"""),"Charly solicito el continuar en Forge/Patagonian solo por medio tiempo. Estaría full-time solo hasta el viernes 14 de Abril. Esto es debido a que su emprendimiento esta creciendo y necesita dedicarle más tiempo. Viene muy contento en el proyecto y en Forg"&amp;"e. ")</f>
        <v>Charly solicito el continuar en Forge/Patagonian solo por medio tiempo. Estaría full-time solo hasta el viernes 14 de Abril. Esto es debido a que su emprendimiento esta creciendo y necesita dedicarle más tiempo. Viene muy contento en el proyecto y en Forge. </v>
      </c>
      <c r="J53" s="4" t="str">
        <f>IFERROR(__xludf.DUMMYFUNCTION("""COMPUTED_VALUE"""),"PX|Referents|RRHH")</f>
        <v>PX|Referents|RRHH</v>
      </c>
    </row>
    <row r="54" hidden="1">
      <c r="A54" s="4">
        <f>IFERROR(__xludf.DUMMYFUNCTION("""COMPUTED_VALUE"""),185.0)</f>
        <v>185</v>
      </c>
      <c r="B54" s="4" t="str">
        <f>IFERROR(__xludf.DUMMYFUNCTION("""COMPUTED_VALUE"""),"carla.castiglia")</f>
        <v>carla.castiglia</v>
      </c>
      <c r="C54" s="5">
        <f>IFERROR(__xludf.DUMMYFUNCTION("""COMPUTED_VALUE"""),44992.62610479167)</f>
        <v>44992.6261</v>
      </c>
      <c r="D54" s="5">
        <f>IFERROR(__xludf.DUMMYFUNCTION("""COMPUTED_VALUE"""),44981.0)</f>
        <v>44981</v>
      </c>
      <c r="E54" s="4" t="str">
        <f>IFERROR(__xludf.DUMMYFUNCTION("""COMPUTED_VALUE"""),"micaela.zorzetto@patagoniansys.com")</f>
        <v>micaela.zorzetto@patagoniansys.com</v>
      </c>
      <c r="F54" s="4" t="str">
        <f>IFERROR(__xludf.DUMMYFUNCTION("""COMPUTED_VALUE"""),"carla.castiglia@patagoniansys.com")</f>
        <v>carla.castiglia@patagoniansys.com</v>
      </c>
      <c r="G54" s="4" t="str">
        <f>IFERROR(__xludf.DUMMYFUNCTION("""COMPUTED_VALUE"""),"⏱ One on One")</f>
        <v>⏱ One on One</v>
      </c>
      <c r="H54" s="4" t="str">
        <f>IFERROR(__xludf.DUMMYFUNCTION("""COMPUTED_VALUE"""),"😐 Indiferente")</f>
        <v>😐 Indiferente</v>
      </c>
      <c r="I54" s="6" t="str">
        <f>IFERROR(__xludf.DUMMYFUNCTION("""COMPUTED_VALUE"""),"Actualmente Carla esta atenta a un cambio de proyecto que sea en español, porque considera que su inglés no es bueno para trabajar con un cliente de habla inglesa. En Al Mundo, se siente cómoda y con confianza.
En Patagonian se siente bien a gusto, le gus"&amp;"ta el ambiente que hay en la emrpesa para trabajar. 
En cuanto a capacitación, tiene como objetivo este año mejorar su inglés y le gustaría tomar un curso de React.
En la charla note que no comprende como es el proceso de asignación a un nuevo proyecto, l"&amp;"o charle con la PM para que podamos serle claras como es correctamente. ")</f>
        <v>Actualmente Carla esta atenta a un cambio de proyecto que sea en español, porque considera que su inglés no es bueno para trabajar con un cliente de habla inglesa. En Al Mundo, se siente cómoda y con confianza.
En Patagonian se siente bien a gusto, le gusta el ambiente que hay en la emrpesa para trabajar. 
En cuanto a capacitación, tiene como objetivo este año mejorar su inglés y le gustaría tomar un curso de React.
En la charla note que no comprende como es el proceso de asignación a un nuevo proyecto, lo charle con la PM para que podamos serle claras como es correctamente. </v>
      </c>
      <c r="J54" s="4" t="str">
        <f>IFERROR(__xludf.DUMMYFUNCTION("""COMPUTED_VALUE"""),"PX|Referents|RRHH")</f>
        <v>PX|Referents|RRHH</v>
      </c>
    </row>
    <row r="55" hidden="1">
      <c r="A55" s="4">
        <f>IFERROR(__xludf.DUMMYFUNCTION("""COMPUTED_VALUE"""),88.0)</f>
        <v>88</v>
      </c>
      <c r="B55" s="4" t="str">
        <f>IFERROR(__xludf.DUMMYFUNCTION("""COMPUTED_VALUE"""),"andres.bolocco")</f>
        <v>andres.bolocco</v>
      </c>
      <c r="C55" s="5">
        <f>IFERROR(__xludf.DUMMYFUNCTION("""COMPUTED_VALUE"""),44992.71009400463)</f>
        <v>44992.71009</v>
      </c>
      <c r="D55" s="5">
        <f>IFERROR(__xludf.DUMMYFUNCTION("""COMPUTED_VALUE"""),44984.0)</f>
        <v>44984</v>
      </c>
      <c r="E55" s="4" t="str">
        <f>IFERROR(__xludf.DUMMYFUNCTION("""COMPUTED_VALUE"""),"micaela.zorzetto@patagoniansys.com")</f>
        <v>micaela.zorzetto@patagoniansys.com</v>
      </c>
      <c r="F55" s="4" t="str">
        <f>IFERROR(__xludf.DUMMYFUNCTION("""COMPUTED_VALUE"""),"andres.bolocco@patagoniansys.com")</f>
        <v>andres.bolocco@patagoniansys.com</v>
      </c>
      <c r="G55" s="4" t="str">
        <f>IFERROR(__xludf.DUMMYFUNCTION("""COMPUTED_VALUE"""),"⏱ One on One")</f>
        <v>⏱ One on One</v>
      </c>
      <c r="H55" s="4" t="str">
        <f>IFERROR(__xludf.DUMMYFUNCTION("""COMPUTED_VALUE"""),"🙂 Feliz")</f>
        <v>🙂 Feliz</v>
      </c>
      <c r="I55" s="6" t="str">
        <f>IFERROR(__xludf.DUMMYFUNCTION("""COMPUTED_VALUE"""),"Proyecto: esta contento en grapevine y con las tareas que tiene como Arquitecto. Ahora se sumo a participar en el el proyecto de ARN. Me comento que pidió reducir horas en el proyecto de grapevine para poder dedicarle tiempo a las demas tareas y no estar "&amp;"fuera de horario laboral con otras tareas, pero le dijieron que no era posible por temas del clientes. Lo tomo bien, pero no quiere llegar a quemarse la cabeza. 
Capacitación: ahora esta enfocado en le programa que se armo para arquitectos y en certificar"&amp;".
Empresa: esta muy agradecido, siempre que necesito algo la empresa lo acompaño y apoyo. ")</f>
        <v>Proyecto: esta contento en grapevine y con las tareas que tiene como Arquitecto. Ahora se sumo a participar en el el proyecto de ARN. Me comento que pidió reducir horas en el proyecto de grapevine para poder dedicarle tiempo a las demas tareas y no estar fuera de horario laboral con otras tareas, pero le dijieron que no era posible por temas del clientes. Lo tomo bien, pero no quiere llegar a quemarse la cabeza. 
Capacitación: ahora esta enfocado en le programa que se armo para arquitectos y en certificar.
Empresa: esta muy agradecido, siempre que necesito algo la empresa lo acompaño y apoyo. </v>
      </c>
      <c r="J55" s="4" t="str">
        <f>IFERROR(__xludf.DUMMYFUNCTION("""COMPUTED_VALUE"""),"PX|Referents|RRHH")</f>
        <v>PX|Referents|RRHH</v>
      </c>
    </row>
    <row r="56" hidden="1">
      <c r="A56" s="4">
        <f>IFERROR(__xludf.DUMMYFUNCTION("""COMPUTED_VALUE"""),26.0)</f>
        <v>26</v>
      </c>
      <c r="B56" s="4" t="str">
        <f>IFERROR(__xludf.DUMMYFUNCTION("""COMPUTED_VALUE"""),"mariano.sckerl")</f>
        <v>mariano.sckerl</v>
      </c>
      <c r="C56" s="5">
        <f>IFERROR(__xludf.DUMMYFUNCTION("""COMPUTED_VALUE"""),44998.78169769676)</f>
        <v>44998.7817</v>
      </c>
      <c r="D56" s="5">
        <f>IFERROR(__xludf.DUMMYFUNCTION("""COMPUTED_VALUE"""),44985.0)</f>
        <v>44985</v>
      </c>
      <c r="E56" s="4" t="str">
        <f>IFERROR(__xludf.DUMMYFUNCTION("""COMPUTED_VALUE"""),"micaela.zorzetto@patagoniansys.com")</f>
        <v>micaela.zorzetto@patagoniansys.com</v>
      </c>
      <c r="F56" s="4" t="str">
        <f>IFERROR(__xludf.DUMMYFUNCTION("""COMPUTED_VALUE"""),"mariano.sckerl@patagoniansys.com")</f>
        <v>mariano.sckerl@patagoniansys.com</v>
      </c>
      <c r="G56" s="4" t="str">
        <f>IFERROR(__xludf.DUMMYFUNCTION("""COMPUTED_VALUE"""),"⏱ One on One")</f>
        <v>⏱ One on One</v>
      </c>
      <c r="H56" s="4" t="str">
        <f>IFERROR(__xludf.DUMMYFUNCTION("""COMPUTED_VALUE"""),"🙂 Feliz")</f>
        <v>🙂 Feliz</v>
      </c>
      <c r="I56" s="6" t="str">
        <f>IFERROR(__xludf.DUMMYFUNCTION("""COMPUTED_VALUE"""),"Proyectos: esta cómodo, hay dias que tiene mas trabajo que otros. Me comenta que el equipo esta acompañando a Isa en el proceso de toma de tareas de QA. Y ayuda a Jime (una de las pm de su proyecto), en cualquier cosa que requiera. 
Capacitación: este año"&amp;" tiene como objetivo rendir la certificación de QA. Esta escribiendo para el blog que publica el área de Comunicación. 
Empresa: esta contento, se siente cómodo en Patagonian. ")</f>
        <v>Proyectos: esta cómodo, hay dias que tiene mas trabajo que otros. Me comenta que el equipo esta acompañando a Isa en el proceso de toma de tareas de QA. Y ayuda a Jime (una de las pm de su proyecto), en cualquier cosa que requiera. 
Capacitación: este año tiene como objetivo rendir la certificación de QA. Esta escribiendo para el blog que publica el área de Comunicación. 
Empresa: esta contento, se siente cómodo en Patagonian. </v>
      </c>
      <c r="J56" s="4" t="str">
        <f>IFERROR(__xludf.DUMMYFUNCTION("""COMPUTED_VALUE"""),"PX|Referents|RRHH")</f>
        <v>PX|Referents|RRHH</v>
      </c>
    </row>
    <row r="57" hidden="1">
      <c r="A57" s="4">
        <f>IFERROR(__xludf.DUMMYFUNCTION("""COMPUTED_VALUE"""),131.0)</f>
        <v>131</v>
      </c>
      <c r="B57" s="4" t="str">
        <f>IFERROR(__xludf.DUMMYFUNCTION("""COMPUTED_VALUE"""),"luis.luna")</f>
        <v>luis.luna</v>
      </c>
      <c r="C57" s="5">
        <f>IFERROR(__xludf.DUMMYFUNCTION("""COMPUTED_VALUE"""),44992.78479460648)</f>
        <v>44992.78479</v>
      </c>
      <c r="D57" s="5">
        <f>IFERROR(__xludf.DUMMYFUNCTION("""COMPUTED_VALUE"""),44986.0)</f>
        <v>44986</v>
      </c>
      <c r="E57" s="4" t="str">
        <f>IFERROR(__xludf.DUMMYFUNCTION("""COMPUTED_VALUE"""),"micaela.zorzetto@patagoniansys.com")</f>
        <v>micaela.zorzetto@patagoniansys.com</v>
      </c>
      <c r="F57" s="4" t="str">
        <f>IFERROR(__xludf.DUMMYFUNCTION("""COMPUTED_VALUE"""),"luis.luna@patagoniansys.com")</f>
        <v>luis.luna@patagoniansys.com</v>
      </c>
      <c r="G57" s="4" t="str">
        <f>IFERROR(__xludf.DUMMYFUNCTION("""COMPUTED_VALUE"""),"⏱ One on One")</f>
        <v>⏱ One on One</v>
      </c>
      <c r="H57" s="4" t="str">
        <f>IFERROR(__xludf.DUMMYFUNCTION("""COMPUTED_VALUE"""),"🙂 Feliz")</f>
        <v>🙂 Feliz</v>
      </c>
      <c r="I57" s="6" t="str">
        <f>IFERROR(__xludf.DUMMYFUNCTION("""COMPUTED_VALUE"""),"Proyecto: esta cómodo y le gusta el fin que tiene este. Me cometó que pronto se termina el proyecto en el que esta, y lo van a rotar a otro dentro de Forge. Al principio, pensó que no le iba ir bien con el inglés, pero que de a poco fue agarrando confianz"&amp;"a. 
Capacitación: Aunque forma parte del grupo de arquitectos, no está seguro de si esta es la carrera que desea seguir. Por lo tanto, le gustaría hablar con su líder técnico para que le ayude a planificar su futuro en términos de habilidades tecnológicas"&amp;".
Empresa: : Se siente muy bien en Patagonian y está satisfecho con la forma de trabajo y el ambiente laboral que se vive en la empresa.")</f>
        <v>Proyecto: esta cómodo y le gusta el fin que tiene este. Me cometó que pronto se termina el proyecto en el que esta, y lo van a rotar a otro dentro de Forge. Al principio, pensó que no le iba ir bien con el inglés, pero que de a poco fue agarrando confianza. 
Capacitación: Aunque forma parte del grupo de arquitectos, no está seguro de si esta es la carrera que desea seguir. Por lo tanto, le gustaría hablar con su líder técnico para que le ayude a planificar su futuro en términos de habilidades tecnológicas.
Empresa: : Se siente muy bien en Patagonian y está satisfecho con la forma de trabajo y el ambiente laboral que se vive en la empresa.</v>
      </c>
      <c r="J57" s="4" t="str">
        <f>IFERROR(__xludf.DUMMYFUNCTION("""COMPUTED_VALUE"""),"PX|Referents|RRHH")</f>
        <v>PX|Referents|RRHH</v>
      </c>
    </row>
    <row r="58" hidden="1">
      <c r="A58" s="4">
        <f>IFERROR(__xludf.DUMMYFUNCTION("""COMPUTED_VALUE"""),125.0)</f>
        <v>125</v>
      </c>
      <c r="B58" s="4" t="str">
        <f>IFERROR(__xludf.DUMMYFUNCTION("""COMPUTED_VALUE"""),"pablo.triandafilide")</f>
        <v>pablo.triandafilide</v>
      </c>
      <c r="C58" s="5">
        <f>IFERROR(__xludf.DUMMYFUNCTION("""COMPUTED_VALUE"""),45002.77453189815)</f>
        <v>45002.77453</v>
      </c>
      <c r="D58" s="5">
        <f>IFERROR(__xludf.DUMMYFUNCTION("""COMPUTED_VALUE"""),44986.0)</f>
        <v>44986</v>
      </c>
      <c r="E58" s="4" t="str">
        <f>IFERROR(__xludf.DUMMYFUNCTION("""COMPUTED_VALUE"""),"micaela.zorzetto@patagoniansys.com")</f>
        <v>micaela.zorzetto@patagoniansys.com</v>
      </c>
      <c r="F58" s="4" t="str">
        <f>IFERROR(__xludf.DUMMYFUNCTION("""COMPUTED_VALUE"""),"pablo.triandafilide@patagoniansys.com")</f>
        <v>pablo.triandafilide@patagoniansys.com</v>
      </c>
      <c r="G58" s="4" t="str">
        <f>IFERROR(__xludf.DUMMYFUNCTION("""COMPUTED_VALUE"""),"⏱ One on One")</f>
        <v>⏱ One on One</v>
      </c>
      <c r="H58" s="4" t="str">
        <f>IFERROR(__xludf.DUMMYFUNCTION("""COMPUTED_VALUE"""),"😐 Indiferente")</f>
        <v>😐 Indiferente</v>
      </c>
      <c r="I58" s="6" t="str">
        <f>IFERROR(__xludf.DUMMYFUNCTION("""COMPUTED_VALUE"""),"Proyecto: esta cómodo y le gusta. Siente el apoyo del equipo y de la PM, siempre estuvieron dispuesta ayudarlo y acompañarlo. 
Empresa: se siente bien y se proyecta mucho tiempo en Patagonian. 
Capatacitación: quiere charlar con el TS para planificar o qu"&amp;"e lo guia para donde enfocar su carrera profesional. Le entusiasma tener esa charla.")</f>
        <v>Proyecto: esta cómodo y le gusta. Siente el apoyo del equipo y de la PM, siempre estuvieron dispuesta ayudarlo y acompañarlo. 
Empresa: se siente bien y se proyecta mucho tiempo en Patagonian. 
Capatacitación: quiere charlar con el TS para planificar o que lo guia para donde enfocar su carrera profesional. Le entusiasma tener esa charla.</v>
      </c>
      <c r="J58" s="4" t="str">
        <f>IFERROR(__xludf.DUMMYFUNCTION("""COMPUTED_VALUE"""),"PX|Referents|RRHH")</f>
        <v>PX|Referents|RRHH</v>
      </c>
    </row>
    <row r="59" hidden="1">
      <c r="A59" s="4">
        <f>IFERROR(__xludf.DUMMYFUNCTION("""COMPUTED_VALUE"""),130.0)</f>
        <v>130</v>
      </c>
      <c r="B59" s="4" t="str">
        <f>IFERROR(__xludf.DUMMYFUNCTION("""COMPUTED_VALUE"""),"edgar.bonilla")</f>
        <v>edgar.bonilla</v>
      </c>
      <c r="C59" s="5">
        <f>IFERROR(__xludf.DUMMYFUNCTION("""COMPUTED_VALUE"""),45027.10557000001)</f>
        <v>45027.10557</v>
      </c>
      <c r="D59" s="5">
        <f>IFERROR(__xludf.DUMMYFUNCTION("""COMPUTED_VALUE"""),44986.0)</f>
        <v>44986</v>
      </c>
      <c r="E59" s="4" t="str">
        <f>IFERROR(__xludf.DUMMYFUNCTION("""COMPUTED_VALUE"""),"diana.grajales@patagoniansys.com")</f>
        <v>diana.grajales@patagoniansys.com</v>
      </c>
      <c r="F59" s="4" t="str">
        <f>IFERROR(__xludf.DUMMYFUNCTION("""COMPUTED_VALUE"""),"edgar.bonilla@patagoniansys.com")</f>
        <v>edgar.bonilla@patagoniansys.com</v>
      </c>
      <c r="G59" s="4" t="str">
        <f>IFERROR(__xludf.DUMMYFUNCTION("""COMPUTED_VALUE"""),"👋 RRHH")</f>
        <v>👋 RRHH</v>
      </c>
      <c r="H59" s="4" t="str">
        <f>IFERROR(__xludf.DUMMYFUNCTION("""COMPUTED_VALUE"""),"😀 Sumamente Feliz")</f>
        <v>😀 Sumamente Feliz</v>
      </c>
      <c r="I59" s="6" t="str">
        <f>IFERROR(__xludf.DUMMYFUNCTION("""COMPUTED_VALUE"""),"- BFA su manager Sebastian da mucha prioridad para que mantengan una buena distribución de la carga laboral. 
- Los viernes en BFA tienen sesiones de Team Building con el equipo para charlar como departamento, las sesiones son de temas random . 
- Red Fla"&amp;"g: como es su relacion con PM Jimena que la nota muy pasiva a la hora de unirse a las reuniones, poco interesada en saber del pryecto y conocerlos. 
DECS: le gusta estar involucrado en iniciativas de Patagonian y liderarlas, siente que aun tiene mucho mas"&amp;" por contribuir a Pata 
- Certificar en AWS ")</f>
        <v>- BFA su manager Sebastian da mucha prioridad para que mantengan una buena distribución de la carga laboral. 
- Los viernes en BFA tienen sesiones de Team Building con el equipo para charlar como departamento, las sesiones son de temas random . 
- Red Flag: como es su relacion con PM Jimena que la nota muy pasiva a la hora de unirse a las reuniones, poco interesada en saber del pryecto y conocerlos. 
DECS: le gusta estar involucrado en iniciativas de Patagonian y liderarlas, siente que aun tiene mucho mas por contribuir a Pata 
- Certificar en AWS </v>
      </c>
      <c r="J59" s="4" t="str">
        <f>IFERROR(__xludf.DUMMYFUNCTION("""COMPUTED_VALUE"""),"PX|Referents|RRHH")</f>
        <v>PX|Referents|RRHH</v>
      </c>
    </row>
    <row r="60" hidden="1">
      <c r="A60" s="4">
        <f>IFERROR(__xludf.DUMMYFUNCTION("""COMPUTED_VALUE"""),201.0)</f>
        <v>201</v>
      </c>
      <c r="B60" s="4" t="str">
        <f>IFERROR(__xludf.DUMMYFUNCTION("""COMPUTED_VALUE"""),"daniel.cardenas")</f>
        <v>daniel.cardenas</v>
      </c>
      <c r="C60" s="5">
        <f>IFERROR(__xludf.DUMMYFUNCTION("""COMPUTED_VALUE"""),44998.62440846065)</f>
        <v>44998.62441</v>
      </c>
      <c r="D60" s="5">
        <f>IFERROR(__xludf.DUMMYFUNCTION("""COMPUTED_VALUE"""),44988.0)</f>
        <v>44988</v>
      </c>
      <c r="E60" s="4" t="str">
        <f>IFERROR(__xludf.DUMMYFUNCTION("""COMPUTED_VALUE"""),"jimena.gutierrez@patagoniansys.com")</f>
        <v>jimena.gutierrez@patagoniansys.com</v>
      </c>
      <c r="F60" s="4" t="str">
        <f>IFERROR(__xludf.DUMMYFUNCTION("""COMPUTED_VALUE"""),"daniel.cardenas@patagoniansys.com")</f>
        <v>daniel.cardenas@patagoniansys.com</v>
      </c>
      <c r="G60" s="4" t="str">
        <f>IFERROR(__xludf.DUMMYFUNCTION("""COMPUTED_VALUE"""),"⏱ One on One")</f>
        <v>⏱ One on One</v>
      </c>
      <c r="H60" s="4" t="str">
        <f>IFERROR(__xludf.DUMMYFUNCTION("""COMPUTED_VALUE"""),"🙁 Poco Feliz")</f>
        <v>🙁 Poco Feliz</v>
      </c>
      <c r="I60" s="6" t="str">
        <f>IFERROR(__xludf.DUMMYFUNCTION("""COMPUTED_VALUE"""),"Daniel expreso su desmotivación por falta de respuesta del lado del cliente sobre la baja del proyecto mobile. Tanto el como Duverney se encuentran en la misma situación. La falta de asignación y no tener objetivos claros genera mucha ansiedad y preocupac"&amp;"ión en cuanto a quedarse sin trabajo. ")</f>
        <v>Daniel expreso su desmotivación por falta de respuesta del lado del cliente sobre la baja del proyecto mobile. Tanto el como Duverney se encuentran en la misma situación. La falta de asignación y no tener objetivos claros genera mucha ansiedad y preocupación en cuanto a quedarse sin trabajo. </v>
      </c>
      <c r="J60" s="4" t="str">
        <f>IFERROR(__xludf.DUMMYFUNCTION("""COMPUTED_VALUE"""),"PX|Referents|RRHH")</f>
        <v>PX|Referents|RRHH</v>
      </c>
    </row>
    <row r="61">
      <c r="A61" s="4">
        <f>IFERROR(__xludf.DUMMYFUNCTION("""COMPUTED_VALUE"""),149.0)</f>
        <v>149</v>
      </c>
      <c r="B61" s="4" t="str">
        <f>IFERROR(__xludf.DUMMYFUNCTION("""COMPUTED_VALUE"""),"jonatan.ordonez")</f>
        <v>jonatan.ordonez</v>
      </c>
      <c r="C61" s="5">
        <f>IFERROR(__xludf.DUMMYFUNCTION("""COMPUTED_VALUE"""),44991.68364913195)</f>
        <v>44991.68365</v>
      </c>
      <c r="D61" s="5">
        <f>IFERROR(__xludf.DUMMYFUNCTION("""COMPUTED_VALUE"""),44991.0)</f>
        <v>44991</v>
      </c>
      <c r="E61" s="4" t="str">
        <f>IFERROR(__xludf.DUMMYFUNCTION("""COMPUTED_VALUE"""),"federico.peralta@patagoniansys.com")</f>
        <v>federico.peralta@patagoniansys.com</v>
      </c>
      <c r="F61" s="4" t="str">
        <f>IFERROR(__xludf.DUMMYFUNCTION("""COMPUTED_VALUE"""),"jonatan.ordonez@patagonian.com")</f>
        <v>jonatan.ordonez@patagonian.com</v>
      </c>
      <c r="G61" s="4" t="str">
        <f>IFERROR(__xludf.DUMMYFUNCTION("""COMPUTED_VALUE"""),"Referent One on One")</f>
        <v>Referent One on One</v>
      </c>
      <c r="H61" s="4"/>
      <c r="I61" s="6" t="str">
        <f>IFERROR(__xludf.DUMMYFUNCTION("""COMPUTED_VALUE"""),"- Interviewee e-Mail: jonatan.ordonez@patagonian.com
- Project Status Check: nuevas cosas de TL
- Project Changes | Notes: release 1 sola, muchas reunoines con el team todos los dias con el team
- Project Role | Feeling: 5
- Extra Work Hours | Amount: 4
-"&amp;" Extra Work Hours | Reason: 🐞 Muchos bugs pendientes
- Techs | Research: no, oero hay mucha data.
- Techs | Certifications: AWS Cloud Practitioner, AWS Developer
- Techs | Recomendations: ya esta muy activo eso
- Techs | Recomendations check: n/a
- Colla"&amp;"borator | Seniority: 👇 Si, es menor al establecido
- Alerts: Motivación, Trabajo en equipo, Sentido de pertenencia
- Project Needs / Oportunities: Necesita tener un camino claro para poder avanzar en su seniority
- Final notes: Le gustaria que Natalia es"&amp;"te mas enfocada al QA, dado que estan apareciendo muchos Bug en prod que se detectan tarde.
- Project Techs | Learning: 8
- Techs | Research: 20
- Project Techs | Difficulty: 4
- Project Changes | Reasons: 🔀 Cambio de roles dentro del equipo, ⏱ Cambios e"&amp;"n la forma de planificar las tareas y tiempos, Cambios en la manera de desarrollar, Nati que vuelva a QA y que deje de hacer cosas de PM, llegan algunos bug a prod.
- Project Changes | Personal Impact: 4
- Project Role | Value: 4
- Project role | Notes: a"&amp;"mo full stack, necesito ambas cosas. lo mio tiene impacto. necesitaria un plan de carrera para pasar de semi a senior en twits")</f>
        <v>- Interviewee e-Mail: jonatan.ordonez@patagonian.com
- Project Status Check: nuevas cosas de TL
- Project Changes | Notes: release 1 sola, muchas reunoines con el team todos los dias con el team
- Project Role | Feeling: 5
- Extra Work Hours | Amount: 4
- Extra Work Hours | Reason: 🐞 Muchos bugs pendientes
- Techs | Research: no, oero hay mucha data.
- Techs | Certifications: AWS Cloud Practitioner, AWS Developer
- Techs | Recomendations: ya esta muy activo eso
- Techs | Recomendations check: n/a
- Collaborator | Seniority: 👇 Si, es menor al establecido
- Alerts: Motivación, Trabajo en equipo, Sentido de pertenencia
- Project Needs / Oportunities: Necesita tener un camino claro para poder avanzar en su seniority
- Final notes: Le gustaria que Natalia este mas enfocada al QA, dado que estan apareciendo muchos Bug en prod que se detectan tarde.
- Project Techs | Learning: 8
- Techs | Research: 20
- Project Techs | Difficulty: 4
- Project Changes | Reasons: 🔀 Cambio de roles dentro del equipo, ⏱ Cambios en la forma de planificar las tareas y tiempos, Cambios en la manera de desarrollar, Nati que vuelva a QA y que deje de hacer cosas de PM, llegan algunos bug a prod.
- Project Changes | Personal Impact: 4
- Project Role | Value: 4
- Project role | Notes: amo full stack, necesito ambas cosas. lo mio tiene impacto. necesitaria un plan de carrera para pasar de semi a senior en twits</v>
      </c>
      <c r="J61" s="4" t="str">
        <f>IFERROR(__xludf.DUMMYFUNCTION("""COMPUTED_VALUE"""),"Tech Referent - OneOnOne")</f>
        <v>Tech Referent - OneOnOne</v>
      </c>
    </row>
    <row r="62" hidden="1">
      <c r="A62" s="4">
        <f>IFERROR(__xludf.DUMMYFUNCTION("""COMPUTED_VALUE"""),248.0)</f>
        <v>248</v>
      </c>
      <c r="B62" s="4" t="str">
        <f>IFERROR(__xludf.DUMMYFUNCTION("""COMPUTED_VALUE"""),"geronimo.cornou")</f>
        <v>geronimo.cornou</v>
      </c>
      <c r="C62" s="5">
        <f>IFERROR(__xludf.DUMMYFUNCTION("""COMPUTED_VALUE"""),44992.762351701385)</f>
        <v>44992.76235</v>
      </c>
      <c r="D62" s="5">
        <f>IFERROR(__xludf.DUMMYFUNCTION("""COMPUTED_VALUE"""),44992.0)</f>
        <v>44992</v>
      </c>
      <c r="E62" s="4" t="str">
        <f>IFERROR(__xludf.DUMMYFUNCTION("""COMPUTED_VALUE"""),"hernan.muras@patagoniansys.com")</f>
        <v>hernan.muras@patagoniansys.com</v>
      </c>
      <c r="F62" s="4" t="str">
        <f>IFERROR(__xludf.DUMMYFUNCTION("""COMPUTED_VALUE"""),"geronimo.cornou@patagoniansys.com")</f>
        <v>geronimo.cornou@patagoniansys.com</v>
      </c>
      <c r="G62" s="4" t="str">
        <f>IFERROR(__xludf.DUMMYFUNCTION("""COMPUTED_VALUE"""),"⏱ One on One")</f>
        <v>⏱ One on One</v>
      </c>
      <c r="H62" s="4" t="str">
        <f>IFERROR(__xludf.DUMMYFUNCTION("""COMPUTED_VALUE"""),"😀 Sumamente Feliz")</f>
        <v>😀 Sumamente Feliz</v>
      </c>
      <c r="I62" s="6" t="str">
        <f>IFERROR(__xludf.DUMMYFUNCTION("""COMPUTED_VALUE"""),"Se siente muy a gusto con el proyecto por la calidad humana del equipo y del cliente. Cree que la comunicación interna podría estar mas aceitada y le dije que tocaríamos el tema en las reuniones de equipo. Pidió una recategorización y le dije que mi recom"&amp;"endación fue que, si pasara una prueba técnica, se revisara su seniority.")</f>
        <v>Se siente muy a gusto con el proyecto por la calidad humana del equipo y del cliente. Cree que la comunicación interna podría estar mas aceitada y le dije que tocaríamos el tema en las reuniones de equipo. Pidió una recategorización y le dije que mi recomendación fue que, si pasara una prueba técnica, se revisara su seniority.</v>
      </c>
      <c r="J62" s="4" t="str">
        <f>IFERROR(__xludf.DUMMYFUNCTION("""COMPUTED_VALUE"""),"PX|Referents|RRHH")</f>
        <v>PX|Referents|RRHH</v>
      </c>
    </row>
    <row r="63" hidden="1">
      <c r="A63" s="4">
        <f>IFERROR(__xludf.DUMMYFUNCTION("""COMPUTED_VALUE"""),284.0)</f>
        <v>284</v>
      </c>
      <c r="B63" s="4" t="str">
        <f>IFERROR(__xludf.DUMMYFUNCTION("""COMPUTED_VALUE"""),"emmanuel.trassani")</f>
        <v>emmanuel.trassani</v>
      </c>
      <c r="C63" s="5">
        <f>IFERROR(__xludf.DUMMYFUNCTION("""COMPUTED_VALUE"""),44992.784675856485)</f>
        <v>44992.78468</v>
      </c>
      <c r="D63" s="5">
        <f>IFERROR(__xludf.DUMMYFUNCTION("""COMPUTED_VALUE"""),44992.0)</f>
        <v>44992</v>
      </c>
      <c r="E63" s="4" t="str">
        <f>IFERROR(__xludf.DUMMYFUNCTION("""COMPUTED_VALUE"""),"hernan.muras@patagoniansys.com")</f>
        <v>hernan.muras@patagoniansys.com</v>
      </c>
      <c r="F63" s="4" t="str">
        <f>IFERROR(__xludf.DUMMYFUNCTION("""COMPUTED_VALUE"""),"emmanuel.trassani@patagoniansys.com")</f>
        <v>emmanuel.trassani@patagoniansys.com</v>
      </c>
      <c r="G63" s="4" t="str">
        <f>IFERROR(__xludf.DUMMYFUNCTION("""COMPUTED_VALUE"""),"⏱ One on One")</f>
        <v>⏱ One on One</v>
      </c>
      <c r="H63" s="4" t="str">
        <f>IFERROR(__xludf.DUMMYFUNCTION("""COMPUTED_VALUE"""),"😀 Sumamente Feliz")</f>
        <v>😀 Sumamente Feliz</v>
      </c>
      <c r="I63" s="6" t="str">
        <f>IFERROR(__xludf.DUMMYFUNCTION("""COMPUTED_VALUE"""),"Emma siente que desde hace un tiempo su trabajo agrega valor al producto que desarrollamos. Probablemente sea desde que terminó NEST y fue oficialmente sumado al roster. Una de las cosas que más le gusta de la compañía es el Work From Anywhere. Tiene pens"&amp;"ado sumarse al DEC de Mobile ya que es una tecnología que le atrae.")</f>
        <v>Emma siente que desde hace un tiempo su trabajo agrega valor al producto que desarrollamos. Probablemente sea desde que terminó NEST y fue oficialmente sumado al roster. Una de las cosas que más le gusta de la compañía es el Work From Anywhere. Tiene pensado sumarse al DEC de Mobile ya que es una tecnología que le atrae.</v>
      </c>
      <c r="J63" s="4" t="str">
        <f>IFERROR(__xludf.DUMMYFUNCTION("""COMPUTED_VALUE"""),"PX|Referents|RRHH")</f>
        <v>PX|Referents|RRHH</v>
      </c>
    </row>
    <row r="64" hidden="1">
      <c r="A64" s="4">
        <f>IFERROR(__xludf.DUMMYFUNCTION("""COMPUTED_VALUE"""),316.0)</f>
        <v>316</v>
      </c>
      <c r="B64" s="4" t="str">
        <f>IFERROR(__xludf.DUMMYFUNCTION("""COMPUTED_VALUE"""),"eddie.brenes")</f>
        <v>eddie.brenes</v>
      </c>
      <c r="C64" s="5">
        <f>IFERROR(__xludf.DUMMYFUNCTION("""COMPUTED_VALUE"""),44999.60355450231)</f>
        <v>44999.60355</v>
      </c>
      <c r="D64" s="5">
        <f>IFERROR(__xludf.DUMMYFUNCTION("""COMPUTED_VALUE"""),44992.0)</f>
        <v>44992</v>
      </c>
      <c r="E64" s="4" t="str">
        <f>IFERROR(__xludf.DUMMYFUNCTION("""COMPUTED_VALUE"""),"marcela.benavides@patagoniansys.com")</f>
        <v>marcela.benavides@patagoniansys.com</v>
      </c>
      <c r="F64" s="4" t="str">
        <f>IFERROR(__xludf.DUMMYFUNCTION("""COMPUTED_VALUE"""),"eddie.brenes@patagoniansys.com")</f>
        <v>eddie.brenes@patagoniansys.com</v>
      </c>
      <c r="G64" s="4" t="str">
        <f>IFERROR(__xludf.DUMMYFUNCTION("""COMPUTED_VALUE"""),"⏱ One on One")</f>
        <v>⏱ One on One</v>
      </c>
      <c r="H64" s="4" t="str">
        <f>IFERROR(__xludf.DUMMYFUNCTION("""COMPUTED_VALUE"""),"🙂 Feliz")</f>
        <v>🙂 Feliz</v>
      </c>
      <c r="I64" s="6" t="str">
        <f>IFERROR(__xludf.DUMMYFUNCTION("""COMPUTED_VALUE"""),"Viene bastante contento en el nuevo proyecto asignado. Tenía la inquietud de cómo se manejarían las vacaciones al ser contractor. Se ofreció a dar un training a su team de (Patagonian/Data-Forge Matías Gudar y Martín Infante) sobre Snowflake tan pronto Ma"&amp;"tías termine su certificación. ")</f>
        <v>Viene bastante contento en el nuevo proyecto asignado. Tenía la inquietud de cómo se manejarían las vacaciones al ser contractor. Se ofreció a dar un training a su team de (Patagonian/Data-Forge Matías Gudar y Martín Infante) sobre Snowflake tan pronto Matías termine su certificación. </v>
      </c>
      <c r="J64" s="4" t="str">
        <f>IFERROR(__xludf.DUMMYFUNCTION("""COMPUTED_VALUE"""),"PX|Referents|RRHH")</f>
        <v>PX|Referents|RRHH</v>
      </c>
    </row>
    <row r="65" hidden="1">
      <c r="A65" s="4">
        <f>IFERROR(__xludf.DUMMYFUNCTION("""COMPUTED_VALUE"""),321.0)</f>
        <v>321</v>
      </c>
      <c r="B65" s="4" t="str">
        <f>IFERROR(__xludf.DUMMYFUNCTION("""COMPUTED_VALUE"""),"andrea.urbani")</f>
        <v>andrea.urbani</v>
      </c>
      <c r="C65" s="5">
        <f>IFERROR(__xludf.DUMMYFUNCTION("""COMPUTED_VALUE"""),44993.795934490736)</f>
        <v>44993.79593</v>
      </c>
      <c r="D65" s="5">
        <f>IFERROR(__xludf.DUMMYFUNCTION("""COMPUTED_VALUE"""),44993.0)</f>
        <v>44993</v>
      </c>
      <c r="E65" s="4" t="str">
        <f>IFERROR(__xludf.DUMMYFUNCTION("""COMPUTED_VALUE"""),"hernan.muras@patagoniansys.com")</f>
        <v>hernan.muras@patagoniansys.com</v>
      </c>
      <c r="F65" s="4" t="str">
        <f>IFERROR(__xludf.DUMMYFUNCTION("""COMPUTED_VALUE"""),"andrea.urbani@patagoniansys.com")</f>
        <v>andrea.urbani@patagoniansys.com</v>
      </c>
      <c r="G65" s="4" t="str">
        <f>IFERROR(__xludf.DUMMYFUNCTION("""COMPUTED_VALUE"""),"⏱ One on One")</f>
        <v>⏱ One on One</v>
      </c>
      <c r="H65" s="4" t="str">
        <f>IFERROR(__xludf.DUMMYFUNCTION("""COMPUTED_VALUE"""),"🙂 Feliz")</f>
        <v>🙂 Feliz</v>
      </c>
      <c r="I65" s="6" t="str">
        <f>IFERROR(__xludf.DUMMYFUNCTION("""COMPUTED_VALUE"""),"Silvina se siente a gusto en el proyecto. Su labor es reconocida por sus compañeros y por el el cliente, y logramos una dupla SM-PO muy dinámica. Por otro lado, pidió que su categorización sea revisada y al no haber un camino muy claro para conseguirlo se"&amp;" siente un tanto frustrada. También le gustaría poder disponer de la porción en dólares de su salario mensualmente")</f>
        <v>Silvina se siente a gusto en el proyecto. Su labor es reconocida por sus compañeros y por el el cliente, y logramos una dupla SM-PO muy dinámica. Por otro lado, pidió que su categorización sea revisada y al no haber un camino muy claro para conseguirlo se siente un tanto frustrada. También le gustaría poder disponer de la porción en dólares de su salario mensualmente</v>
      </c>
      <c r="J65" s="4" t="str">
        <f>IFERROR(__xludf.DUMMYFUNCTION("""COMPUTED_VALUE"""),"PX|Referents|RRHH")</f>
        <v>PX|Referents|RRHH</v>
      </c>
    </row>
    <row r="66" hidden="1">
      <c r="A66" s="4">
        <f>IFERROR(__xludf.DUMMYFUNCTION("""COMPUTED_VALUE"""),154.0)</f>
        <v>154</v>
      </c>
      <c r="B66" s="4" t="str">
        <f>IFERROR(__xludf.DUMMYFUNCTION("""COMPUTED_VALUE"""),"esteban.camacho")</f>
        <v>esteban.camacho</v>
      </c>
      <c r="C66" s="5">
        <f>IFERROR(__xludf.DUMMYFUNCTION("""COMPUTED_VALUE"""),44993.80073350694)</f>
        <v>44993.80073</v>
      </c>
      <c r="D66" s="5">
        <f>IFERROR(__xludf.DUMMYFUNCTION("""COMPUTED_VALUE"""),44993.0)</f>
        <v>44993</v>
      </c>
      <c r="E66" s="4" t="str">
        <f>IFERROR(__xludf.DUMMYFUNCTION("""COMPUTED_VALUE"""),"hernan.muras@patagoniansys.com")</f>
        <v>hernan.muras@patagoniansys.com</v>
      </c>
      <c r="F66" s="4" t="str">
        <f>IFERROR(__xludf.DUMMYFUNCTION("""COMPUTED_VALUE"""),"esteban.camacho@patagoniansys.com")</f>
        <v>esteban.camacho@patagoniansys.com</v>
      </c>
      <c r="G66" s="4" t="str">
        <f>IFERROR(__xludf.DUMMYFUNCTION("""COMPUTED_VALUE"""),"⏱ One on One")</f>
        <v>⏱ One on One</v>
      </c>
      <c r="H66" s="4" t="str">
        <f>IFERROR(__xludf.DUMMYFUNCTION("""COMPUTED_VALUE"""),"🙂 Feliz")</f>
        <v>🙂 Feliz</v>
      </c>
      <c r="I66" s="6" t="str">
        <f>IFERROR(__xludf.DUMMYFUNCTION("""COMPUTED_VALUE"""),"Esteban se siente bien en el proyecto porque percibe que está trabajando con personas (no Patagonian) de las que aprende y a las que enseña, y que su trabajo aporta valor al cliente. Se le dan responsabilidades de TL. Está pensando en certificar AWS pract"&amp;"itioner y retomar las clases de inglés.")</f>
        <v>Esteban se siente bien en el proyecto porque percibe que está trabajando con personas (no Patagonian) de las que aprende y a las que enseña, y que su trabajo aporta valor al cliente. Se le dan responsabilidades de TL. Está pensando en certificar AWS practitioner y retomar las clases de inglés.</v>
      </c>
      <c r="J66" s="4" t="str">
        <f>IFERROR(__xludf.DUMMYFUNCTION("""COMPUTED_VALUE"""),"PX|Referents|RRHH")</f>
        <v>PX|Referents|RRHH</v>
      </c>
    </row>
    <row r="67" hidden="1">
      <c r="A67" s="4">
        <f>IFERROR(__xludf.DUMMYFUNCTION("""COMPUTED_VALUE"""),197.0)</f>
        <v>197</v>
      </c>
      <c r="B67" s="4" t="str">
        <f>IFERROR(__xludf.DUMMYFUNCTION("""COMPUTED_VALUE"""),"gianfranco.fois")</f>
        <v>gianfranco.fois</v>
      </c>
      <c r="C67" s="5">
        <f>IFERROR(__xludf.DUMMYFUNCTION("""COMPUTED_VALUE"""),44994.5104050463)</f>
        <v>44994.51041</v>
      </c>
      <c r="D67" s="5">
        <f>IFERROR(__xludf.DUMMYFUNCTION("""COMPUTED_VALUE"""),44993.0)</f>
        <v>44993</v>
      </c>
      <c r="E67" s="4" t="str">
        <f>IFERROR(__xludf.DUMMYFUNCTION("""COMPUTED_VALUE"""),"maria.llano@patagoniansys.com")</f>
        <v>maria.llano@patagoniansys.com</v>
      </c>
      <c r="F67" s="4" t="str">
        <f>IFERROR(__xludf.DUMMYFUNCTION("""COMPUTED_VALUE"""),"gianfranco.fois@patagoniansys.com")</f>
        <v>gianfranco.fois@patagoniansys.com</v>
      </c>
      <c r="G67" s="4" t="str">
        <f>IFERROR(__xludf.DUMMYFUNCTION("""COMPUTED_VALUE"""),"⏱ One on One")</f>
        <v>⏱ One on One</v>
      </c>
      <c r="H67" s="4" t="str">
        <f>IFERROR(__xludf.DUMMYFUNCTION("""COMPUTED_VALUE"""),"🙂 Feliz")</f>
        <v>🙂 Feliz</v>
      </c>
      <c r="I67" s="6" t="str">
        <f>IFERROR(__xludf.DUMMYFUNCTION("""COMPUTED_VALUE"""),"En proyecto se siente feliz, le genera un poco de ansiedad el cambio a un nuevo proyecto, ahora que acaba su asignacion en Invap. ")</f>
        <v>En proyecto se siente feliz, le genera un poco de ansiedad el cambio a un nuevo proyecto, ahora que acaba su asignacion en Invap. </v>
      </c>
      <c r="J67" s="4" t="str">
        <f>IFERROR(__xludf.DUMMYFUNCTION("""COMPUTED_VALUE"""),"PX|Referents|RRHH")</f>
        <v>PX|Referents|RRHH</v>
      </c>
    </row>
    <row r="68" hidden="1">
      <c r="A68" s="4">
        <f>IFERROR(__xludf.DUMMYFUNCTION("""COMPUTED_VALUE"""),243.0)</f>
        <v>243</v>
      </c>
      <c r="B68" s="4" t="str">
        <f>IFERROR(__xludf.DUMMYFUNCTION("""COMPUTED_VALUE"""),"fernando.estevez")</f>
        <v>fernando.estevez</v>
      </c>
      <c r="C68" s="5">
        <f>IFERROR(__xludf.DUMMYFUNCTION("""COMPUTED_VALUE"""),44995.47826239584)</f>
        <v>44995.47826</v>
      </c>
      <c r="D68" s="5">
        <f>IFERROR(__xludf.DUMMYFUNCTION("""COMPUTED_VALUE"""),44993.0)</f>
        <v>44993</v>
      </c>
      <c r="E68" s="4" t="str">
        <f>IFERROR(__xludf.DUMMYFUNCTION("""COMPUTED_VALUE"""),"hernan.muras@patagoniansys.com")</f>
        <v>hernan.muras@patagoniansys.com</v>
      </c>
      <c r="F68" s="4" t="str">
        <f>IFERROR(__xludf.DUMMYFUNCTION("""COMPUTED_VALUE"""),"fernando.estevez@patagoniansys.com")</f>
        <v>fernando.estevez@patagoniansys.com</v>
      </c>
      <c r="G68" s="4" t="str">
        <f>IFERROR(__xludf.DUMMYFUNCTION("""COMPUTED_VALUE"""),"⏱ One on One")</f>
        <v>⏱ One on One</v>
      </c>
      <c r="H68" s="4" t="str">
        <f>IFERROR(__xludf.DUMMYFUNCTION("""COMPUTED_VALUE"""),"🙂 Feliz")</f>
        <v>🙂 Feliz</v>
      </c>
      <c r="I68" s="6" t="str">
        <f>IFERROR(__xludf.DUMMYFUNCTION("""COMPUTED_VALUE"""),"Fernando me había comentado que se sentía falto de compañía en el proyecto, pero eso cambió desde que recibió ayuda del Jefe de Ingeniería. Ahora que entiende mejor el propósito del desarrollo se siente más entusiasmado y quiere aprender mas sobre B2C, Fr"&amp;"ont End con Angular y Vue, y Mobile más adelante.")</f>
        <v>Fernando me había comentado que se sentía falto de compañía en el proyecto, pero eso cambió desde que recibió ayuda del Jefe de Ingeniería. Ahora que entiende mejor el propósito del desarrollo se siente más entusiasmado y quiere aprender mas sobre B2C, Front End con Angular y Vue, y Mobile más adelante.</v>
      </c>
      <c r="J68" s="4" t="str">
        <f>IFERROR(__xludf.DUMMYFUNCTION("""COMPUTED_VALUE"""),"PX|Referents|RRHH")</f>
        <v>PX|Referents|RRHH</v>
      </c>
    </row>
    <row r="69" hidden="1">
      <c r="A69" s="4">
        <f>IFERROR(__xludf.DUMMYFUNCTION("""COMPUTED_VALUE"""),188.0)</f>
        <v>188</v>
      </c>
      <c r="B69" s="4" t="str">
        <f>IFERROR(__xludf.DUMMYFUNCTION("""COMPUTED_VALUE"""),"mauricio.lahitte")</f>
        <v>mauricio.lahitte</v>
      </c>
      <c r="C69" s="5">
        <f>IFERROR(__xludf.DUMMYFUNCTION("""COMPUTED_VALUE"""),44995.49119851852)</f>
        <v>44995.4912</v>
      </c>
      <c r="D69" s="5">
        <f>IFERROR(__xludf.DUMMYFUNCTION("""COMPUTED_VALUE"""),44993.0)</f>
        <v>44993</v>
      </c>
      <c r="E69" s="4" t="str">
        <f>IFERROR(__xludf.DUMMYFUNCTION("""COMPUTED_VALUE"""),"hernan.muras@patagoniansys.com")</f>
        <v>hernan.muras@patagoniansys.com</v>
      </c>
      <c r="F69" s="4" t="str">
        <f>IFERROR(__xludf.DUMMYFUNCTION("""COMPUTED_VALUE"""),"mauricio.lahitte@patagoniansys.com")</f>
        <v>mauricio.lahitte@patagoniansys.com</v>
      </c>
      <c r="G69" s="4" t="str">
        <f>IFERROR(__xludf.DUMMYFUNCTION("""COMPUTED_VALUE"""),"⏱ One on One")</f>
        <v>⏱ One on One</v>
      </c>
      <c r="H69" s="4" t="str">
        <f>IFERROR(__xludf.DUMMYFUNCTION("""COMPUTED_VALUE"""),"🙂 Feliz")</f>
        <v>🙂 Feliz</v>
      </c>
      <c r="I69" s="6" t="str">
        <f>IFERROR(__xludf.DUMMYFUNCTION("""COMPUTED_VALUE"""),"Mauricio se siente bien en el proyecto porque está afianzado y se ha formado un grupo de trabajo muy colaborativo. Se está adaptando al rol de TL y le gusta servir de mentor, aunque siente que cada vez programa menos y que tiene más reuniones. Le gustaría"&amp;" certificarse en AWS.")</f>
        <v>Mauricio se siente bien en el proyecto porque está afianzado y se ha formado un grupo de trabajo muy colaborativo. Se está adaptando al rol de TL y le gusta servir de mentor, aunque siente que cada vez programa menos y que tiene más reuniones. Le gustaría certificarse en AWS.</v>
      </c>
      <c r="J69" s="4" t="str">
        <f>IFERROR(__xludf.DUMMYFUNCTION("""COMPUTED_VALUE"""),"PX|Referents|RRHH")</f>
        <v>PX|Referents|RRHH</v>
      </c>
    </row>
    <row r="70" hidden="1">
      <c r="A70" s="4">
        <f>IFERROR(__xludf.DUMMYFUNCTION("""COMPUTED_VALUE"""),106.0)</f>
        <v>106</v>
      </c>
      <c r="B70" s="4" t="str">
        <f>IFERROR(__xludf.DUMMYFUNCTION("""COMPUTED_VALUE"""),"natalia.martinez")</f>
        <v>natalia.martinez</v>
      </c>
      <c r="C70" s="5">
        <f>IFERROR(__xludf.DUMMYFUNCTION("""COMPUTED_VALUE"""),45027.09485732639)</f>
        <v>45027.09486</v>
      </c>
      <c r="D70" s="5">
        <f>IFERROR(__xludf.DUMMYFUNCTION("""COMPUTED_VALUE"""),44993.0)</f>
        <v>44993</v>
      </c>
      <c r="E70" s="4" t="str">
        <f>IFERROR(__xludf.DUMMYFUNCTION("""COMPUTED_VALUE"""),"diana.grajales@patagoniansys.com")</f>
        <v>diana.grajales@patagoniansys.com</v>
      </c>
      <c r="F70" s="4" t="str">
        <f>IFERROR(__xludf.DUMMYFUNCTION("""COMPUTED_VALUE"""),"natalia.martinez@patagoniansys.com")</f>
        <v>natalia.martinez@patagoniansys.com</v>
      </c>
      <c r="G70" s="4" t="str">
        <f>IFERROR(__xludf.DUMMYFUNCTION("""COMPUTED_VALUE"""),"👋 RRHH")</f>
        <v>👋 RRHH</v>
      </c>
      <c r="H70" s="4" t="str">
        <f>IFERROR(__xludf.DUMMYFUNCTION("""COMPUTED_VALUE"""),"🙁 Poco Feliz")</f>
        <v>🙁 Poco Feliz</v>
      </c>
      <c r="I70" s="6" t="str">
        <f>IFERROR(__xludf.DUMMYFUNCTION("""COMPUTED_VALUE"""),"Natalia lleva 2 años con la empresa
En el proyecto de Conversify ahora que tiene el nuevo PM Fede no se ha sentido muy comoda por como el inicio a interactuar con el equipo, siente que su PM le impone a el equipo su manera de trabajar,  escucha muy poco y"&amp;" siente que es poco receptivo con el feedback que se le ha dado. 
Ella es muy apasionada por lo que hace, ama el proyecto y lo cuida como si fuera su bebe, controla varias situaciones del manejo del proyecto y con el cliente. 
Permisos : 
- Cuida en no "&amp;"pedir permisos, pero hay situaciones en la que ella expresa que se le salen de las manos
")</f>
        <v>Natalia lleva 2 años con la empresa
En el proyecto de Conversify ahora que tiene el nuevo PM Fede no se ha sentido muy comoda por como el inicio a interactuar con el equipo, siente que su PM le impone a el equipo su manera de trabajar,  escucha muy poco y siente que es poco receptivo con el feedback que se le ha dado. 
Ella es muy apasionada por lo que hace, ama el proyecto y lo cuida como si fuera su bebe, controla varias situaciones del manejo del proyecto y con el cliente. 
Permisos : 
- Cuida en no pedir permisos, pero hay situaciones en la que ella expresa que se le salen de las manos
</v>
      </c>
      <c r="J70" s="4" t="str">
        <f>IFERROR(__xludf.DUMMYFUNCTION("""COMPUTED_VALUE"""),"PX|Referents|RRHH")</f>
        <v>PX|Referents|RRHH</v>
      </c>
    </row>
    <row r="71" hidden="1">
      <c r="A71" s="4">
        <f>IFERROR(__xludf.DUMMYFUNCTION("""COMPUTED_VALUE"""),131.0)</f>
        <v>131</v>
      </c>
      <c r="B71" s="4" t="str">
        <f>IFERROR(__xludf.DUMMYFUNCTION("""COMPUTED_VALUE"""),"luis.luna")</f>
        <v>luis.luna</v>
      </c>
      <c r="C71" s="5">
        <f>IFERROR(__xludf.DUMMYFUNCTION("""COMPUTED_VALUE"""),44999.55522434028)</f>
        <v>44999.55522</v>
      </c>
      <c r="D71" s="5">
        <f>IFERROR(__xludf.DUMMYFUNCTION("""COMPUTED_VALUE"""),44994.0)</f>
        <v>44994</v>
      </c>
      <c r="E71" s="4" t="str">
        <f>IFERROR(__xludf.DUMMYFUNCTION("""COMPUTED_VALUE"""),"marcela.benavides@patagoniansys.com")</f>
        <v>marcela.benavides@patagoniansys.com</v>
      </c>
      <c r="F71" s="4" t="str">
        <f>IFERROR(__xludf.DUMMYFUNCTION("""COMPUTED_VALUE"""),"luis.luna@patagoniansys.com")</f>
        <v>luis.luna@patagoniansys.com</v>
      </c>
      <c r="G71" s="4" t="str">
        <f>IFERROR(__xludf.DUMMYFUNCTION("""COMPUTED_VALUE"""),"⏱ One on One")</f>
        <v>⏱ One on One</v>
      </c>
      <c r="H71" s="4" t="str">
        <f>IFERROR(__xludf.DUMMYFUNCTION("""COMPUTED_VALUE"""),"🙂 Feliz")</f>
        <v>🙂 Feliz</v>
      </c>
      <c r="I71" s="6" t="str">
        <f>IFERROR(__xludf.DUMMYFUNCTION("""COMPUTED_VALUE"""),"Esta cómodo en su proyecto actual, siente que está aprendiendo. Quisiera realizar el proceso de recategorización de su seniority, esta como semi senior advanced pero expresa que siempre ha estado catalogado en sus proyectos hacia el cliente como senior. A"&amp;"sí que le gustaría estar en el proceso para realmente serlo o hacerle saber que se requiere para que esté en este seniority y así proyectarse a ello. En cuanto a su expertise considera que le hace falta reforzar en lo que es integración y despliegue, pued"&amp;"e que se anime a hacer un curso de esto posteriormente. ")</f>
        <v>Esta cómodo en su proyecto actual, siente que está aprendiendo. Quisiera realizar el proceso de recategorización de su seniority, esta como semi senior advanced pero expresa que siempre ha estado catalogado en sus proyectos hacia el cliente como senior. Así que le gustaría estar en el proceso para realmente serlo o hacerle saber que se requiere para que esté en este seniority y así proyectarse a ello. En cuanto a su expertise considera que le hace falta reforzar en lo que es integración y despliegue, puede que se anime a hacer un curso de esto posteriormente. </v>
      </c>
      <c r="J71" s="4" t="str">
        <f>IFERROR(__xludf.DUMMYFUNCTION("""COMPUTED_VALUE"""),"PX|Referents|RRHH")</f>
        <v>PX|Referents|RRHH</v>
      </c>
    </row>
    <row r="72" hidden="1">
      <c r="A72" s="4">
        <f>IFERROR(__xludf.DUMMYFUNCTION("""COMPUTED_VALUE"""),174.0)</f>
        <v>174</v>
      </c>
      <c r="B72" s="4" t="str">
        <f>IFERROR(__xludf.DUMMYFUNCTION("""COMPUTED_VALUE"""),"federico.matos")</f>
        <v>federico.matos</v>
      </c>
      <c r="C72" s="5">
        <f>IFERROR(__xludf.DUMMYFUNCTION("""COMPUTED_VALUE"""),45002.7826640162)</f>
        <v>45002.78266</v>
      </c>
      <c r="D72" s="5">
        <f>IFERROR(__xludf.DUMMYFUNCTION("""COMPUTED_VALUE"""),44994.0)</f>
        <v>44994</v>
      </c>
      <c r="E72" s="4" t="str">
        <f>IFERROR(__xludf.DUMMYFUNCTION("""COMPUTED_VALUE"""),"micaela.zorzetto@patagoniansys.com")</f>
        <v>micaela.zorzetto@patagoniansys.com</v>
      </c>
      <c r="F72" s="4" t="str">
        <f>IFERROR(__xludf.DUMMYFUNCTION("""COMPUTED_VALUE"""),"federico.matos@patagoniansys.com")</f>
        <v>federico.matos@patagoniansys.com</v>
      </c>
      <c r="G72" s="4" t="str">
        <f>IFERROR(__xludf.DUMMYFUNCTION("""COMPUTED_VALUE"""),"⏱ One on One")</f>
        <v>⏱ One on One</v>
      </c>
      <c r="H72" s="4" t="str">
        <f>IFERROR(__xludf.DUMMYFUNCTION("""COMPUTED_VALUE"""),"🙂 Feliz")</f>
        <v>🙂 Feliz</v>
      </c>
      <c r="I72" s="6" t="str">
        <f>IFERROR(__xludf.DUMMYFUNCTION("""COMPUTED_VALUE"""),"
Capactiraciones: ya en abril. 
Proyecto: me comenta que con el cambio de pm las cosas mejoraron, ya que el pm anterior no les daba importancia a lo que ellos le proponian o cuando pedian alguna capacitación no recibian respuesta de su parte. Dice que con"&amp;" la llega de Fede Peralta como PM, las cosas mejorarron, se profesionalizó más el proyecto ya que se establecieron dailys, demos; y esto anteriormente no lo tenian. También me plantea que Fede Peralta hizo que el equipo sea mas unido, lo hace sentir mas s"&amp;"eguro y acompañado en el día a día.
Lleva dos años en el proyecto, siempre tiene nuevos desafios y aprende constantemente. 
Empresa: no tiene ningun punto de mejora, siempre la empresa esta en cada detalle y eso lo hace sentir cómodo. 
Capacitaciones: tie"&amp;"ne pensado en abril comenzar a capacitarse. ")</f>
        <v>
Capactiraciones: ya en abril. 
Proyecto: me comenta que con el cambio de pm las cosas mejoraron, ya que el pm anterior no les daba importancia a lo que ellos le proponian o cuando pedian alguna capacitación no recibian respuesta de su parte. Dice que con la llega de Fede Peralta como PM, las cosas mejorarron, se profesionalizó más el proyecto ya que se establecieron dailys, demos; y esto anteriormente no lo tenian. También me plantea que Fede Peralta hizo que el equipo sea mas unido, lo hace sentir mas seguro y acompañado en el día a día.
Lleva dos años en el proyecto, siempre tiene nuevos desafios y aprende constantemente. 
Empresa: no tiene ningun punto de mejora, siempre la empresa esta en cada detalle y eso lo hace sentir cómodo. 
Capacitaciones: tiene pensado en abril comenzar a capacitarse. </v>
      </c>
      <c r="J72" s="4" t="str">
        <f>IFERROR(__xludf.DUMMYFUNCTION("""COMPUTED_VALUE"""),"PX|Referents|RRHH")</f>
        <v>PX|Referents|RRHH</v>
      </c>
    </row>
    <row r="73" hidden="1">
      <c r="A73" s="4">
        <f>IFERROR(__xludf.DUMMYFUNCTION("""COMPUTED_VALUE"""),167.0)</f>
        <v>167</v>
      </c>
      <c r="B73" s="4" t="str">
        <f>IFERROR(__xludf.DUMMYFUNCTION("""COMPUTED_VALUE"""),"rodrigo.cibils")</f>
        <v>rodrigo.cibils</v>
      </c>
      <c r="C73" s="5">
        <f>IFERROR(__xludf.DUMMYFUNCTION("""COMPUTED_VALUE"""),45008.67510015046)</f>
        <v>45008.6751</v>
      </c>
      <c r="D73" s="5">
        <f>IFERROR(__xludf.DUMMYFUNCTION("""COMPUTED_VALUE"""),44994.0)</f>
        <v>44994</v>
      </c>
      <c r="E73" s="4" t="str">
        <f>IFERROR(__xludf.DUMMYFUNCTION("""COMPUTED_VALUE"""),"micaela.zorzetto@patagoniansys.com")</f>
        <v>micaela.zorzetto@patagoniansys.com</v>
      </c>
      <c r="F73" s="4" t="str">
        <f>IFERROR(__xludf.DUMMYFUNCTION("""COMPUTED_VALUE"""),"rodrigo.cibils@patagoniansys.com")</f>
        <v>rodrigo.cibils@patagoniansys.com</v>
      </c>
      <c r="G73" s="4" t="str">
        <f>IFERROR(__xludf.DUMMYFUNCTION("""COMPUTED_VALUE"""),"⏱ One on One")</f>
        <v>⏱ One on One</v>
      </c>
      <c r="H73" s="4" t="str">
        <f>IFERROR(__xludf.DUMMYFUNCTION("""COMPUTED_VALUE"""),"🙂 Feliz")</f>
        <v>🙂 Feliz</v>
      </c>
      <c r="I73" s="6" t="str">
        <f>IFERROR(__xludf.DUMMYFUNCTION("""COMPUTED_VALUE"""),"Proyecto: esta a gusto con el proyecto, además del trabajo que exige el mismo, se esta tomando el trabajo de hacer o documentar ciertos procesos que antes no exsistian, lo ve como un punto de mejora. Él es el unico mobile del equipo. 
Empresa: esta conten"&amp;"to en Patagonian, se siente cómodo con la cultura y la flexibilidad que se le brinda. Y le gusta el desafio de ser Lider técnico. 
Capacitación: esta buscando el tiempo para poder capacitarse. 
Solicitó revisión de seniority")</f>
        <v>Proyecto: esta a gusto con el proyecto, además del trabajo que exige el mismo, se esta tomando el trabajo de hacer o documentar ciertos procesos que antes no exsistian, lo ve como un punto de mejora. Él es el unico mobile del equipo. 
Empresa: esta contento en Patagonian, se siente cómodo con la cultura y la flexibilidad que se le brinda. Y le gusta el desafio de ser Lider técnico. 
Capacitación: esta buscando el tiempo para poder capacitarse. 
Solicitó revisión de seniority</v>
      </c>
      <c r="J73" s="4" t="str">
        <f>IFERROR(__xludf.DUMMYFUNCTION("""COMPUTED_VALUE"""),"PX|Referents|RRHH")</f>
        <v>PX|Referents|RRHH</v>
      </c>
    </row>
    <row r="74" hidden="1">
      <c r="A74" s="4">
        <f>IFERROR(__xludf.DUMMYFUNCTION("""COMPUTED_VALUE"""),227.0)</f>
        <v>227</v>
      </c>
      <c r="B74" s="4" t="str">
        <f>IFERROR(__xludf.DUMMYFUNCTION("""COMPUTED_VALUE"""),"martin.infante")</f>
        <v>martin.infante</v>
      </c>
      <c r="C74" s="5">
        <f>IFERROR(__xludf.DUMMYFUNCTION("""COMPUTED_VALUE"""),44999.56348016204)</f>
        <v>44999.56348</v>
      </c>
      <c r="D74" s="5">
        <f>IFERROR(__xludf.DUMMYFUNCTION("""COMPUTED_VALUE"""),44995.0)</f>
        <v>44995</v>
      </c>
      <c r="E74" s="4" t="str">
        <f>IFERROR(__xludf.DUMMYFUNCTION("""COMPUTED_VALUE"""),"marcela.benavides@patagoniansys.com")</f>
        <v>marcela.benavides@patagoniansys.com</v>
      </c>
      <c r="F74" s="4" t="str">
        <f>IFERROR(__xludf.DUMMYFUNCTION("""COMPUTED_VALUE"""),"martin.infante@patagoniansys.com")</f>
        <v>martin.infante@patagoniansys.com</v>
      </c>
      <c r="G74" s="4" t="str">
        <f>IFERROR(__xludf.DUMMYFUNCTION("""COMPUTED_VALUE"""),"⏱ One on One")</f>
        <v>⏱ One on One</v>
      </c>
      <c r="H74" s="4" t="str">
        <f>IFERROR(__xludf.DUMMYFUNCTION("""COMPUTED_VALUE"""),"🙂 Feliz")</f>
        <v>🙂 Feliz</v>
      </c>
      <c r="I74" s="6" t="str">
        <f>IFERROR(__xludf.DUMMYFUNCTION("""COMPUTED_VALUE"""),"Viene muy contento en el proyecto, adicional su equipo ha venido tomando más forma adicionando a Eddie Brenes y Martín Gudar al equipo de Data. Me compartió que su líder en Forge le había mencionado que a los contractors nunca los catalogan como ""Tech Le"&amp;"ads"" pero que estaba hablando internamente para ver si podían hacer una excepción y darle algún titulo parecido. Algo como ""Lider del proyecto Forge Data Platform"" ya que ha venido tomando mayor liderazgo en su equipo, guiándolos, realizando entrevista"&amp;"s para el team y demás. Solicito una certificación de Apache Airflow Fundamentals la cual ya fue gestionada. ")</f>
        <v>Viene muy contento en el proyecto, adicional su equipo ha venido tomando más forma adicionando a Eddie Brenes y Martín Gudar al equipo de Data. Me compartió que su líder en Forge le había mencionado que a los contractors nunca los catalogan como "Tech Leads" pero que estaba hablando internamente para ver si podían hacer una excepción y darle algún titulo parecido. Algo como "Lider del proyecto Forge Data Platform" ya que ha venido tomando mayor liderazgo en su equipo, guiándolos, realizando entrevistas para el team y demás. Solicito una certificación de Apache Airflow Fundamentals la cual ya fue gestionada. </v>
      </c>
      <c r="J74" s="4" t="str">
        <f>IFERROR(__xludf.DUMMYFUNCTION("""COMPUTED_VALUE"""),"PX|Referents|RRHH")</f>
        <v>PX|Referents|RRHH</v>
      </c>
    </row>
    <row r="75" hidden="1">
      <c r="A75" s="4">
        <f>IFERROR(__xludf.DUMMYFUNCTION("""COMPUTED_VALUE"""),325.0)</f>
        <v>325</v>
      </c>
      <c r="B75" s="4" t="str">
        <f>IFERROR(__xludf.DUMMYFUNCTION("""COMPUTED_VALUE"""),"jimena.gutierrez")</f>
        <v>jimena.gutierrez</v>
      </c>
      <c r="C75" s="5">
        <f>IFERROR(__xludf.DUMMYFUNCTION("""COMPUTED_VALUE"""),45008.68368962962)</f>
        <v>45008.68369</v>
      </c>
      <c r="D75" s="5">
        <f>IFERROR(__xludf.DUMMYFUNCTION("""COMPUTED_VALUE"""),44995.0)</f>
        <v>44995</v>
      </c>
      <c r="E75" s="4" t="str">
        <f>IFERROR(__xludf.DUMMYFUNCTION("""COMPUTED_VALUE"""),"micaela.zorzetto@patagoniansys.com")</f>
        <v>micaela.zorzetto@patagoniansys.com</v>
      </c>
      <c r="F75" s="4" t="str">
        <f>IFERROR(__xludf.DUMMYFUNCTION("""COMPUTED_VALUE"""),"jimena.gutierrez@patagoniansys.com")</f>
        <v>jimena.gutierrez@patagoniansys.com</v>
      </c>
      <c r="G75" s="4" t="str">
        <f>IFERROR(__xludf.DUMMYFUNCTION("""COMPUTED_VALUE"""),"🗣 Solicita hablar")</f>
        <v>🗣 Solicita hablar</v>
      </c>
      <c r="H75" s="4" t="str">
        <f>IFERROR(__xludf.DUMMYFUNCTION("""COMPUTED_VALUE"""),"🙁 Poco Feliz")</f>
        <v>🙁 Poco Feliz</v>
      </c>
      <c r="I75" s="6" t="str">
        <f>IFERROR(__xludf.DUMMYFUNCTION("""COMPUTED_VALUE"""),"Necesita más acompañamiento y herramientas para desarrollar su rol de PM correctamente. 
Considera que no todos los procesos son claros y que no hubo un buen onboarding en lo que se refiere a los procesos que deben llevar adelante los Pms. 
Esto paso porq"&amp;"ue se le pidió sacar costos de su proyecto para ver si continuaba un colaborador pero no sabia como realizarlo. ")</f>
        <v>Necesita más acompañamiento y herramientas para desarrollar su rol de PM correctamente. 
Considera que no todos los procesos son claros y que no hubo un buen onboarding en lo que se refiere a los procesos que deben llevar adelante los Pms. 
Esto paso porque se le pidió sacar costos de su proyecto para ver si continuaba un colaborador pero no sabia como realizarlo. </v>
      </c>
      <c r="J75" s="4" t="str">
        <f>IFERROR(__xludf.DUMMYFUNCTION("""COMPUTED_VALUE"""),"PX|Referents|RRHH")</f>
        <v>PX|Referents|RRHH</v>
      </c>
    </row>
    <row r="76" hidden="1">
      <c r="A76" s="4">
        <f>IFERROR(__xludf.DUMMYFUNCTION("""COMPUTED_VALUE"""),178.0)</f>
        <v>178</v>
      </c>
      <c r="B76" s="4" t="str">
        <f>IFERROR(__xludf.DUMMYFUNCTION("""COMPUTED_VALUE"""),"julian.perez")</f>
        <v>julian.perez</v>
      </c>
      <c r="C76" s="5">
        <f>IFERROR(__xludf.DUMMYFUNCTION("""COMPUTED_VALUE"""),44999.676359826386)</f>
        <v>44999.67636</v>
      </c>
      <c r="D76" s="5">
        <f>IFERROR(__xludf.DUMMYFUNCTION("""COMPUTED_VALUE"""),44998.0)</f>
        <v>44998</v>
      </c>
      <c r="E76" s="4" t="str">
        <f>IFERROR(__xludf.DUMMYFUNCTION("""COMPUTED_VALUE"""),"hernan.muras@patagoniansys.com")</f>
        <v>hernan.muras@patagoniansys.com</v>
      </c>
      <c r="F76" s="4" t="str">
        <f>IFERROR(__xludf.DUMMYFUNCTION("""COMPUTED_VALUE"""),"julian.perez@patagoniansys.com")</f>
        <v>julian.perez@patagoniansys.com</v>
      </c>
      <c r="G76" s="4" t="str">
        <f>IFERROR(__xludf.DUMMYFUNCTION("""COMPUTED_VALUE"""),"⏱ One on One")</f>
        <v>⏱ One on One</v>
      </c>
      <c r="H76" s="4" t="str">
        <f>IFERROR(__xludf.DUMMYFUNCTION("""COMPUTED_VALUE"""),"😀 Sumamente Feliz")</f>
        <v>😀 Sumamente Feliz</v>
      </c>
      <c r="I76" s="6" t="str">
        <f>IFERROR(__xludf.DUMMYFUNCTION("""COMPUTED_VALUE"""),"Julian se siente muy bien en el proyecto. Hace poco hicieron una demo del módulo que está trabajando (Search Orders) y el cliente quedó muy satisfecho. Me recordó que esta haciendo una maestría y que había solicitado revisar la posibilidad que Patagonian "&amp;"se hiciese cargo de una porción de los gastos. Ayer hablé con Diana Grajales para que retome el tema y llegar a una resolución.")</f>
        <v>Julian se siente muy bien en el proyecto. Hace poco hicieron una demo del módulo que está trabajando (Search Orders) y el cliente quedó muy satisfecho. Me recordó que esta haciendo una maestría y que había solicitado revisar la posibilidad que Patagonian se hiciese cargo de una porción de los gastos. Ayer hablé con Diana Grajales para que retome el tema y llegar a una resolución.</v>
      </c>
      <c r="J76" s="4" t="str">
        <f>IFERROR(__xludf.DUMMYFUNCTION("""COMPUTED_VALUE"""),"PX|Referents|RRHH")</f>
        <v>PX|Referents|RRHH</v>
      </c>
    </row>
    <row r="77" hidden="1">
      <c r="A77" s="4">
        <f>IFERROR(__xludf.DUMMYFUNCTION("""COMPUTED_VALUE"""),315.0)</f>
        <v>315</v>
      </c>
      <c r="B77" s="4" t="str">
        <f>IFERROR(__xludf.DUMMYFUNCTION("""COMPUTED_VALUE"""),"juan.lara")</f>
        <v>juan.lara</v>
      </c>
      <c r="C77" s="5">
        <f>IFERROR(__xludf.DUMMYFUNCTION("""COMPUTED_VALUE"""),44999.70451275462)</f>
        <v>44999.70451</v>
      </c>
      <c r="D77" s="5">
        <f>IFERROR(__xludf.DUMMYFUNCTION("""COMPUTED_VALUE"""),44998.0)</f>
        <v>44998</v>
      </c>
      <c r="E77" s="4" t="str">
        <f>IFERROR(__xludf.DUMMYFUNCTION("""COMPUTED_VALUE"""),"hernan.muras@patagoniansys.com")</f>
        <v>hernan.muras@patagoniansys.com</v>
      </c>
      <c r="F77" s="4" t="str">
        <f>IFERROR(__xludf.DUMMYFUNCTION("""COMPUTED_VALUE"""),"juan.lara@patagoniansys.com")</f>
        <v>juan.lara@patagoniansys.com</v>
      </c>
      <c r="G77" s="4" t="str">
        <f>IFERROR(__xludf.DUMMYFUNCTION("""COMPUTED_VALUE"""),"⏱ One on One")</f>
        <v>⏱ One on One</v>
      </c>
      <c r="H77" s="4" t="str">
        <f>IFERROR(__xludf.DUMMYFUNCTION("""COMPUTED_VALUE"""),"😀 Sumamente Feliz")</f>
        <v>😀 Sumamente Feliz</v>
      </c>
      <c r="I77" s="6" t="str">
        <f>IFERROR(__xludf.DUMMYFUNCTION("""COMPUTED_VALUE"""),"Juan Camilo está satisfecho en SnapClose aunque le gustaría que hubiese una arquitectura más sólida. Está trabajando muy cerca de colaboradores no-Patagonians y ha establecido una buena relación. Me preguntó si pudiésemos revisar el modo en que se le depo"&amp;"sita el salario y le pasé la inquietud a Diana Grajales.")</f>
        <v>Juan Camilo está satisfecho en SnapClose aunque le gustaría que hubiese una arquitectura más sólida. Está trabajando muy cerca de colaboradores no-Patagonians y ha establecido una buena relación. Me preguntó si pudiésemos revisar el modo en que se le deposita el salario y le pasé la inquietud a Diana Grajales.</v>
      </c>
      <c r="J77" s="4" t="str">
        <f>IFERROR(__xludf.DUMMYFUNCTION("""COMPUTED_VALUE"""),"PX|Referents|RRHH")</f>
        <v>PX|Referents|RRHH</v>
      </c>
    </row>
    <row r="78" hidden="1">
      <c r="A78" s="4">
        <f>IFERROR(__xludf.DUMMYFUNCTION("""COMPUTED_VALUE"""),237.0)</f>
        <v>237</v>
      </c>
      <c r="B78" s="4" t="str">
        <f>IFERROR(__xludf.DUMMYFUNCTION("""COMPUTED_VALUE"""),"patrick.figueroa")</f>
        <v>patrick.figueroa</v>
      </c>
      <c r="C78" s="5">
        <f>IFERROR(__xludf.DUMMYFUNCTION("""COMPUTED_VALUE"""),45000.62124349537)</f>
        <v>45000.62124</v>
      </c>
      <c r="D78" s="5">
        <f>IFERROR(__xludf.DUMMYFUNCTION("""COMPUTED_VALUE"""),44998.0)</f>
        <v>44998</v>
      </c>
      <c r="E78" s="4" t="str">
        <f>IFERROR(__xludf.DUMMYFUNCTION("""COMPUTED_VALUE"""),"hernan.muras@patagoniansys.com")</f>
        <v>hernan.muras@patagoniansys.com</v>
      </c>
      <c r="F78" s="4" t="str">
        <f>IFERROR(__xludf.DUMMYFUNCTION("""COMPUTED_VALUE"""),"patrick.figueroa@patagoniansys.com")</f>
        <v>patrick.figueroa@patagoniansys.com</v>
      </c>
      <c r="G78" s="4" t="str">
        <f>IFERROR(__xludf.DUMMYFUNCTION("""COMPUTED_VALUE"""),"⏱ One on One")</f>
        <v>⏱ One on One</v>
      </c>
      <c r="H78" s="4" t="str">
        <f>IFERROR(__xludf.DUMMYFUNCTION("""COMPUTED_VALUE"""),"🙂 Feliz")</f>
        <v>🙂 Feliz</v>
      </c>
      <c r="I78" s="6" t="str">
        <f>IFERROR(__xludf.DUMMYFUNCTION("""COMPUTED_VALUE"""),"Patrick se ha convertido en una pieza clave del proyecto. Es reconocido por el cliente y por sus compañeros. De a poco va adquiriendo los power skills necesarios para desempeñarse como Tech Lead aunque aún le cuesta delegar trabajo. ")</f>
        <v>Patrick se ha convertido en una pieza clave del proyecto. Es reconocido por el cliente y por sus compañeros. De a poco va adquiriendo los power skills necesarios para desempeñarse como Tech Lead aunque aún le cuesta delegar trabajo. </v>
      </c>
      <c r="J78" s="4" t="str">
        <f>IFERROR(__xludf.DUMMYFUNCTION("""COMPUTED_VALUE"""),"PX|Referents|RRHH")</f>
        <v>PX|Referents|RRHH</v>
      </c>
    </row>
    <row r="79" hidden="1">
      <c r="A79" s="4">
        <f>IFERROR(__xludf.DUMMYFUNCTION("""COMPUTED_VALUE"""),197.0)</f>
        <v>197</v>
      </c>
      <c r="B79" s="4" t="str">
        <f>IFERROR(__xludf.DUMMYFUNCTION("""COMPUTED_VALUE"""),"gianfranco.fois")</f>
        <v>gianfranco.fois</v>
      </c>
      <c r="C79" s="5">
        <f>IFERROR(__xludf.DUMMYFUNCTION("""COMPUTED_VALUE"""),45021.694427361115)</f>
        <v>45021.69443</v>
      </c>
      <c r="D79" s="5">
        <f>IFERROR(__xludf.DUMMYFUNCTION("""COMPUTED_VALUE"""),44998.0)</f>
        <v>44998</v>
      </c>
      <c r="E79" s="4" t="str">
        <f>IFERROR(__xludf.DUMMYFUNCTION("""COMPUTED_VALUE"""),"micaela.zorzetto@patagoniansys.com")</f>
        <v>micaela.zorzetto@patagoniansys.com</v>
      </c>
      <c r="F79" s="4" t="str">
        <f>IFERROR(__xludf.DUMMYFUNCTION("""COMPUTED_VALUE"""),"gianfranco.fois@patagoniansys.com")</f>
        <v>gianfranco.fois@patagoniansys.com</v>
      </c>
      <c r="G79" s="4" t="str">
        <f>IFERROR(__xludf.DUMMYFUNCTION("""COMPUTED_VALUE"""),"⏱ One on One")</f>
        <v>⏱ One on One</v>
      </c>
      <c r="H79" s="4" t="str">
        <f>IFERROR(__xludf.DUMMYFUNCTION("""COMPUTED_VALUE"""),"🙂 Feliz")</f>
        <v>🙂 Feliz</v>
      </c>
      <c r="I79" s="6" t="str">
        <f>IFERROR(__xludf.DUMMYFUNCTION("""COMPUTED_VALUE"""),"Esta bien en el nuevo proyecto que es Incubtal, esta hace poco pero le parece interesante. 
No me comento nada relevante como para tener en cuenta. ")</f>
        <v>Esta bien en el nuevo proyecto que es Incubtal, esta hace poco pero le parece interesante. 
No me comento nada relevante como para tener en cuenta. </v>
      </c>
      <c r="J79" s="4" t="str">
        <f>IFERROR(__xludf.DUMMYFUNCTION("""COMPUTED_VALUE"""),"PX|Referents|RRHH")</f>
        <v>PX|Referents|RRHH</v>
      </c>
    </row>
    <row r="80">
      <c r="A80" s="4">
        <f>IFERROR(__xludf.DUMMYFUNCTION("""COMPUTED_VALUE"""),280.0)</f>
        <v>280</v>
      </c>
      <c r="B80" s="4" t="str">
        <f>IFERROR(__xludf.DUMMYFUNCTION("""COMPUTED_VALUE"""),"jose.flores")</f>
        <v>jose.flores</v>
      </c>
      <c r="C80" s="5">
        <f>IFERROR(__xludf.DUMMYFUNCTION("""COMPUTED_VALUE"""),44999.62341203704)</f>
        <v>44999.62341</v>
      </c>
      <c r="D80" s="5">
        <f>IFERROR(__xludf.DUMMYFUNCTION("""COMPUTED_VALUE"""),44999.0)</f>
        <v>44999</v>
      </c>
      <c r="E80" s="4" t="str">
        <f>IFERROR(__xludf.DUMMYFUNCTION("""COMPUTED_VALUE"""),"luciano.fuentes@patagoniansys.com")</f>
        <v>luciano.fuentes@patagoniansys.com</v>
      </c>
      <c r="F80" s="4" t="str">
        <f>IFERROR(__xludf.DUMMYFUNCTION("""COMPUTED_VALUE"""),"jose.flores@patagonian.com")</f>
        <v>jose.flores@patagonian.com</v>
      </c>
      <c r="G80" s="4" t="str">
        <f>IFERROR(__xludf.DUMMYFUNCTION("""COMPUTED_VALUE"""),"Referent One on One")</f>
        <v>Referent One on One</v>
      </c>
      <c r="H80" s="4"/>
      <c r="I80" s="6" t="str">
        <f>IFERROR(__xludf.DUMMYFUNCTION("""COMPUTED_VALUE"""),"- Interviewee e-Mail: jose.flores@patagonian.com
- Project Status Check: Cambio de proyecto. 
No hay muchos cambios con el proyecto anterior
En el nuevo proyecto tareas de frontend en angular 14. 
Aprendiendo un poco de docker.
Aprendiendo de Nestjs y Pos"&amp;"tgres.
- Project Changes | Notes: Le pareció buenísimo por todo lo nuevo que esta aprendiendo.
- Project Role | Feeling: 5
- Extra Work Hours | Amount: 1 - 5 (Entre 1 y 5)
- Extra Work Hours | Reason: 🙋Decisión propia
- Techs | Research: Cursos de IONIC
"&amp;"Le interesa flutter y tecnologías de desarrollo móvil
- Techs | Recomendations: https://itnext.io/angular-signals-the-future-of-angular-395a69e60062
- Techs | Recomendations check: Si, estudio sobre standalone components en Angular.
- Collaborator | Senio"&amp;"rity: 👍 No, es correcto
- Final notes: Esta muy contento con el cambio de proyecto y entusiasmado en las nuevas tecnologías que esta aprendiendo!
- Project Techs | Learning: 1
- Techs | Research: 2
- Project Techs | Difficulty: 3
- Project Changes | Reas"&amp;"ons: Cambio de proyecto y de equipo
- Project Changes | Personal Impact: 5
- Project Role | Value: 5
- Project role | Notes: A diferencia con el proyecto anterior la inducción del nuevo proyecto fue bastante clara que le permitió empezar a tomar tareas de"&amp;"sde un principio y entender la lógica de negocio")</f>
        <v>- Interviewee e-Mail: jose.flores@patagonian.com
- Project Status Check: Cambio de proyecto. 
No hay muchos cambios con el proyecto anterior
En el nuevo proyecto tareas de frontend en angular 14. 
Aprendiendo un poco de docker.
Aprendiendo de Nestjs y Postgres.
- Project Changes | Notes: Le pareció buenísimo por todo lo nuevo que esta aprendiendo.
- Project Role | Feeling: 5
- Extra Work Hours | Amount: 1 - 5 (Entre 1 y 5)
- Extra Work Hours | Reason: 🙋Decisión propia
- Techs | Research: Cursos de IONIC
Le interesa flutter y tecnologías de desarrollo móvil
- Techs | Recomendations: https://itnext.io/angular-signals-the-future-of-angular-395a69e60062
- Techs | Recomendations check: Si, estudio sobre standalone components en Angular.
- Collaborator | Seniority: 👍 No, es correcto
- Final notes: Esta muy contento con el cambio de proyecto y entusiasmado en las nuevas tecnologías que esta aprendiendo!
- Project Techs | Learning: 1
- Techs | Research: 2
- Project Techs | Difficulty: 3
- Project Changes | Reasons: Cambio de proyecto y de equipo
- Project Changes | Personal Impact: 5
- Project Role | Value: 5
- Project role | Notes: A diferencia con el proyecto anterior la inducción del nuevo proyecto fue bastante clara que le permitió empezar a tomar tareas desde un principio y entender la lógica de negocio</v>
      </c>
      <c r="J80" s="4" t="str">
        <f>IFERROR(__xludf.DUMMYFUNCTION("""COMPUTED_VALUE"""),"Tech Referent - OneOnOne")</f>
        <v>Tech Referent - OneOnOne</v>
      </c>
    </row>
    <row r="81" hidden="1">
      <c r="A81" s="4">
        <f>IFERROR(__xludf.DUMMYFUNCTION("""COMPUTED_VALUE"""),177.0)</f>
        <v>177</v>
      </c>
      <c r="B81" s="4" t="str">
        <f>IFERROR(__xludf.DUMMYFUNCTION("""COMPUTED_VALUE"""),"juan.marin")</f>
        <v>juan.marin</v>
      </c>
      <c r="C81" s="5">
        <f>IFERROR(__xludf.DUMMYFUNCTION("""COMPUTED_VALUE"""),44999.78177255787)</f>
        <v>44999.78177</v>
      </c>
      <c r="D81" s="5">
        <f>IFERROR(__xludf.DUMMYFUNCTION("""COMPUTED_VALUE"""),44999.0)</f>
        <v>44999</v>
      </c>
      <c r="E81" s="4" t="str">
        <f>IFERROR(__xludf.DUMMYFUNCTION("""COMPUTED_VALUE"""),"juan.villamizar@patagoniansys.com")</f>
        <v>juan.villamizar@patagoniansys.com</v>
      </c>
      <c r="F81" s="4" t="str">
        <f>IFERROR(__xludf.DUMMYFUNCTION("""COMPUTED_VALUE"""),"juan.marin@patagoniansys.com")</f>
        <v>juan.marin@patagoniansys.com</v>
      </c>
      <c r="G81" s="4" t="str">
        <f>IFERROR(__xludf.DUMMYFUNCTION("""COMPUTED_VALUE"""),"⏱ One on One")</f>
        <v>⏱ One on One</v>
      </c>
      <c r="H81" s="4" t="str">
        <f>IFERROR(__xludf.DUMMYFUNCTION("""COMPUTED_VALUE"""),"😐 Indiferente")</f>
        <v>😐 Indiferente</v>
      </c>
      <c r="I81" s="6" t="str">
        <f>IFERROR(__xludf.DUMMYFUNCTION("""COMPUTED_VALUE"""),"Juanda no está conforme con el proyecto por las tareas asignadas, y le parece que debe tener una promoción de seniority, ya lo ha hablado con varias partes incluyendo su líder de tech. Está apoyando dos proyectos adicionales pero siente que ya debe ser me"&amp;"jor compensado económicamente y pasar a semisenior. inicialmente Juanda entró con la idea de dejar el proyecto al final del mes según lo había acordado con el líder técnico, pero tendrá la reunión de tech para poder tomar la decisión. no le gustan las asi"&amp;"gnaciones que tiene actualmente porque no son relacionadas a devops. Con pata está feliz no tiene ningún tema adicional.")</f>
        <v>Juanda no está conforme con el proyecto por las tareas asignadas, y le parece que debe tener una promoción de seniority, ya lo ha hablado con varias partes incluyendo su líder de tech. Está apoyando dos proyectos adicionales pero siente que ya debe ser mejor compensado económicamente y pasar a semisenior. inicialmente Juanda entró con la idea de dejar el proyecto al final del mes según lo había acordado con el líder técnico, pero tendrá la reunión de tech para poder tomar la decisión. no le gustan las asignaciones que tiene actualmente porque no son relacionadas a devops. Con pata está feliz no tiene ningún tema adicional.</v>
      </c>
      <c r="J81" s="4" t="str">
        <f>IFERROR(__xludf.DUMMYFUNCTION("""COMPUTED_VALUE"""),"PX|Referents|RRHH")</f>
        <v>PX|Referents|RRHH</v>
      </c>
    </row>
    <row r="82" hidden="1">
      <c r="A82" s="4">
        <f>IFERROR(__xludf.DUMMYFUNCTION("""COMPUTED_VALUE"""),26.0)</f>
        <v>26</v>
      </c>
      <c r="B82" s="4" t="str">
        <f>IFERROR(__xludf.DUMMYFUNCTION("""COMPUTED_VALUE"""),"mariano.sckerl")</f>
        <v>mariano.sckerl</v>
      </c>
      <c r="C82" s="5">
        <f>IFERROR(__xludf.DUMMYFUNCTION("""COMPUTED_VALUE"""),45007.41772774305)</f>
        <v>45007.41773</v>
      </c>
      <c r="D82" s="5">
        <f>IFERROR(__xludf.DUMMYFUNCTION("""COMPUTED_VALUE"""),44999.0)</f>
        <v>44999</v>
      </c>
      <c r="E82" s="4" t="str">
        <f>IFERROR(__xludf.DUMMYFUNCTION("""COMPUTED_VALUE"""),"jimena.gutierrez@patagoniansys.com")</f>
        <v>jimena.gutierrez@patagoniansys.com</v>
      </c>
      <c r="F82" s="4" t="str">
        <f>IFERROR(__xludf.DUMMYFUNCTION("""COMPUTED_VALUE"""),"mariano.sckerl@patagoniansys.com")</f>
        <v>mariano.sckerl@patagoniansys.com</v>
      </c>
      <c r="G82" s="4" t="str">
        <f>IFERROR(__xludf.DUMMYFUNCTION("""COMPUTED_VALUE"""),"⏱ One on One")</f>
        <v>⏱ One on One</v>
      </c>
      <c r="H82" s="4" t="str">
        <f>IFERROR(__xludf.DUMMYFUNCTION("""COMPUTED_VALUE"""),"🙂 Feliz")</f>
        <v>🙂 Feliz</v>
      </c>
      <c r="I82" s="6" t="str">
        <f>IFERROR(__xludf.DUMMYFUNCTION("""COMPUTED_VALUE"""),"Se siente contento con lo q esta haciendo. Se lo notó motivado con respecto a las tareas de “gestión” que esta realizando pero le parece importante y necesita que se formalice un poco el proceso de gestión de QA y sus Multi asignación como TL de QA.")</f>
        <v>Se siente contento con lo q esta haciendo. Se lo notó motivado con respecto a las tareas de “gestión” que esta realizando pero le parece importante y necesita que se formalice un poco el proceso de gestión de QA y sus Multi asignación como TL de QA.</v>
      </c>
      <c r="J82" s="4" t="str">
        <f>IFERROR(__xludf.DUMMYFUNCTION("""COMPUTED_VALUE"""),"PX|Referents|RRHH")</f>
        <v>PX|Referents|RRHH</v>
      </c>
    </row>
    <row r="83" hidden="1">
      <c r="A83" s="4">
        <f>IFERROR(__xludf.DUMMYFUNCTION("""COMPUTED_VALUE"""),188.0)</f>
        <v>188</v>
      </c>
      <c r="B83" s="4" t="str">
        <f>IFERROR(__xludf.DUMMYFUNCTION("""COMPUTED_VALUE"""),"mauricio.lahitte")</f>
        <v>mauricio.lahitte</v>
      </c>
      <c r="C83" s="5">
        <f>IFERROR(__xludf.DUMMYFUNCTION("""COMPUTED_VALUE"""),45008.69104564815)</f>
        <v>45008.69105</v>
      </c>
      <c r="D83" s="5">
        <f>IFERROR(__xludf.DUMMYFUNCTION("""COMPUTED_VALUE"""),45000.0)</f>
        <v>45000</v>
      </c>
      <c r="E83" s="4" t="str">
        <f>IFERROR(__xludf.DUMMYFUNCTION("""COMPUTED_VALUE"""),"micaela.zorzetto@patagoniansys.com")</f>
        <v>micaela.zorzetto@patagoniansys.com</v>
      </c>
      <c r="F83" s="4" t="str">
        <f>IFERROR(__xludf.DUMMYFUNCTION("""COMPUTED_VALUE"""),"mauricio.lahitte@patagoniansys.com")</f>
        <v>mauricio.lahitte@patagoniansys.com</v>
      </c>
      <c r="G83" s="4" t="str">
        <f>IFERROR(__xludf.DUMMYFUNCTION("""COMPUTED_VALUE"""),"⏱ One on One")</f>
        <v>⏱ One on One</v>
      </c>
      <c r="H83" s="4" t="str">
        <f>IFERROR(__xludf.DUMMYFUNCTION("""COMPUTED_VALUE"""),"🙂 Feliz")</f>
        <v>🙂 Feliz</v>
      </c>
      <c r="I83" s="6" t="str">
        <f>IFERROR(__xludf.DUMMYFUNCTION("""COMPUTED_VALUE"""),"Poryecto: hace mucho tiempo que no estaba trabajando en un proyecto por tanto tiempo, es la primera vez, lo cual lo hace sentir confiado y seguro, conoce la plataforma, negocio, tecnología, asumió el rol de TL ya que tuvo que comenzar a tomar decisiones, "&amp;"hasta que llego Hernán. Se siente contento porque ahora esta teniendo más contacto con gente de Patagonian, como el equipo esta formado por mas gente de la empresa, siente que es mas cercano todo.
Empresa: esta super agradecido por el trato que le da el á"&amp;"rea de People, siempre cerca y escuchando las necesidades. Siente que es una persona y no un nro como en otras empresas.  
Capacitación: esta pensando en rendir la certificación de Amazon, lo sumaron al grupo que se esta preparando para rendirla.")</f>
        <v>Poryecto: hace mucho tiempo que no estaba trabajando en un proyecto por tanto tiempo, es la primera vez, lo cual lo hace sentir confiado y seguro, conoce la plataforma, negocio, tecnología, asumió el rol de TL ya que tuvo que comenzar a tomar decisiones, hasta que llego Hernán. Se siente contento porque ahora esta teniendo más contacto con gente de Patagonian, como el equipo esta formado por mas gente de la empresa, siente que es mas cercano todo.
Empresa: esta super agradecido por el trato que le da el área de People, siempre cerca y escuchando las necesidades. Siente que es una persona y no un nro como en otras empresas.  
Capacitación: esta pensando en rendir la certificación de Amazon, lo sumaron al grupo que se esta preparando para rendirla.</v>
      </c>
      <c r="J83" s="4" t="str">
        <f>IFERROR(__xludf.DUMMYFUNCTION("""COMPUTED_VALUE"""),"PX|Referents|RRHH")</f>
        <v>PX|Referents|RRHH</v>
      </c>
    </row>
    <row r="84" hidden="1">
      <c r="A84" s="4">
        <f>IFERROR(__xludf.DUMMYFUNCTION("""COMPUTED_VALUE"""),190.0)</f>
        <v>190</v>
      </c>
      <c r="B84" s="4" t="str">
        <f>IFERROR(__xludf.DUMMYFUNCTION("""COMPUTED_VALUE"""),"santiago.cendra")</f>
        <v>santiago.cendra</v>
      </c>
      <c r="C84" s="5">
        <f>IFERROR(__xludf.DUMMYFUNCTION("""COMPUTED_VALUE"""),45008.69835002314)</f>
        <v>45008.69835</v>
      </c>
      <c r="D84" s="5">
        <f>IFERROR(__xludf.DUMMYFUNCTION("""COMPUTED_VALUE"""),45000.0)</f>
        <v>45000</v>
      </c>
      <c r="E84" s="4" t="str">
        <f>IFERROR(__xludf.DUMMYFUNCTION("""COMPUTED_VALUE"""),"micaela.zorzetto@patagoniansys.com")</f>
        <v>micaela.zorzetto@patagoniansys.com</v>
      </c>
      <c r="F84" s="4" t="str">
        <f>IFERROR(__xludf.DUMMYFUNCTION("""COMPUTED_VALUE"""),"santiago.cendra@patagoniansys.com")</f>
        <v>santiago.cendra@patagoniansys.com</v>
      </c>
      <c r="G84" s="4" t="str">
        <f>IFERROR(__xludf.DUMMYFUNCTION("""COMPUTED_VALUE"""),"⏱ One on One")</f>
        <v>⏱ One on One</v>
      </c>
      <c r="H84" s="4" t="str">
        <f>IFERROR(__xludf.DUMMYFUNCTION("""COMPUTED_VALUE"""),"🙂 Feliz")</f>
        <v>🙂 Feliz</v>
      </c>
      <c r="I84" s="6" t="str">
        <f>IFERROR(__xludf.DUMMYFUNCTION("""COMPUTED_VALUE"""),"Proyecto: Estuvo trabajando en ABC, donde el proyecto termino muy bien con el cliente feliz y un gran equipo. Estuvo en el bench, pero ahoar lo asignaron junto con Luis Gomez al proyecto que tiene patagonian con el gobierno, el esta en la parte de front.
"&amp;"Me comentó que es muy complicado trabajar con Luis, ya que no responde o cuando se juntan en una meet no prende la cámara, demora en hacer las entregas. Ya lo charlo con su PM y lo estan tratando de resolver. Siente que esta muy solo trabajando ante esta "&amp;"situación. 
Empresa: Se siente cómodo, valora la flexibilidad que le da Patagonian.")</f>
        <v>Proyecto: Estuvo trabajando en ABC, donde el proyecto termino muy bien con el cliente feliz y un gran equipo. Estuvo en el bench, pero ahoar lo asignaron junto con Luis Gomez al proyecto que tiene patagonian con el gobierno, el esta en la parte de front.
Me comentó que es muy complicado trabajar con Luis, ya que no responde o cuando se juntan en una meet no prende la cámara, demora en hacer las entregas. Ya lo charlo con su PM y lo estan tratando de resolver. Siente que esta muy solo trabajando ante esta situación. 
Empresa: Se siente cómodo, valora la flexibilidad que le da Patagonian.</v>
      </c>
      <c r="J84" s="4" t="str">
        <f>IFERROR(__xludf.DUMMYFUNCTION("""COMPUTED_VALUE"""),"PX|Referents|RRHH")</f>
        <v>PX|Referents|RRHH</v>
      </c>
    </row>
    <row r="85" hidden="1">
      <c r="A85" s="4">
        <f>IFERROR(__xludf.DUMMYFUNCTION("""COMPUTED_VALUE"""),136.0)</f>
        <v>136</v>
      </c>
      <c r="B85" s="4" t="str">
        <f>IFERROR(__xludf.DUMMYFUNCTION("""COMPUTED_VALUE"""),"freddy.orozco")</f>
        <v>freddy.orozco</v>
      </c>
      <c r="C85" s="5">
        <f>IFERROR(__xludf.DUMMYFUNCTION("""COMPUTED_VALUE"""),45028.456445034724)</f>
        <v>45028.45645</v>
      </c>
      <c r="D85" s="5">
        <f>IFERROR(__xludf.DUMMYFUNCTION("""COMPUTED_VALUE"""),45000.0)</f>
        <v>45000</v>
      </c>
      <c r="E85" s="4" t="str">
        <f>IFERROR(__xludf.DUMMYFUNCTION("""COMPUTED_VALUE"""),"diana.grajales@patagoniansys.com")</f>
        <v>diana.grajales@patagoniansys.com</v>
      </c>
      <c r="F85" s="4" t="str">
        <f>IFERROR(__xludf.DUMMYFUNCTION("""COMPUTED_VALUE"""),"freddy.orozco@patagoniansys.com")</f>
        <v>freddy.orozco@patagoniansys.com</v>
      </c>
      <c r="G85" s="4" t="str">
        <f>IFERROR(__xludf.DUMMYFUNCTION("""COMPUTED_VALUE"""),"👋 RRHH")</f>
        <v>👋 RRHH</v>
      </c>
      <c r="H85" s="4" t="str">
        <f>IFERROR(__xludf.DUMMYFUNCTION("""COMPUTED_VALUE"""),"😀 Sumamente Feliz")</f>
        <v>😀 Sumamente Feliz</v>
      </c>
      <c r="I85" s="6" t="str">
        <f>IFERROR(__xludf.DUMMYFUNCTION("""COMPUTED_VALUE"""),"Proyecto todo marcha muy bien - BFA es una empresa muy estructurada
PM: Hubo un cambio de PM esta al pendiente de ver como le va con Jessica
Con Jimena no siente que hubo buen feeling.
Aun no esta dentro de sus planes a corto plazo capacitarse a nivel de "&amp;"diplomado o maestria
En estos momentos esta lidiando con temas personales ")</f>
        <v>Proyecto todo marcha muy bien - BFA es una empresa muy estructurada
PM: Hubo un cambio de PM esta al pendiente de ver como le va con Jessica
Con Jimena no siente que hubo buen feeling.
Aun no esta dentro de sus planes a corto plazo capacitarse a nivel de diplomado o maestria
En estos momentos esta lidiando con temas personales </v>
      </c>
      <c r="J85" s="4" t="str">
        <f>IFERROR(__xludf.DUMMYFUNCTION("""COMPUTED_VALUE"""),"PX|Referents|RRHH")</f>
        <v>PX|Referents|RRHH</v>
      </c>
    </row>
    <row r="86" hidden="1">
      <c r="A86" s="4">
        <f>IFERROR(__xludf.DUMMYFUNCTION("""COMPUTED_VALUE"""),167.0)</f>
        <v>167</v>
      </c>
      <c r="B86" s="4" t="str">
        <f>IFERROR(__xludf.DUMMYFUNCTION("""COMPUTED_VALUE"""),"rodrigo.cibils")</f>
        <v>rodrigo.cibils</v>
      </c>
      <c r="C86" s="5">
        <f>IFERROR(__xludf.DUMMYFUNCTION("""COMPUTED_VALUE"""),45001.668684976845)</f>
        <v>45001.66868</v>
      </c>
      <c r="D86" s="5">
        <f>IFERROR(__xludf.DUMMYFUNCTION("""COMPUTED_VALUE"""),45001.0)</f>
        <v>45001</v>
      </c>
      <c r="E86" s="4" t="str">
        <f>IFERROR(__xludf.DUMMYFUNCTION("""COMPUTED_VALUE"""),"jesica.petrauskas@patagoniansys.com")</f>
        <v>jesica.petrauskas@patagoniansys.com</v>
      </c>
      <c r="F86" s="4" t="str">
        <f>IFERROR(__xludf.DUMMYFUNCTION("""COMPUTED_VALUE"""),"rodrigo.cibils@patagoniansys.com")</f>
        <v>rodrigo.cibils@patagoniansys.com</v>
      </c>
      <c r="G86" s="4" t="str">
        <f>IFERROR(__xludf.DUMMYFUNCTION("""COMPUTED_VALUE"""),"⏱ One on One")</f>
        <v>⏱ One on One</v>
      </c>
      <c r="H86" s="4" t="str">
        <f>IFERROR(__xludf.DUMMYFUNCTION("""COMPUTED_VALUE"""),"🙂 Feliz")</f>
        <v>🙂 Feliz</v>
      </c>
      <c r="I86" s="6" t="str">
        <f>IFERROR(__xludf.DUMMYFUNCTION("""COMPUTED_VALUE"""),"Está contento con el cambio al proyecto de Mbody y con el equipo sumado a la oportunidad de desarrollarse con React Native. Le gustó que le haya propuesto ese desafío dado que ve que en Patagonian no hay muchos proyectos de mobile nativos. De momento no t"&amp;"iene pensado hacer ningún curso. Pide ver recategorización de seniority.")</f>
        <v>Está contento con el cambio al proyecto de Mbody y con el equipo sumado a la oportunidad de desarrollarse con React Native. Le gustó que le haya propuesto ese desafío dado que ve que en Patagonian no hay muchos proyectos de mobile nativos. De momento no tiene pensado hacer ningún curso. Pide ver recategorización de seniority.</v>
      </c>
      <c r="J86" s="4" t="str">
        <f>IFERROR(__xludf.DUMMYFUNCTION("""COMPUTED_VALUE"""),"PX|Referents|RRHH")</f>
        <v>PX|Referents|RRHH</v>
      </c>
    </row>
    <row r="87" hidden="1">
      <c r="A87" s="4">
        <f>IFERROR(__xludf.DUMMYFUNCTION("""COMPUTED_VALUE"""),125.0)</f>
        <v>125</v>
      </c>
      <c r="B87" s="4" t="str">
        <f>IFERROR(__xludf.DUMMYFUNCTION("""COMPUTED_VALUE"""),"pablo.triandafilide")</f>
        <v>pablo.triandafilide</v>
      </c>
      <c r="C87" s="5">
        <f>IFERROR(__xludf.DUMMYFUNCTION("""COMPUTED_VALUE"""),45001.689950162036)</f>
        <v>45001.68995</v>
      </c>
      <c r="D87" s="5">
        <f>IFERROR(__xludf.DUMMYFUNCTION("""COMPUTED_VALUE"""),45001.0)</f>
        <v>45001</v>
      </c>
      <c r="E87" s="4" t="str">
        <f>IFERROR(__xludf.DUMMYFUNCTION("""COMPUTED_VALUE"""),"jesica.petrauskas@patagoniansys.com")</f>
        <v>jesica.petrauskas@patagoniansys.com</v>
      </c>
      <c r="F87" s="4" t="str">
        <f>IFERROR(__xludf.DUMMYFUNCTION("""COMPUTED_VALUE"""),"pablo.triandafilide@patagoniansys.com")</f>
        <v>pablo.triandafilide@patagoniansys.com</v>
      </c>
      <c r="G87" s="4" t="str">
        <f>IFERROR(__xludf.DUMMYFUNCTION("""COMPUTED_VALUE"""),"⏱ One on One")</f>
        <v>⏱ One on One</v>
      </c>
      <c r="H87" s="4" t="str">
        <f>IFERROR(__xludf.DUMMYFUNCTION("""COMPUTED_VALUE"""),"🙂 Feliz")</f>
        <v>🙂 Feliz</v>
      </c>
      <c r="I87" s="6" t="str">
        <f>IFERROR(__xludf.DUMMYFUNCTION("""COMPUTED_VALUE"""),"Bien con el proyecto le gusta que se hagan cosas con tecnologías nuevas. Pidió hacer curso por platzi de mongodb y está interesado en el plan de carrera para backend. Aprende mucho del equipo. ")</f>
        <v>Bien con el proyecto le gusta que se hagan cosas con tecnologías nuevas. Pidió hacer curso por platzi de mongodb y está interesado en el plan de carrera para backend. Aprende mucho del equipo. </v>
      </c>
      <c r="J87" s="4" t="str">
        <f>IFERROR(__xludf.DUMMYFUNCTION("""COMPUTED_VALUE"""),"PX|Referents|RRHH")</f>
        <v>PX|Referents|RRHH</v>
      </c>
    </row>
    <row r="88" hidden="1">
      <c r="A88" s="4">
        <f>IFERROR(__xludf.DUMMYFUNCTION("""COMPUTED_VALUE"""),245.0)</f>
        <v>245</v>
      </c>
      <c r="B88" s="4" t="str">
        <f>IFERROR(__xludf.DUMMYFUNCTION("""COMPUTED_VALUE"""),"juan.baez")</f>
        <v>juan.baez</v>
      </c>
      <c r="C88" s="5">
        <f>IFERROR(__xludf.DUMMYFUNCTION("""COMPUTED_VALUE"""),45008.74912949074)</f>
        <v>45008.74913</v>
      </c>
      <c r="D88" s="5">
        <f>IFERROR(__xludf.DUMMYFUNCTION("""COMPUTED_VALUE"""),45001.0)</f>
        <v>45001</v>
      </c>
      <c r="E88" s="4" t="str">
        <f>IFERROR(__xludf.DUMMYFUNCTION("""COMPUTED_VALUE"""),"micaela.zorzetto@patagoniansys.com")</f>
        <v>micaela.zorzetto@patagoniansys.com</v>
      </c>
      <c r="F88" s="4" t="str">
        <f>IFERROR(__xludf.DUMMYFUNCTION("""COMPUTED_VALUE"""),"juan.baez@patagoniansys.com")</f>
        <v>juan.baez@patagoniansys.com</v>
      </c>
      <c r="G88" s="4" t="str">
        <f>IFERROR(__xludf.DUMMYFUNCTION("""COMPUTED_VALUE"""),"⏱ One on One")</f>
        <v>⏱ One on One</v>
      </c>
      <c r="H88" s="4" t="str">
        <f>IFERROR(__xludf.DUMMYFUNCTION("""COMPUTED_VALUE"""),"🙂 Feliz")</f>
        <v>🙂 Feliz</v>
      </c>
      <c r="I88" s="6" t="str">
        <f>IFERROR(__xludf.DUMMYFUNCTION("""COMPUTED_VALUE"""),"Proyecto: trabaja en la web de Patagonian y en Eyethena. 
En la Web Patagonian, siente que no hay un Pm que organice y ordene las tareas, cada uno hace un poco lo que le parece o no se le da importancia a determinadas cosas que se le deberian dar. 
Eyethe"&amp;"na, viene bien, y cada vez tiene mas trabajo para hacer. Le gustaría que se le permita usar correctamente los procesos de QA. 
Capacitación: esta interesado en empezar a ir mas para el lado de QA Automation, ya que es lo que le gusta. Esta empezando a est"&amp;"udiar para rendir la certificación. ")</f>
        <v>Proyecto: trabaja en la web de Patagonian y en Eyethena. 
En la Web Patagonian, siente que no hay un Pm que organice y ordene las tareas, cada uno hace un poco lo que le parece o no se le da importancia a determinadas cosas que se le deberian dar. 
Eyethena, viene bien, y cada vez tiene mas trabajo para hacer. Le gustaría que se le permita usar correctamente los procesos de QA. 
Capacitación: esta interesado en empezar a ir mas para el lado de QA Automation, ya que es lo que le gusta. Esta empezando a estudiar para rendir la certificación. </v>
      </c>
      <c r="J88" s="4" t="str">
        <f>IFERROR(__xludf.DUMMYFUNCTION("""COMPUTED_VALUE"""),"PX|Referents|RRHH")</f>
        <v>PX|Referents|RRHH</v>
      </c>
    </row>
    <row r="89">
      <c r="A89" s="4">
        <f>IFERROR(__xludf.DUMMYFUNCTION("""COMPUTED_VALUE"""),204.0)</f>
        <v>204</v>
      </c>
      <c r="B89" s="4" t="str">
        <f>IFERROR(__xludf.DUMMYFUNCTION("""COMPUTED_VALUE"""),"luisa.fernandez")</f>
        <v>luisa.fernandez</v>
      </c>
      <c r="C89" s="5">
        <f>IFERROR(__xludf.DUMMYFUNCTION("""COMPUTED_VALUE"""),45002.44793369213)</f>
        <v>45002.44793</v>
      </c>
      <c r="D89" s="5">
        <f>IFERROR(__xludf.DUMMYFUNCTION("""COMPUTED_VALUE"""),45002.0)</f>
        <v>45002</v>
      </c>
      <c r="E89" s="4" t="str">
        <f>IFERROR(__xludf.DUMMYFUNCTION("""COMPUTED_VALUE"""),"martin.infante@patagoniansys.com")</f>
        <v>martin.infante@patagoniansys.com</v>
      </c>
      <c r="F89" s="4" t="str">
        <f>IFERROR(__xludf.DUMMYFUNCTION("""COMPUTED_VALUE"""),"luisa.fernandez@patagoniansys.com")</f>
        <v>luisa.fernandez@patagoniansys.com</v>
      </c>
      <c r="G89" s="4" t="str">
        <f>IFERROR(__xludf.DUMMYFUNCTION("""COMPUTED_VALUE"""),"Initial gathering")</f>
        <v>Initial gathering</v>
      </c>
      <c r="H89" s="4"/>
      <c r="I89" s="6" t="str">
        <f>IFERROR(__xludf.DUMMYFUNCTION("""COMPUTED_VALUE"""),"- Interviewee e-Mail: luisa.fernandez@patagoniansys.com
- Project name: ANR
- Project | Role: Python developer (algo de backend, algo de data, algo de ML)
- Project | technologies: Python, GitHub, Bitbucket, FAST Api, Librerias de NLP, Pandas.
- Happiness"&amp;" in project technology: 😀 Sumamente Feliz
- Happiness in project technology | Description: No
- Project | The best/coolest thing: La posibilidad de experimentar y aprender haciendo. El team es muy colaborativo.
- Project | The worst thing: No hay puntos "&amp;"malos como tal.
- Project | Improvements: Pensar una aplicacion y tener un road map de como poder aplicar el conocimiento generado.
- Team | TL: Ando
- Team | PX: Tomas
- Team | QA: 0
- Team | QA Automation: 👎 No
- Team | QA | Notes: No hay equipo de QA "&amp;"porque esta es una fase de experimentacion.
- Team | UI/UX: 1
- Team | UI/UX | Notes: Valita
- Team | DevOps: 0
- Team | Data Engineer: 1")</f>
        <v>- Interviewee e-Mail: luisa.fernandez@patagoniansys.com
- Project name: ANR
- Project | Role: Python developer (algo de backend, algo de data, algo de ML)
- Project | technologies: Python, GitHub, Bitbucket, FAST Api, Librerias de NLP, Pandas.
- Happiness in project technology: 😀 Sumamente Feliz
- Happiness in project technology | Description: No
- Project | The best/coolest thing: La posibilidad de experimentar y aprender haciendo. El team es muy colaborativo.
- Project | The worst thing: No hay puntos malos como tal.
- Project | Improvements: Pensar una aplicacion y tener un road map de como poder aplicar el conocimiento generado.
- Team | TL: Ando
- Team | PX: Tomas
- Team | QA: 0
- Team | QA Automation: 👎 No
- Team | QA | Notes: No hay equipo de QA porque esta es una fase de experimentacion.
- Team | UI/UX: 1
- Team | UI/UX | Notes: Valita
- Team | DevOps: 0
- Team | Data Engineer: 1</v>
      </c>
      <c r="J89" s="4" t="str">
        <f>IFERROR(__xludf.DUMMYFUNCTION("""COMPUTED_VALUE"""),"Tech Referent - Initial gathering")</f>
        <v>Tech Referent - Initial gathering</v>
      </c>
    </row>
    <row r="90">
      <c r="A90" s="4">
        <f>IFERROR(__xludf.DUMMYFUNCTION("""COMPUTED_VALUE"""),136.0)</f>
        <v>136</v>
      </c>
      <c r="B90" s="4" t="str">
        <f>IFERROR(__xludf.DUMMYFUNCTION("""COMPUTED_VALUE"""),"freddy.orozco")</f>
        <v>freddy.orozco</v>
      </c>
      <c r="C90" s="5">
        <f>IFERROR(__xludf.DUMMYFUNCTION("""COMPUTED_VALUE"""),45002.67018241898)</f>
        <v>45002.67018</v>
      </c>
      <c r="D90" s="5">
        <f>IFERROR(__xludf.DUMMYFUNCTION("""COMPUTED_VALUE"""),45002.0)</f>
        <v>45002</v>
      </c>
      <c r="E90" s="4" t="str">
        <f>IFERROR(__xludf.DUMMYFUNCTION("""COMPUTED_VALUE"""),"daniel.mansilla@patagoniansys.com")</f>
        <v>daniel.mansilla@patagoniansys.com</v>
      </c>
      <c r="F90" s="4" t="str">
        <f>IFERROR(__xludf.DUMMYFUNCTION("""COMPUTED_VALUE"""),"freddy.orozco@patagonian.com")</f>
        <v>freddy.orozco@patagonian.com</v>
      </c>
      <c r="G90" s="4" t="str">
        <f>IFERROR(__xludf.DUMMYFUNCTION("""COMPUTED_VALUE"""),"Referent One on One")</f>
        <v>Referent One on One</v>
      </c>
      <c r="H90" s="4"/>
      <c r="I90" s="6" t="str">
        <f>IFERROR(__xludf.DUMMYFUNCTION("""COMPUTED_VALUE"""),"- Interviewee e-Mail: freddy.orozco@patagonian.com
- Project Status Check: Respecto al proyecto, sigue igual. Se ha sumado a las charlas de arquitectos.
- Project Changes | Notes: Lo cambios no afectaron realmente al funcionamiento del proyecto.
- Project"&amp;" Role | Feeling: 4
- Extra Work Hours | Amount: 0 (Ningúna)
- Techs | Research: Ha estado viendo cosas de backend con JS (NextJS, Node).
- Collaborator | Seniority: 👍 No, es correcto
- Alerts: Por el momento, al igual que lo hablado en la meet anterior, "&amp;"él se encuentra bastante cómodo en el proyecto. No veo, de momento, ninguna alerta o similar.
- Project Needs / Oportunities: No veo por el momento que Patagonian pueda aportar algo al proyecto.
- Final notes: Todo en orden por el momento.
- Project Techs"&amp;" | Learning: 30
- Techs | Research: 12
- Project Techs | Difficulty: 2
- Project Changes | Reasons: Cambio de PM: Jessica P.
- Project Changes | Personal Impact: 3
- Project Role | Value: 3
- Project role | Notes: Está en un etapa donde los conocimientos "&amp;"que le puede aportar el proyecto ya no son muchos. No se considera fundamental en su rol (o sea, no sería un impacto muy grande si llegado el caso, saliera del pryecto).")</f>
        <v>- Interviewee e-Mail: freddy.orozco@patagonian.com
- Project Status Check: Respecto al proyecto, sigue igual. Se ha sumado a las charlas de arquitectos.
- Project Changes | Notes: Lo cambios no afectaron realmente al funcionamiento del proyecto.
- Project Role | Feeling: 4
- Extra Work Hours | Amount: 0 (Ningúna)
- Techs | Research: Ha estado viendo cosas de backend con JS (NextJS, Node).
- Collaborator | Seniority: 👍 No, es correcto
- Alerts: Por el momento, al igual que lo hablado en la meet anterior, él se encuentra bastante cómodo en el proyecto. No veo, de momento, ninguna alerta o similar.
- Project Needs / Oportunities: No veo por el momento que Patagonian pueda aportar algo al proyecto.
- Final notes: Todo en orden por el momento.
- Project Techs | Learning: 30
- Techs | Research: 12
- Project Techs | Difficulty: 2
- Project Changes | Reasons: Cambio de PM: Jessica P.
- Project Changes | Personal Impact: 3
- Project Role | Value: 3
- Project role | Notes: Está en un etapa donde los conocimientos que le puede aportar el proyecto ya no son muchos. No se considera fundamental en su rol (o sea, no sería un impacto muy grande si llegado el caso, saliera del pryecto).</v>
      </c>
      <c r="J90" s="4" t="str">
        <f>IFERROR(__xludf.DUMMYFUNCTION("""COMPUTED_VALUE"""),"Tech Referent - OneOnOne")</f>
        <v>Tech Referent - OneOnOne</v>
      </c>
    </row>
    <row r="91">
      <c r="A91" s="4">
        <f>IFERROR(__xludf.DUMMYFUNCTION("""COMPUTED_VALUE"""),73.0)</f>
        <v>73</v>
      </c>
      <c r="B91" s="4" t="str">
        <f>IFERROR(__xludf.DUMMYFUNCTION("""COMPUTED_VALUE"""),"andres.attwell")</f>
        <v>andres.attwell</v>
      </c>
      <c r="C91" s="5">
        <f>IFERROR(__xludf.DUMMYFUNCTION("""COMPUTED_VALUE"""),45006.32388390047)</f>
        <v>45006.32388</v>
      </c>
      <c r="D91" s="5">
        <f>IFERROR(__xludf.DUMMYFUNCTION("""COMPUTED_VALUE"""),45002.0)</f>
        <v>45002</v>
      </c>
      <c r="E91" s="4" t="str">
        <f>IFERROR(__xludf.DUMMYFUNCTION("""COMPUTED_VALUE"""),"andres.bolocco@patagoniansys.com")</f>
        <v>andres.bolocco@patagoniansys.com</v>
      </c>
      <c r="F91" s="4" t="str">
        <f>IFERROR(__xludf.DUMMYFUNCTION("""COMPUTED_VALUE"""),"andres.attwell@patagoniansys.com")</f>
        <v>andres.attwell@patagoniansys.com</v>
      </c>
      <c r="G91" s="4" t="str">
        <f>IFERROR(__xludf.DUMMYFUNCTION("""COMPUTED_VALUE"""),"Referent One on One")</f>
        <v>Referent One on One</v>
      </c>
      <c r="H91" s="4"/>
      <c r="I91" s="6" t="str">
        <f>IFERROR(__xludf.DUMMYFUNCTION("""COMPUTED_VALUE"""),"- Interviewee e-Mail: andres.attwell@patagoniansys.com
- Project Status Check: - integraciones con nuevo tipo de whitelabels
- parchando drupal y configuracion de servidores
- empezando migracion de repositorio de patagonian al cliente
- documentando proc"&amp;"esos de deploy y accesos a instancias
- armando reportes para el cliente con analytics con datos de la db de comunidades, interacciones
- revisando problema en AWS SES por exceso de bounces, manejo de unsubscribes
- haciendo induccion al proyecto a los nu"&amp;"evos
- Project Role | Feeling: 5
- Extra Work Hours | Amount: 1 - 5 (Entre 1 y 5)
- Extra Work Hours | Reason: 😅 Malas decisiones de ejecución, retrasos, 💁‍♂️ Pedido del PM, cliente o proyecto, 🙋Decisión propia, induccion extendida con la PM nueva, y g"&amp;"enerando reportes para el cliente
- Techs | Research: AWS
- Collaborator | Seniority: 👍 No, es correcto
- Project Needs / Oportunities: el problema de deuda tecnica en CA es grave, si no toman la propuesta de migración, debería hacerse una migración grad"&amp;"ual, intentando meter de a poco tareas de tech debt en lo sprint
- Project Techs | Learning: 35
- Techs | Research: 40
- Project Techs | Difficulty: 4
- Project Changes | Reasons: ⬇️ Reducción del equipo, ⬆️ Aumento del equipo, 💻 Cambios en la manera de "&amp;"desarrollar, cambio de miembro asignado a QA, la nueva PM, y desde el Project Insights de Edu, se tomaron mejoras en el manejo del repo, se retomo usar releases integrator Jira, limpieza de ramas viejas en el repo
- Project Changes | Personal Impact: 5
- "&amp;"Project Role | Value: 5
- Project role | Notes: se sentia nervioso por ser la primera vez como TL con un equipo, pero ahora esta mas confiado y aprendiendo más lo que lo tiene contento, haciendose más cargo de hacer cumplir buenas practicas tanto en Angul"&amp;"ar como en Drupal como tambien en manejo de merges y code review entre pares.")</f>
        <v>- Interviewee e-Mail: andres.attwell@patagoniansys.com
- Project Status Check: - integraciones con nuevo tipo de whitelabels
- parchando drupal y configuracion de servidores
- empezando migracion de repositorio de patagonian al cliente
- documentando procesos de deploy y accesos a instancias
- armando reportes para el cliente con analytics con datos de la db de comunidades, interacciones
- revisando problema en AWS SES por exceso de bounces, manejo de unsubscribes
- haciendo induccion al proyecto a los nuevos
- Project Role | Feeling: 5
- Extra Work Hours | Amount: 1 - 5 (Entre 1 y 5)
- Extra Work Hours | Reason: 😅 Malas decisiones de ejecución, retrasos, 💁‍♂️ Pedido del PM, cliente o proyecto, 🙋Decisión propia, induccion extendida con la PM nueva, y generando reportes para el cliente
- Techs | Research: AWS
- Collaborator | Seniority: 👍 No, es correcto
- Project Needs / Oportunities: el problema de deuda tecnica en CA es grave, si no toman la propuesta de migración, debería hacerse una migración gradual, intentando meter de a poco tareas de tech debt en lo sprint
- Project Techs | Learning: 35
- Techs | Research: 40
- Project Techs | Difficulty: 4
- Project Changes | Reasons: ⬇️ Reducción del equipo, ⬆️ Aumento del equipo, 💻 Cambios en la manera de desarrollar, cambio de miembro asignado a QA, la nueva PM, y desde el Project Insights de Edu, se tomaron mejoras en el manejo del repo, se retomo usar releases integrator Jira, limpieza de ramas viejas en el repo
- Project Changes | Personal Impact: 5
- Project Role | Value: 5
- Project role | Notes: se sentia nervioso por ser la primera vez como TL con un equipo, pero ahora esta mas confiado y aprendiendo más lo que lo tiene contento, haciendose más cargo de hacer cumplir buenas practicas tanto en Angular como en Drupal como tambien en manejo de merges y code review entre pares.</v>
      </c>
      <c r="J91" s="4" t="str">
        <f>IFERROR(__xludf.DUMMYFUNCTION("""COMPUTED_VALUE"""),"Tech Referent - OneOnOne")</f>
        <v>Tech Referent - OneOnOne</v>
      </c>
    </row>
    <row r="92" hidden="1">
      <c r="A92" s="4">
        <f>IFERROR(__xludf.DUMMYFUNCTION("""COMPUTED_VALUE"""),73.0)</f>
        <v>73</v>
      </c>
      <c r="B92" s="4" t="str">
        <f>IFERROR(__xludf.DUMMYFUNCTION("""COMPUTED_VALUE"""),"andres.attwell")</f>
        <v>andres.attwell</v>
      </c>
      <c r="C92" s="5">
        <f>IFERROR(__xludf.DUMMYFUNCTION("""COMPUTED_VALUE"""),45007.424223738424)</f>
        <v>45007.42422</v>
      </c>
      <c r="D92" s="5">
        <f>IFERROR(__xludf.DUMMYFUNCTION("""COMPUTED_VALUE"""),45002.0)</f>
        <v>45002</v>
      </c>
      <c r="E92" s="4" t="str">
        <f>IFERROR(__xludf.DUMMYFUNCTION("""COMPUTED_VALUE"""),"jimena.gutierrez@patagoniansys.com")</f>
        <v>jimena.gutierrez@patagoniansys.com</v>
      </c>
      <c r="F92" s="4" t="str">
        <f>IFERROR(__xludf.DUMMYFUNCTION("""COMPUTED_VALUE"""),"andres.attwell@patagoniansys.com")</f>
        <v>andres.attwell@patagoniansys.com</v>
      </c>
      <c r="G92" s="4" t="str">
        <f>IFERROR(__xludf.DUMMYFUNCTION("""COMPUTED_VALUE"""),"⏱ One on One")</f>
        <v>⏱ One on One</v>
      </c>
      <c r="H92" s="4" t="str">
        <f>IFERROR(__xludf.DUMMYFUNCTION("""COMPUTED_VALUE"""),"🙂 Feliz")</f>
        <v>🙂 Feliz</v>
      </c>
      <c r="I92" s="6" t="str">
        <f>IFERROR(__xludf.DUMMYFUNCTION("""COMPUTED_VALUE"""),"Consultó sobre las evaluaciones de desempeño y las recategorizaciones. No solo por el sino para el resto del equipo. Denota mucho compromiso y preocupación por cada miembro del equipo.")</f>
        <v>Consultó sobre las evaluaciones de desempeño y las recategorizaciones. No solo por el sino para el resto del equipo. Denota mucho compromiso y preocupación por cada miembro del equipo.</v>
      </c>
      <c r="J92" s="4" t="str">
        <f>IFERROR(__xludf.DUMMYFUNCTION("""COMPUTED_VALUE"""),"PX|Referents|RRHH")</f>
        <v>PX|Referents|RRHH</v>
      </c>
    </row>
    <row r="93" hidden="1">
      <c r="A93" s="4">
        <f>IFERROR(__xludf.DUMMYFUNCTION("""COMPUTED_VALUE"""),272.0)</f>
        <v>272</v>
      </c>
      <c r="B93" s="4" t="str">
        <f>IFERROR(__xludf.DUMMYFUNCTION("""COMPUTED_VALUE"""),"santiago.grossi")</f>
        <v>santiago.grossi</v>
      </c>
      <c r="C93" s="5">
        <f>IFERROR(__xludf.DUMMYFUNCTION("""COMPUTED_VALUE"""),45007.43378861111)</f>
        <v>45007.43379</v>
      </c>
      <c r="D93" s="5">
        <f>IFERROR(__xludf.DUMMYFUNCTION("""COMPUTED_VALUE"""),45002.0)</f>
        <v>45002</v>
      </c>
      <c r="E93" s="4" t="str">
        <f>IFERROR(__xludf.DUMMYFUNCTION("""COMPUTED_VALUE"""),"jimena.gutierrez@patagoniansys.com")</f>
        <v>jimena.gutierrez@patagoniansys.com</v>
      </c>
      <c r="F93" s="4" t="str">
        <f>IFERROR(__xludf.DUMMYFUNCTION("""COMPUTED_VALUE"""),"santiago.grossi@patagoniansys.com")</f>
        <v>santiago.grossi@patagoniansys.com</v>
      </c>
      <c r="G93" s="4" t="str">
        <f>IFERROR(__xludf.DUMMYFUNCTION("""COMPUTED_VALUE"""),"⏱ One on One")</f>
        <v>⏱ One on One</v>
      </c>
      <c r="H93" s="4" t="str">
        <f>IFERROR(__xludf.DUMMYFUNCTION("""COMPUTED_VALUE"""),"🙂 Feliz")</f>
        <v>🙂 Feliz</v>
      </c>
      <c r="I93" s="6" t="str">
        <f>IFERROR(__xludf.DUMMYFUNCTION("""COMPUTED_VALUE"""),"Esta muy contento con el equipo, lo motivó mucho poder quedarse en el proyecto. Pero de cierta forma no lo motiva mucho la tecnología (drupal) que utiliza el proyecto, más alla que el proyecto y negocio en sí le gusta. Expresó que lo motivaría mucho reali"&amp;"zar una migración a otra tecnología (algo que ya se esta tratando entre Sales, PM y Cliente)")</f>
        <v>Esta muy contento con el equipo, lo motivó mucho poder quedarse en el proyecto. Pero de cierta forma no lo motiva mucho la tecnología (drupal) que utiliza el proyecto, más alla que el proyecto y negocio en sí le gusta. Expresó que lo motivaría mucho realizar una migración a otra tecnología (algo que ya se esta tratando entre Sales, PM y Cliente)</v>
      </c>
      <c r="J93" s="4" t="str">
        <f>IFERROR(__xludf.DUMMYFUNCTION("""COMPUTED_VALUE"""),"PX|Referents|RRHH")</f>
        <v>PX|Referents|RRHH</v>
      </c>
    </row>
    <row r="94" hidden="1">
      <c r="A94" s="4">
        <f>IFERROR(__xludf.DUMMYFUNCTION("""COMPUTED_VALUE"""),105.0)</f>
        <v>105</v>
      </c>
      <c r="B94" s="4" t="str">
        <f>IFERROR(__xludf.DUMMYFUNCTION("""COMPUTED_VALUE"""),"henry.tong")</f>
        <v>henry.tong</v>
      </c>
      <c r="C94" s="5">
        <f>IFERROR(__xludf.DUMMYFUNCTION("""COMPUTED_VALUE"""),45008.715435439815)</f>
        <v>45008.71544</v>
      </c>
      <c r="D94" s="5">
        <f>IFERROR(__xludf.DUMMYFUNCTION("""COMPUTED_VALUE"""),45005.0)</f>
        <v>45005</v>
      </c>
      <c r="E94" s="4" t="str">
        <f>IFERROR(__xludf.DUMMYFUNCTION("""COMPUTED_VALUE"""),"micaela.zorzetto@patagoniansys.com")</f>
        <v>micaela.zorzetto@patagoniansys.com</v>
      </c>
      <c r="F94" s="4" t="str">
        <f>IFERROR(__xludf.DUMMYFUNCTION("""COMPUTED_VALUE"""),"henry.tong@patagoniansys.com")</f>
        <v>henry.tong@patagoniansys.com</v>
      </c>
      <c r="G94" s="4" t="str">
        <f>IFERROR(__xludf.DUMMYFUNCTION("""COMPUTED_VALUE"""),"⏱ One on One")</f>
        <v>⏱ One on One</v>
      </c>
      <c r="H94" s="4" t="str">
        <f>IFERROR(__xludf.DUMMYFUNCTION("""COMPUTED_VALUE"""),"🙂 Feliz")</f>
        <v>🙂 Feliz</v>
      </c>
      <c r="I94" s="6" t="str">
        <f>IFERROR(__xludf.DUMMYFUNCTION("""COMPUTED_VALUE"""),"Proyecto: el cliente siempre tiene nuevas ides o se le ocurren cosas interesantes para hacer. 
Se siente a gusto en el proyecto y con el cliente. 
Le gustaría que en la empresa se generen más espacios de intercambios de ideas y formas de trabajar entre lo"&amp;"s Devs y la gente que este en el área de QA.	
En un futuro, cuando ya no pueda programar le gustaria pasarse al área de QA. ")</f>
        <v>Proyecto: el cliente siempre tiene nuevas ides o se le ocurren cosas interesantes para hacer. 
Se siente a gusto en el proyecto y con el cliente. 
Le gustaría que en la empresa se generen más espacios de intercambios de ideas y formas de trabajar entre los Devs y la gente que este en el área de QA.	
En un futuro, cuando ya no pueda programar le gustaria pasarse al área de QA. </v>
      </c>
      <c r="J94" s="4" t="str">
        <f>IFERROR(__xludf.DUMMYFUNCTION("""COMPUTED_VALUE"""),"PX|Referents|RRHH")</f>
        <v>PX|Referents|RRHH</v>
      </c>
    </row>
    <row r="95" hidden="1">
      <c r="A95" s="4">
        <f>IFERROR(__xludf.DUMMYFUNCTION("""COMPUTED_VALUE"""),304.0)</f>
        <v>304</v>
      </c>
      <c r="B95" s="4" t="str">
        <f>IFERROR(__xludf.DUMMYFUNCTION("""COMPUTED_VALUE"""),"andres.escorcia")</f>
        <v>andres.escorcia</v>
      </c>
      <c r="C95" s="5">
        <f>IFERROR(__xludf.DUMMYFUNCTION("""COMPUTED_VALUE"""),45006.58438518518)</f>
        <v>45006.58439</v>
      </c>
      <c r="D95" s="5">
        <f>IFERROR(__xludf.DUMMYFUNCTION("""COMPUTED_VALUE"""),45006.0)</f>
        <v>45006</v>
      </c>
      <c r="E95" s="4" t="str">
        <f>IFERROR(__xludf.DUMMYFUNCTION("""COMPUTED_VALUE"""),"jesica.petrauskas@patagoniansys.com")</f>
        <v>jesica.petrauskas@patagoniansys.com</v>
      </c>
      <c r="F95" s="4" t="str">
        <f>IFERROR(__xludf.DUMMYFUNCTION("""COMPUTED_VALUE"""),"andres.escorcia@patagoniansys.com")</f>
        <v>andres.escorcia@patagoniansys.com</v>
      </c>
      <c r="G95" s="4" t="str">
        <f>IFERROR(__xludf.DUMMYFUNCTION("""COMPUTED_VALUE"""),"⏱ One on One")</f>
        <v>⏱ One on One</v>
      </c>
      <c r="H95" s="4" t="str">
        <f>IFERROR(__xludf.DUMMYFUNCTION("""COMPUTED_VALUE"""),"🙂 Feliz")</f>
        <v>🙂 Feliz</v>
      </c>
      <c r="I95" s="6" t="str">
        <f>IFERROR(__xludf.DUMMYFUNCTION("""COMPUTED_VALUE"""),"Está conforme con el proyecto y con el equipo. Tiene incertidumbre sobre la continuidad porque el proyecto termina en breve y le gustaría saber qué sigue. Está pendiente de la 1:1 con RRHH. Le interesa la capacitación de azure. No tiene preferencia entre "&amp;"front y back para desarrollarse.")</f>
        <v>Está conforme con el proyecto y con el equipo. Tiene incertidumbre sobre la continuidad porque el proyecto termina en breve y le gustaría saber qué sigue. Está pendiente de la 1:1 con RRHH. Le interesa la capacitación de azure. No tiene preferencia entre front y back para desarrollarse.</v>
      </c>
      <c r="J95" s="4" t="str">
        <f>IFERROR(__xludf.DUMMYFUNCTION("""COMPUTED_VALUE"""),"PX|Referents|RRHH")</f>
        <v>PX|Referents|RRHH</v>
      </c>
    </row>
    <row r="96" hidden="1">
      <c r="A96" s="4">
        <f>IFERROR(__xludf.DUMMYFUNCTION("""COMPUTED_VALUE"""),248.0)</f>
        <v>248</v>
      </c>
      <c r="B96" s="4" t="str">
        <f>IFERROR(__xludf.DUMMYFUNCTION("""COMPUTED_VALUE"""),"geronimo.cornou")</f>
        <v>geronimo.cornou</v>
      </c>
      <c r="C96" s="5">
        <f>IFERROR(__xludf.DUMMYFUNCTION("""COMPUTED_VALUE"""),45008.725577233796)</f>
        <v>45008.72558</v>
      </c>
      <c r="D96" s="5">
        <f>IFERROR(__xludf.DUMMYFUNCTION("""COMPUTED_VALUE"""),45006.0)</f>
        <v>45006</v>
      </c>
      <c r="E96" s="4" t="str">
        <f>IFERROR(__xludf.DUMMYFUNCTION("""COMPUTED_VALUE"""),"micaela.zorzetto@patagoniansys.com")</f>
        <v>micaela.zorzetto@patagoniansys.com</v>
      </c>
      <c r="F96" s="4" t="str">
        <f>IFERROR(__xludf.DUMMYFUNCTION("""COMPUTED_VALUE"""),"geronimo.cornou@patagoniansys.com")</f>
        <v>geronimo.cornou@patagoniansys.com</v>
      </c>
      <c r="G96" s="4" t="str">
        <f>IFERROR(__xludf.DUMMYFUNCTION("""COMPUTED_VALUE"""),"⏱ One on One")</f>
        <v>⏱ One on One</v>
      </c>
      <c r="H96" s="4" t="str">
        <f>IFERROR(__xludf.DUMMYFUNCTION("""COMPUTED_VALUE"""),"🙂 Feliz")</f>
        <v>🙂 Feliz</v>
      </c>
      <c r="I96" s="6" t="str">
        <f>IFERROR(__xludf.DUMMYFUNCTION("""COMPUTED_VALUE"""),"Proyecto: excelente laburando en rhebus, Hernan es el PM. Está comodo siente que aporta, y le gusta como se trabaja. Desde hace un tiempo se esta empenzando a profesionalizar el área de QA, tiene un grupo en el cual charlan y se despejan dudas. 
Capacitac"&amp;"ión: le gustarua comenzar a llevar adelante su plan para se QA Automation, le gustaria que el plan de carrera sea como lo plantearon en el all hands, para que sea alcanzable. 
Se le comunico que pasa a ser a partir de Abril SSR en QA Manual, lo tomo muy "&amp;"bien y estaba agradecido porque se lo escucho y se le dió importancia a su planteo. ")</f>
        <v>Proyecto: excelente laburando en rhebus, Hernan es el PM. Está comodo siente que aporta, y le gusta como se trabaja. Desde hace un tiempo se esta empenzando a profesionalizar el área de QA, tiene un grupo en el cual charlan y se despejan dudas. 
Capacitación: le gustarua comenzar a llevar adelante su plan para se QA Automation, le gustaria que el plan de carrera sea como lo plantearon en el all hands, para que sea alcanzable. 
Se le comunico que pasa a ser a partir de Abril SSR en QA Manual, lo tomo muy bien y estaba agradecido porque se lo escucho y se le dió importancia a su planteo. </v>
      </c>
      <c r="J96" s="4" t="str">
        <f>IFERROR(__xludf.DUMMYFUNCTION("""COMPUTED_VALUE"""),"PX|Referents|RRHH")</f>
        <v>PX|Referents|RRHH</v>
      </c>
    </row>
    <row r="97" hidden="1">
      <c r="A97" s="4">
        <f>IFERROR(__xludf.DUMMYFUNCTION("""COMPUTED_VALUE"""),23.0)</f>
        <v>23</v>
      </c>
      <c r="B97" s="4" t="str">
        <f>IFERROR(__xludf.DUMMYFUNCTION("""COMPUTED_VALUE"""),"leonardo.buret")</f>
        <v>leonardo.buret</v>
      </c>
      <c r="C97" s="5">
        <f>IFERROR(__xludf.DUMMYFUNCTION("""COMPUTED_VALUE"""),45008.73510046296)</f>
        <v>45008.7351</v>
      </c>
      <c r="D97" s="5">
        <f>IFERROR(__xludf.DUMMYFUNCTION("""COMPUTED_VALUE"""),45006.0)</f>
        <v>45006</v>
      </c>
      <c r="E97" s="4" t="str">
        <f>IFERROR(__xludf.DUMMYFUNCTION("""COMPUTED_VALUE"""),"micaela.zorzetto@patagoniansys.com")</f>
        <v>micaela.zorzetto@patagoniansys.com</v>
      </c>
      <c r="F97" s="4" t="str">
        <f>IFERROR(__xludf.DUMMYFUNCTION("""COMPUTED_VALUE"""),"leonardo.buret@patagoniansys.com")</f>
        <v>leonardo.buret@patagoniansys.com</v>
      </c>
      <c r="G97" s="4" t="str">
        <f>IFERROR(__xludf.DUMMYFUNCTION("""COMPUTED_VALUE"""),"⏱ One on One")</f>
        <v>⏱ One on One</v>
      </c>
      <c r="H97" s="4" t="str">
        <f>IFERROR(__xludf.DUMMYFUNCTION("""COMPUTED_VALUE"""),"😐 Indiferente")</f>
        <v>😐 Indiferente</v>
      </c>
      <c r="I97" s="6" t="str">
        <f>IFERROR(__xludf.DUMMYFUNCTION("""COMPUTED_VALUE"""),"El día de ayer el cliente decidió sacarle todos los acceso a Leo, sin dar ninguna respuesta o explicación. Fue algo extraño y Leo no se sientió del todo bien, pero también entendía que el proyecto no estaba yendo para el lugar correcto, por la tecnología "&amp;"que se habia decidido utilizar. 
Esta a la espera de una nueva asignación, y mientras tiene este tiempo libre va a comenzar a capacitarse y aprender cosas nuevas. El todavia sigue algunas horas en Centriply. 
Me comenta que ya tiene ganas de ir dejando la"&amp;" programación y comenzar apuntar a un rol mas de lider. Sabe que no es de un día para otro, pero le gustaría comenzar a capacitarse para llegar a ese objetivo.
Va a comenzar las clases de inglés que dicta la empresa. ")</f>
        <v>El día de ayer el cliente decidió sacarle todos los acceso a Leo, sin dar ninguna respuesta o explicación. Fue algo extraño y Leo no se sientió del todo bien, pero también entendía que el proyecto no estaba yendo para el lugar correcto, por la tecnología que se habia decidido utilizar. 
Esta a la espera de una nueva asignación, y mientras tiene este tiempo libre va a comenzar a capacitarse y aprender cosas nuevas. El todavia sigue algunas horas en Centriply. 
Me comenta que ya tiene ganas de ir dejando la programación y comenzar apuntar a un rol mas de lider. Sabe que no es de un día para otro, pero le gustaría comenzar a capacitarse para llegar a ese objetivo.
Va a comenzar las clases de inglés que dicta la empresa. </v>
      </c>
      <c r="J97" s="4" t="str">
        <f>IFERROR(__xludf.DUMMYFUNCTION("""COMPUTED_VALUE"""),"PX|Referents|RRHH")</f>
        <v>PX|Referents|RRHH</v>
      </c>
    </row>
    <row r="98">
      <c r="A98" s="4">
        <f>IFERROR(__xludf.DUMMYFUNCTION("""COMPUTED_VALUE"""),41.0)</f>
        <v>41</v>
      </c>
      <c r="B98" s="4" t="str">
        <f>IFERROR(__xludf.DUMMYFUNCTION("""COMPUTED_VALUE"""),"ezequiel.cortes")</f>
        <v>ezequiel.cortes</v>
      </c>
      <c r="C98" s="5">
        <f>IFERROR(__xludf.DUMMYFUNCTION("""COMPUTED_VALUE"""),45007.64600041667)</f>
        <v>45007.646</v>
      </c>
      <c r="D98" s="5">
        <f>IFERROR(__xludf.DUMMYFUNCTION("""COMPUTED_VALUE"""),45007.0)</f>
        <v>45007</v>
      </c>
      <c r="E98" s="4" t="str">
        <f>IFERROR(__xludf.DUMMYFUNCTION("""COMPUTED_VALUE"""),"jorge.contreras@patagoniansys.com")</f>
        <v>jorge.contreras@patagoniansys.com</v>
      </c>
      <c r="F98" s="4" t="str">
        <f>IFERROR(__xludf.DUMMYFUNCTION("""COMPUTED_VALUE"""),"ezequiel.cortes@patagoniansys.com")</f>
        <v>ezequiel.cortes@patagoniansys.com</v>
      </c>
      <c r="G98" s="4" t="str">
        <f>IFERROR(__xludf.DUMMYFUNCTION("""COMPUTED_VALUE"""),"Referent One on One")</f>
        <v>Referent One on One</v>
      </c>
      <c r="H98" s="4"/>
      <c r="I98" s="6" t="str">
        <f>IFERROR(__xludf.DUMMYFUNCTION("""COMPUTED_VALUE"""),"- Interviewee e-Mail: ezequiel.cortes@patagoniansys.com
- Project Status Check: En el proyecto Overplay. No se necesita alguna ayuda.
- Project Changes | Notes: Salida por rotación
- Project Role | Feeling: 5
- Extra Work Hours | Amount: 0 (Ningúna)
- Tec"&amp;"hs | Research: Si, en la parte de arquitectura, como implementarlo. Mejorar performance con mongoose.
- Techs | Recomendations: Si, le estaba recomendando Redis para mejorar performance.
- Techs | Recomendations check: No hubo recomendación.
- Collaborato"&amp;"r | Seniority: 👍 No, es correcto
- Alerts: No, todo bien.
- Project Needs / Oportunities: Interés en cursos para mejorar performance de plataforma.
- Final notes: Todo bien por el momento.
- Project Techs | Learning: 2
- Techs | Research: 2
- Project Tec"&amp;"hs | Difficulty: 4
- Project Changes | Reasons: ⬇️ Reducción del equipo
- Project Changes | Personal Impact: 3
- Project Role | Value: 5
- Project role | Notes: Hubo un cambio, un desarrollador (Gonzalo Garro) está de vacaciones, pero hasta ahora, las tar"&amp;"eas están bien.")</f>
        <v>- Interviewee e-Mail: ezequiel.cortes@patagoniansys.com
- Project Status Check: En el proyecto Overplay. No se necesita alguna ayuda.
- Project Changes | Notes: Salida por rotación
- Project Role | Feeling: 5
- Extra Work Hours | Amount: 0 (Ningúna)
- Techs | Research: Si, en la parte de arquitectura, como implementarlo. Mejorar performance con mongoose.
- Techs | Recomendations: Si, le estaba recomendando Redis para mejorar performance.
- Techs | Recomendations check: No hubo recomendación.
- Collaborator | Seniority: 👍 No, es correcto
- Alerts: No, todo bien.
- Project Needs / Oportunities: Interés en cursos para mejorar performance de plataforma.
- Final notes: Todo bien por el momento.
- Project Techs | Learning: 2
- Techs | Research: 2
- Project Techs | Difficulty: 4
- Project Changes | Reasons: ⬇️ Reducción del equipo
- Project Changes | Personal Impact: 3
- Project Role | Value: 5
- Project role | Notes: Hubo un cambio, un desarrollador (Gonzalo Garro) está de vacaciones, pero hasta ahora, las tareas están bien.</v>
      </c>
      <c r="J98" s="4" t="str">
        <f>IFERROR(__xludf.DUMMYFUNCTION("""COMPUTED_VALUE"""),"Tech Referent - OneOnOne")</f>
        <v>Tech Referent - OneOnOne</v>
      </c>
    </row>
    <row r="99" hidden="1">
      <c r="A99" s="4">
        <f>IFERROR(__xludf.DUMMYFUNCTION("""COMPUTED_VALUE"""),224.0)</f>
        <v>224</v>
      </c>
      <c r="B99" s="4" t="str">
        <f>IFERROR(__xludf.DUMMYFUNCTION("""COMPUTED_VALUE"""),"luciano.fuentes")</f>
        <v>luciano.fuentes</v>
      </c>
      <c r="C99" s="5">
        <f>IFERROR(__xludf.DUMMYFUNCTION("""COMPUTED_VALUE"""),45008.72906017361)</f>
        <v>45008.72906</v>
      </c>
      <c r="D99" s="5">
        <f>IFERROR(__xludf.DUMMYFUNCTION("""COMPUTED_VALUE"""),45007.0)</f>
        <v>45007</v>
      </c>
      <c r="E99" s="4" t="str">
        <f>IFERROR(__xludf.DUMMYFUNCTION("""COMPUTED_VALUE"""),"micaela.zorzetto@patagoniansys.com")</f>
        <v>micaela.zorzetto@patagoniansys.com</v>
      </c>
      <c r="F99" s="4" t="str">
        <f>IFERROR(__xludf.DUMMYFUNCTION("""COMPUTED_VALUE"""),"luciano.fuentes@patagoniansys.com")</f>
        <v>luciano.fuentes@patagoniansys.com</v>
      </c>
      <c r="G99" s="4" t="str">
        <f>IFERROR(__xludf.DUMMYFUNCTION("""COMPUTED_VALUE"""),"⏱ One on One")</f>
        <v>⏱ One on One</v>
      </c>
      <c r="H99" s="4" t="str">
        <f>IFERROR(__xludf.DUMMYFUNCTION("""COMPUTED_VALUE"""),"🙂 Feliz")</f>
        <v>🙂 Feliz</v>
      </c>
      <c r="I99" s="6" t="str">
        <f>IFERROR(__xludf.DUMMYFUNCTION("""COMPUTED_VALUE"""),"Proyecto: viene bien, siempre trabajo con gente de patagonian, pero se sentia aislado. Se sumaron 4 de patagonian y eso hizo que la situación cambie. Le gusto viajar y conocer como es el funcionamiento de Halli, dice que eso le sirvió para entender un poc"&amp;"o más el proyecto. Tuvo que dar una presentación en inglés para global, la cual la pudo dar sin problemas y me comenta que las clases con juan hicieron que mejorara mucho su nivel en el idioma. 
Esta en el grupo de TL, toman decisiones tecnicas en el equi"&amp;"po, y le encanta formar parate de ese grupo porque aprende un montón de sus compañeros.
Con Benja esta haciendo un proyecto Web3. 
Le gustaria dar una charla, y ahora esta escribiendo un articulo.	")</f>
        <v>Proyecto: viene bien, siempre trabajo con gente de patagonian, pero se sentia aislado. Se sumaron 4 de patagonian y eso hizo que la situación cambie. Le gusto viajar y conocer como es el funcionamiento de Halli, dice que eso le sirvió para entender un poco más el proyecto. Tuvo que dar una presentación en inglés para global, la cual la pudo dar sin problemas y me comenta que las clases con juan hicieron que mejorara mucho su nivel en el idioma. 
Esta en el grupo de TL, toman decisiones tecnicas en el equipo, y le encanta formar parate de ese grupo porque aprende un montón de sus compañeros.
Con Benja esta haciendo un proyecto Web3. 
Le gustaria dar una charla, y ahora esta escribiendo un articulo.	</v>
      </c>
      <c r="J99" s="4" t="str">
        <f>IFERROR(__xludf.DUMMYFUNCTION("""COMPUTED_VALUE"""),"PX|Referents|RRHH")</f>
        <v>PX|Referents|RRHH</v>
      </c>
    </row>
    <row r="100" hidden="1">
      <c r="A100" s="4">
        <f>IFERROR(__xludf.DUMMYFUNCTION("""COMPUTED_VALUE"""),205.0)</f>
        <v>205</v>
      </c>
      <c r="B100" s="4" t="str">
        <f>IFERROR(__xludf.DUMMYFUNCTION("""COMPUTED_VALUE"""),"manuel.abruzzo")</f>
        <v>manuel.abruzzo</v>
      </c>
      <c r="C100" s="5">
        <f>IFERROR(__xludf.DUMMYFUNCTION("""COMPUTED_VALUE"""),45021.70499960648)</f>
        <v>45021.705</v>
      </c>
      <c r="D100" s="5">
        <f>IFERROR(__xludf.DUMMYFUNCTION("""COMPUTED_VALUE"""),45007.0)</f>
        <v>45007</v>
      </c>
      <c r="E100" s="4" t="str">
        <f>IFERROR(__xludf.DUMMYFUNCTION("""COMPUTED_VALUE"""),"micaela.zorzetto@patagoniansys.com")</f>
        <v>micaela.zorzetto@patagoniansys.com</v>
      </c>
      <c r="F100" s="4" t="str">
        <f>IFERROR(__xludf.DUMMYFUNCTION("""COMPUTED_VALUE"""),"manuel.abruzzo@patagoniansys.com")</f>
        <v>manuel.abruzzo@patagoniansys.com</v>
      </c>
      <c r="G100" s="4" t="str">
        <f>IFERROR(__xludf.DUMMYFUNCTION("""COMPUTED_VALUE"""),"⏱ One on One")</f>
        <v>⏱ One on One</v>
      </c>
      <c r="H100" s="4" t="str">
        <f>IFERROR(__xludf.DUMMYFUNCTION("""COMPUTED_VALUE"""),"🙂 Feliz")</f>
        <v>🙂 Feliz</v>
      </c>
      <c r="I100" s="6" t="str">
        <f>IFERROR(__xludf.DUMMYFUNCTION("""COMPUTED_VALUE"""),"Proyecto: esta a gusto con el proyecto y la tareas que el lleva a cabo. Hubo momentos en siempre tenia que volver atrás a corregir ciertos errores en el proyecto que se podían haber evitado, y eso lo desgastaba. En cuanto al equipo, se apoya mucho en Nata"&amp;"lia, y con el resto se lleva bien, considera que es un grupo que ya se maneja solo por la cantidad de tiempo que tiene el proyecto. 
Empresa: esta cómodo y contento, agradecido la posibilidad de crecimiento que Patagonian siempre le dió y le sigue haciend"&amp;"o. 
Capacitación: quiere prepararse para rendir la Certificación, esta esperando acomodarse en algunas cosas personales para empezar a prepararse. ")</f>
        <v>Proyecto: esta a gusto con el proyecto y la tareas que el lleva a cabo. Hubo momentos en siempre tenia que volver atrás a corregir ciertos errores en el proyecto que se podían haber evitado, y eso lo desgastaba. En cuanto al equipo, se apoya mucho en Natalia, y con el resto se lleva bien, considera que es un grupo que ya se maneja solo por la cantidad de tiempo que tiene el proyecto. 
Empresa: esta cómodo y contento, agradecido la posibilidad de crecimiento que Patagonian siempre le dió y le sigue haciendo. 
Capacitación: quiere prepararse para rendir la Certificación, esta esperando acomodarse en algunas cosas personales para empezar a prepararse. </v>
      </c>
      <c r="J100" s="4" t="str">
        <f>IFERROR(__xludf.DUMMYFUNCTION("""COMPUTED_VALUE"""),"PX|Referents|RRHH")</f>
        <v>PX|Referents|RRHH</v>
      </c>
    </row>
    <row r="101" hidden="1">
      <c r="A101" s="4">
        <f>IFERROR(__xludf.DUMMYFUNCTION("""COMPUTED_VALUE"""),272.0)</f>
        <v>272</v>
      </c>
      <c r="B101" s="4" t="str">
        <f>IFERROR(__xludf.DUMMYFUNCTION("""COMPUTED_VALUE"""),"santiago.grossi")</f>
        <v>santiago.grossi</v>
      </c>
      <c r="C101" s="5">
        <f>IFERROR(__xludf.DUMMYFUNCTION("""COMPUTED_VALUE"""),45021.72352689815)</f>
        <v>45021.72353</v>
      </c>
      <c r="D101" s="5">
        <f>IFERROR(__xludf.DUMMYFUNCTION("""COMPUTED_VALUE"""),45007.0)</f>
        <v>45007</v>
      </c>
      <c r="E101" s="4" t="str">
        <f>IFERROR(__xludf.DUMMYFUNCTION("""COMPUTED_VALUE"""),"micaela.zorzetto@patagoniansys.com")</f>
        <v>micaela.zorzetto@patagoniansys.com</v>
      </c>
      <c r="F101" s="4" t="str">
        <f>IFERROR(__xludf.DUMMYFUNCTION("""COMPUTED_VALUE"""),"santiago.grossi@patagoniansys.com")</f>
        <v>santiago.grossi@patagoniansys.com</v>
      </c>
      <c r="G101" s="4" t="str">
        <f>IFERROR(__xludf.DUMMYFUNCTION("""COMPUTED_VALUE"""),"⏱ One on One")</f>
        <v>⏱ One on One</v>
      </c>
      <c r="H101" s="4" t="str">
        <f>IFERROR(__xludf.DUMMYFUNCTION("""COMPUTED_VALUE"""),"🙂 Feliz")</f>
        <v>🙂 Feliz</v>
      </c>
      <c r="I101" s="6" t="str">
        <f>IFERROR(__xludf.DUMMYFUNCTION("""COMPUTED_VALUE"""),"Esta más tranquilo ya que puede continuar en el proyecto el BID, ya que él no queria rotar a otro. 
Con el cambio de PM, esta muy contento, me comentó que Jime sumo mucho. ")</f>
        <v>Esta más tranquilo ya que puede continuar en el proyecto el BID, ya que él no queria rotar a otro. 
Con el cambio de PM, esta muy contento, me comentó que Jime sumo mucho. </v>
      </c>
      <c r="J101" s="4" t="str">
        <f>IFERROR(__xludf.DUMMYFUNCTION("""COMPUTED_VALUE"""),"PX|Referents|RRHH")</f>
        <v>PX|Referents|RRHH</v>
      </c>
    </row>
    <row r="102" hidden="1">
      <c r="A102" s="4">
        <f>IFERROR(__xludf.DUMMYFUNCTION("""COMPUTED_VALUE"""),280.0)</f>
        <v>280</v>
      </c>
      <c r="B102" s="4" t="str">
        <f>IFERROR(__xludf.DUMMYFUNCTION("""COMPUTED_VALUE"""),"jose.flores")</f>
        <v>jose.flores</v>
      </c>
      <c r="C102" s="5">
        <f>IFERROR(__xludf.DUMMYFUNCTION("""COMPUTED_VALUE"""),45021.742637905096)</f>
        <v>45021.74264</v>
      </c>
      <c r="D102" s="5">
        <f>IFERROR(__xludf.DUMMYFUNCTION("""COMPUTED_VALUE"""),45007.0)</f>
        <v>45007</v>
      </c>
      <c r="E102" s="4" t="str">
        <f>IFERROR(__xludf.DUMMYFUNCTION("""COMPUTED_VALUE"""),"micaela.zorzetto@patagoniansys.com")</f>
        <v>micaela.zorzetto@patagoniansys.com</v>
      </c>
      <c r="F102" s="4" t="str">
        <f>IFERROR(__xludf.DUMMYFUNCTION("""COMPUTED_VALUE"""),"jose.flores@patagoniansys.com")</f>
        <v>jose.flores@patagoniansys.com</v>
      </c>
      <c r="G102" s="4" t="str">
        <f>IFERROR(__xludf.DUMMYFUNCTION("""COMPUTED_VALUE"""),"⏱ One on One")</f>
        <v>⏱ One on One</v>
      </c>
      <c r="H102" s="4" t="str">
        <f>IFERROR(__xludf.DUMMYFUNCTION("""COMPUTED_VALUE"""),"🙂 Feliz")</f>
        <v>🙂 Feliz</v>
      </c>
      <c r="I102" s="6" t="str">
        <f>IFERROR(__xludf.DUMMYFUNCTION("""COMPUTED_VALUE"""),"Lo cambiaron de proyecto a Halli. Esta aprendiendo tecnologias nuevas y trabajando con sensores el cual, es un trabajo movido e interesante de aprender. Fue muy bien recibido por las personas de Patagonian que ya estaban en halli Luciano Fuentes y Victor "&amp;"Abitu, y le gusta estar en contacto y laburando con gente de Patagonian. 
Esta a gusto con la filosofia de la empresa, y la posibilidad de trabajar desde cualquier lugar sin tener que ir obligado a una oficina. Eso lo valora mucho.")</f>
        <v>Lo cambiaron de proyecto a Halli. Esta aprendiendo tecnologias nuevas y trabajando con sensores el cual, es un trabajo movido e interesante de aprender. Fue muy bien recibido por las personas de Patagonian que ya estaban en halli Luciano Fuentes y Victor Abitu, y le gusta estar en contacto y laburando con gente de Patagonian. 
Esta a gusto con la filosofia de la empresa, y la posibilidad de trabajar desde cualquier lugar sin tener que ir obligado a una oficina. Eso lo valora mucho.</v>
      </c>
      <c r="J102" s="4" t="str">
        <f>IFERROR(__xludf.DUMMYFUNCTION("""COMPUTED_VALUE"""),"PX|Referents|RRHH")</f>
        <v>PX|Referents|RRHH</v>
      </c>
    </row>
    <row r="103" hidden="1">
      <c r="A103" s="4">
        <f>IFERROR(__xludf.DUMMYFUNCTION("""COMPUTED_VALUE"""),183.0)</f>
        <v>183</v>
      </c>
      <c r="B103" s="4" t="str">
        <f>IFERROR(__xludf.DUMMYFUNCTION("""COMPUTED_VALUE"""),"santiago.avila")</f>
        <v>santiago.avila</v>
      </c>
      <c r="C103" s="5">
        <f>IFERROR(__xludf.DUMMYFUNCTION("""COMPUTED_VALUE"""),45028.4343095949)</f>
        <v>45028.43431</v>
      </c>
      <c r="D103" s="5">
        <f>IFERROR(__xludf.DUMMYFUNCTION("""COMPUTED_VALUE"""),45007.0)</f>
        <v>45007</v>
      </c>
      <c r="E103" s="4" t="str">
        <f>IFERROR(__xludf.DUMMYFUNCTION("""COMPUTED_VALUE"""),"diana.grajales@patagoniansys.com")</f>
        <v>diana.grajales@patagoniansys.com</v>
      </c>
      <c r="F103" s="4" t="str">
        <f>IFERROR(__xludf.DUMMYFUNCTION("""COMPUTED_VALUE"""),"santiago.avila@patagoniansys.com")</f>
        <v>santiago.avila@patagoniansys.com</v>
      </c>
      <c r="G103" s="4" t="str">
        <f>IFERROR(__xludf.DUMMYFUNCTION("""COMPUTED_VALUE"""),"👋 RRHH")</f>
        <v>👋 RRHH</v>
      </c>
      <c r="H103" s="4" t="str">
        <f>IFERROR(__xludf.DUMMYFUNCTION("""COMPUTED_VALUE"""),"🙂 Feliz")</f>
        <v>🙂 Feliz</v>
      </c>
      <c r="I103" s="6" t="str">
        <f>IFERROR(__xludf.DUMMYFUNCTION("""COMPUTED_VALUE"""),"Santiago se siente muy agusto con su proyecto  en BFA le parece una empresa muy organizada. 
En donde el esta agregando valor a procesos ya previamente establecidos 
Con Patagonian siempre se ha sentido a gusto, si le gustaria ver un aumento salarial. 
")</f>
        <v>Santiago se siente muy agusto con su proyecto  en BFA le parece una empresa muy organizada. 
En donde el esta agregando valor a procesos ya previamente establecidos 
Con Patagonian siempre se ha sentido a gusto, si le gustaria ver un aumento salarial. 
</v>
      </c>
      <c r="J103" s="4" t="str">
        <f>IFERROR(__xludf.DUMMYFUNCTION("""COMPUTED_VALUE"""),"PX|Referents|RRHH")</f>
        <v>PX|Referents|RRHH</v>
      </c>
    </row>
    <row r="104">
      <c r="A104" s="4">
        <f>IFERROR(__xludf.DUMMYFUNCTION("""COMPUTED_VALUE"""),201.0)</f>
        <v>201</v>
      </c>
      <c r="B104" s="4" t="str">
        <f>IFERROR(__xludf.DUMMYFUNCTION("""COMPUTED_VALUE"""),"daniel.cardenas")</f>
        <v>daniel.cardenas</v>
      </c>
      <c r="C104" s="5">
        <f>IFERROR(__xludf.DUMMYFUNCTION("""COMPUTED_VALUE"""),45008.58014351852)</f>
        <v>45008.58014</v>
      </c>
      <c r="D104" s="5">
        <f>IFERROR(__xludf.DUMMYFUNCTION("""COMPUTED_VALUE"""),45008.0)</f>
        <v>45008</v>
      </c>
      <c r="E104" s="4" t="str">
        <f>IFERROR(__xludf.DUMMYFUNCTION("""COMPUTED_VALUE"""),"edgar.bonilla@patagoniansys.com")</f>
        <v>edgar.bonilla@patagoniansys.com</v>
      </c>
      <c r="F104" s="4" t="str">
        <f>IFERROR(__xludf.DUMMYFUNCTION("""COMPUTED_VALUE"""),"daniel.cardenas@patagoniansys.com")</f>
        <v>daniel.cardenas@patagoniansys.com</v>
      </c>
      <c r="G104" s="4" t="str">
        <f>IFERROR(__xludf.DUMMYFUNCTION("""COMPUTED_VALUE"""),"Referent One on One")</f>
        <v>Referent One on One</v>
      </c>
      <c r="H104" s="4"/>
      <c r="I104" s="6" t="str">
        <f>IFERROR(__xludf.DUMMYFUNCTION("""COMPUTED_VALUE"""),"- Interviewee e-Mail: daniel.cardenas@patagoniansys.com
- Project Status Check: Ha sido un cambio drástico ya que venía trabajando netamente en Mobile (React Native) y ahora está trabajando en web (Angular) en una tecnología que no conoce y sin una metodo"&amp;"logía específica definida, o sprints.
- Project Changes | Notes: Al Mundo decidió cerrar la app Mobile completamente para enfocarse sólo en la plataforma web. Por esta razón los devs Mobile están un poco a la deriva mientras del lado de Al Mundo deciden q"&amp;"ué hacer. Por ahora los tienen colaborando en tareas de front-end pero no dentro de una metodología específica como se trabajaba en mobile ni tampoco con un TL o PM bien definido.
- Project Role | Feeling: 4
- Extra Work Hours | Amount: 0 (Ningúna)
- Tech"&amp;"s | Research: Angular, Herramientas de AI
- Collaborator | Seniority: 👍 No, es correcto
- Alerts: El cambio que hubo en Al Mundo le provocó al inicio un poco de desmotivación, sin embargo, ahora se encuentra a gusto aprendiendo una nueva tecnología. Pero"&amp;" sí tiene en su cabeza querer trabajar en un nuevo proyecto dentro de Pata, siente que quizás en Al Mundo ya cumplió su ciclo y le gustaría probar algún proyecto o cliente nuevo, preferiblemente que sea algo ""disruptivo"" o que integre AI de alguna maner"&amp;"a.
En general manifiesta que con Patagonian en sí se siente muy a gusto.
- Project Needs / Oportunities: Le gustaría probar algún proyecto o cliente nuevo, preferiblemente que sea algo ""disruptivo"" o que integre AI de alguna manera, ya que siente que es"&amp;"te cambio en Al Mundo es una buena oportunidad para un cambio en él.
- Project Techs | Learning: 20
- Techs | Research: 20
- Project Techs | Difficulty: 2
- Project Changes | Reasons: 🔀 Cambio de roles dentro del equipo, 🏁 Cambios en los objetivos, ⏱ Ca"&amp;"mbios en la forma de planificar las tareas y tiempos, 💻 Cambios en la manera de desarrollar
- Project Changes | Personal Impact: 4
- Project Role | Value: 4
- Project role | Notes: A pesar de que sus funciones han cambiando drásticamente, lo ve como una "&amp;"oportunidad para aprender cosas nuevas y un punto bueno es que del lado del cliente entienden que no sabe mucho de la tecnología (Angular) y no ejercen presión con los tiempos y o entregables.")</f>
        <v>- Interviewee e-Mail: daniel.cardenas@patagoniansys.com
- Project Status Check: Ha sido un cambio drástico ya que venía trabajando netamente en Mobile (React Native) y ahora está trabajando en web (Angular) en una tecnología que no conoce y sin una metodología específica definida, o sprints.
- Project Changes | Notes: Al Mundo decidió cerrar la app Mobile completamente para enfocarse sólo en la plataforma web. Por esta razón los devs Mobile están un poco a la deriva mientras del lado de Al Mundo deciden qué hacer. Por ahora los tienen colaborando en tareas de front-end pero no dentro de una metodología específica como se trabajaba en mobile ni tampoco con un TL o PM bien definido.
- Project Role | Feeling: 4
- Extra Work Hours | Amount: 0 (Ningúna)
- Techs | Research: Angular, Herramientas de AI
- Collaborator | Seniority: 👍 No, es correcto
- Alerts: El cambio que hubo en Al Mundo le provocó al inicio un poco de desmotivación, sin embargo, ahora se encuentra a gusto aprendiendo una nueva tecnología. Pero sí tiene en su cabeza querer trabajar en un nuevo proyecto dentro de Pata, siente que quizás en Al Mundo ya cumplió su ciclo y le gustaría probar algún proyecto o cliente nuevo, preferiblemente que sea algo "disruptivo" o que integre AI de alguna manera.
En general manifiesta que con Patagonian en sí se siente muy a gusto.
- Project Needs / Oportunities: Le gustaría probar algún proyecto o cliente nuevo, preferiblemente que sea algo "disruptivo" o que integre AI de alguna manera, ya que siente que este cambio en Al Mundo es una buena oportunidad para un cambio en él.
- Project Techs | Learning: 20
- Techs | Research: 20
- Project Techs | Difficulty: 2
- Project Changes | Reasons: 🔀 Cambio de roles dentro del equipo, 🏁 Cambios en los objetivos, ⏱ Cambios en la forma de planificar las tareas y tiempos, 💻 Cambios en la manera de desarrollar
- Project Changes | Personal Impact: 4
- Project Role | Value: 4
- Project role | Notes: A pesar de que sus funciones han cambiando drásticamente, lo ve como una oportunidad para aprender cosas nuevas y un punto bueno es que del lado del cliente entienden que no sabe mucho de la tecnología (Angular) y no ejercen presión con los tiempos y o entregables.</v>
      </c>
      <c r="J104" s="4" t="str">
        <f>IFERROR(__xludf.DUMMYFUNCTION("""COMPUTED_VALUE"""),"Tech Referent - OneOnOne")</f>
        <v>Tech Referent - OneOnOne</v>
      </c>
    </row>
    <row r="105" hidden="1">
      <c r="A105" s="4">
        <f>IFERROR(__xludf.DUMMYFUNCTION("""COMPUTED_VALUE"""),247.0)</f>
        <v>247</v>
      </c>
      <c r="B105" s="4" t="str">
        <f>IFERROR(__xludf.DUMMYFUNCTION("""COMPUTED_VALUE"""),"isabel.yepes")</f>
        <v>isabel.yepes</v>
      </c>
      <c r="C105" s="5">
        <f>IFERROR(__xludf.DUMMYFUNCTION("""COMPUTED_VALUE"""),45028.41914479167)</f>
        <v>45028.41914</v>
      </c>
      <c r="D105" s="5">
        <f>IFERROR(__xludf.DUMMYFUNCTION("""COMPUTED_VALUE"""),45008.0)</f>
        <v>45008</v>
      </c>
      <c r="E105" s="4" t="str">
        <f>IFERROR(__xludf.DUMMYFUNCTION("""COMPUTED_VALUE"""),"diana.grajales@patagoniansys.com")</f>
        <v>diana.grajales@patagoniansys.com</v>
      </c>
      <c r="F105" s="4" t="str">
        <f>IFERROR(__xludf.DUMMYFUNCTION("""COMPUTED_VALUE"""),"isabel.yepes@patagoniansys.com")</f>
        <v>isabel.yepes@patagoniansys.com</v>
      </c>
      <c r="G105" s="4" t="str">
        <f>IFERROR(__xludf.DUMMYFUNCTION("""COMPUTED_VALUE"""),"👋 RRHH")</f>
        <v>👋 RRHH</v>
      </c>
      <c r="H105" s="4" t="str">
        <f>IFERROR(__xludf.DUMMYFUNCTION("""COMPUTED_VALUE"""),"🙂 Feliz")</f>
        <v>🙂 Feliz</v>
      </c>
      <c r="I105" s="6" t="str">
        <f>IFERROR(__xludf.DUMMYFUNCTION("""COMPUTED_VALUE""")," Esta muy contecta en su nuevo proyecto de Connect America y esta inicando con nueva PM. Si le gustaria tomar un proyecto en Automation ya que mucho de lo que esta haciendo es en Manual. 
")</f>
        <v> Esta muy contecta en su nuevo proyecto de Connect America y esta inicando con nueva PM. Si le gustaria tomar un proyecto en Automation ya que mucho de lo que esta haciendo es en Manual. 
</v>
      </c>
      <c r="J105" s="4" t="str">
        <f>IFERROR(__xludf.DUMMYFUNCTION("""COMPUTED_VALUE"""),"PX|Referents|RRHH")</f>
        <v>PX|Referents|RRHH</v>
      </c>
    </row>
    <row r="106" hidden="1">
      <c r="A106" s="4">
        <f>IFERROR(__xludf.DUMMYFUNCTION("""COMPUTED_VALUE"""),146.0)</f>
        <v>146</v>
      </c>
      <c r="B106" s="4" t="str">
        <f>IFERROR(__xludf.DUMMYFUNCTION("""COMPUTED_VALUE"""),"juan.martinezrios")</f>
        <v>juan.martinezrios</v>
      </c>
      <c r="C106" s="5">
        <f>IFERROR(__xludf.DUMMYFUNCTION("""COMPUTED_VALUE"""),45028.5235721412)</f>
        <v>45028.52357</v>
      </c>
      <c r="D106" s="5">
        <f>IFERROR(__xludf.DUMMYFUNCTION("""COMPUTED_VALUE"""),45008.0)</f>
        <v>45008</v>
      </c>
      <c r="E106" s="4" t="str">
        <f>IFERROR(__xludf.DUMMYFUNCTION("""COMPUTED_VALUE"""),"jimena.gutierrez@patagoniansys.com")</f>
        <v>jimena.gutierrez@patagoniansys.com</v>
      </c>
      <c r="F106" s="4" t="str">
        <f>IFERROR(__xludf.DUMMYFUNCTION("""COMPUTED_VALUE"""),"juan.martinezrios@patagoniansys.com")</f>
        <v>juan.martinezrios@patagoniansys.com</v>
      </c>
      <c r="G106" s="4" t="str">
        <f>IFERROR(__xludf.DUMMYFUNCTION("""COMPUTED_VALUE"""),"⏱ One on One")</f>
        <v>⏱ One on One</v>
      </c>
      <c r="H106" s="4" t="str">
        <f>IFERROR(__xludf.DUMMYFUNCTION("""COMPUTED_VALUE"""),"🙂 Feliz")</f>
        <v>🙂 Feliz</v>
      </c>
      <c r="I106" s="6" t="str">
        <f>IFERROR(__xludf.DUMMYFUNCTION("""COMPUTED_VALUE"""),"Se encontraba en proceso de paso de ser Contractor a ser parte de planta de Patagonian por lo cual estaba muy contento. Solicitó la posibilidad de que le asignen una Mac ya que por su tipo de contrato actualmente estaba utilizando su maquina personal. Se "&amp;"realizó el pedido junto con RRHH. Respecto al proceso de cambio de contratación sintió que fue vertiginoso y hubo en varias ocaciones falta de comunicación de parte de RRHH. 
Por el lado del proyecto ha recibido feedback positivo de su TL (Almundo) ")</f>
        <v>Se encontraba en proceso de paso de ser Contractor a ser parte de planta de Patagonian por lo cual estaba muy contento. Solicitó la posibilidad de que le asignen una Mac ya que por su tipo de contrato actualmente estaba utilizando su maquina personal. Se realizó el pedido junto con RRHH. Respecto al proceso de cambio de contratación sintió que fue vertiginoso y hubo en varias ocaciones falta de comunicación de parte de RRHH. 
Por el lado del proyecto ha recibido feedback positivo de su TL (Almundo) </v>
      </c>
      <c r="J106" s="4" t="str">
        <f>IFERROR(__xludf.DUMMYFUNCTION("""COMPUTED_VALUE"""),"PX|Referents|RRHH")</f>
        <v>PX|Referents|RRHH</v>
      </c>
    </row>
    <row r="107">
      <c r="A107" s="4">
        <f>IFERROR(__xludf.DUMMYFUNCTION("""COMPUTED_VALUE"""),297.0)</f>
        <v>297</v>
      </c>
      <c r="B107" s="4" t="str">
        <f>IFERROR(__xludf.DUMMYFUNCTION("""COMPUTED_VALUE"""),"charly.palencia")</f>
        <v>charly.palencia</v>
      </c>
      <c r="C107" s="5">
        <f>IFERROR(__xludf.DUMMYFUNCTION("""COMPUTED_VALUE"""),45012.51402995371)</f>
        <v>45012.51403</v>
      </c>
      <c r="D107" s="5">
        <f>IFERROR(__xludf.DUMMYFUNCTION("""COMPUTED_VALUE"""),45012.0)</f>
        <v>45012</v>
      </c>
      <c r="E107" s="4" t="str">
        <f>IFERROR(__xludf.DUMMYFUNCTION("""COMPUTED_VALUE"""),"pablo.gomez@patagoniansys.com")</f>
        <v>pablo.gomez@patagoniansys.com</v>
      </c>
      <c r="F107" s="4" t="str">
        <f>IFERROR(__xludf.DUMMYFUNCTION("""COMPUTED_VALUE"""),"charly.palencia@patagoniansys.com")</f>
        <v>charly.palencia@patagoniansys.com</v>
      </c>
      <c r="G107" s="4" t="str">
        <f>IFERROR(__xludf.DUMMYFUNCTION("""COMPUTED_VALUE"""),"Referent One on One")</f>
        <v>Referent One on One</v>
      </c>
      <c r="H107" s="4"/>
      <c r="I107" s="6" t="str">
        <f>IFERROR(__xludf.DUMMYFUNCTION("""COMPUTED_VALUE"""),"- Interviewee e-Mail: charly.palencia@patagoniansys.com
- Project Status Check: Está trabajando en Forge Intelligence PRO: nueva sección para que usuarios puedan crear nuevas indicaciones de interés. Backend.
- Project Changes | Notes: Siente que hay poco"&amp;" trabajo de Backend (su especialidad).
- Project Role | Feeling: 4
- Extra Work Hours | Amount: 0 (Ningúna)
- Techs | Research: Typescript.
- Collaborator | Seniority: 👍 No, es correcto
- Final notes: Lo veo muy bien a Charly, con ganas de aportar su gra"&amp;"nito de arena y con una visión interesante sobre su rol en el proyecto.
- Project Techs | Learning: 24
- Techs | Research: 24
- Project Techs | Difficulty: 4
- Project Changes | Reasons: 🟰 No hubo cambios, Único cambio: no hay nadie técnico además de él "&amp;"y Tim.
- Project Changes | Personal Impact: 2
- Project Role | Value: 4
- Project role | Notes: Está contento con el proyecto.")</f>
        <v>- Interviewee e-Mail: charly.palencia@patagoniansys.com
- Project Status Check: Está trabajando en Forge Intelligence PRO: nueva sección para que usuarios puedan crear nuevas indicaciones de interés. Backend.
- Project Changes | Notes: Siente que hay poco trabajo de Backend (su especialidad).
- Project Role | Feeling: 4
- Extra Work Hours | Amount: 0 (Ningúna)
- Techs | Research: Typescript.
- Collaborator | Seniority: 👍 No, es correcto
- Final notes: Lo veo muy bien a Charly, con ganas de aportar su granito de arena y con una visión interesante sobre su rol en el proyecto.
- Project Techs | Learning: 24
- Techs | Research: 24
- Project Techs | Difficulty: 4
- Project Changes | Reasons: 🟰 No hubo cambios, Único cambio: no hay nadie técnico además de él y Tim.
- Project Changes | Personal Impact: 2
- Project Role | Value: 4
- Project role | Notes: Está contento con el proyecto.</v>
      </c>
      <c r="J107" s="4" t="str">
        <f>IFERROR(__xludf.DUMMYFUNCTION("""COMPUTED_VALUE"""),"Tech Referent - OneOnOne")</f>
        <v>Tech Referent - OneOnOne</v>
      </c>
    </row>
    <row r="108">
      <c r="A108" s="4">
        <f>IFERROR(__xludf.DUMMYFUNCTION("""COMPUTED_VALUE"""),185.0)</f>
        <v>185</v>
      </c>
      <c r="B108" s="4" t="str">
        <f>IFERROR(__xludf.DUMMYFUNCTION("""COMPUTED_VALUE"""),"carla.castiglia")</f>
        <v>carla.castiglia</v>
      </c>
      <c r="C108" s="5">
        <f>IFERROR(__xludf.DUMMYFUNCTION("""COMPUTED_VALUE"""),45013.49252325232)</f>
        <v>45013.49252</v>
      </c>
      <c r="D108" s="5">
        <f>IFERROR(__xludf.DUMMYFUNCTION("""COMPUTED_VALUE"""),45013.0)</f>
        <v>45013</v>
      </c>
      <c r="E108" s="4" t="str">
        <f>IFERROR(__xludf.DUMMYFUNCTION("""COMPUTED_VALUE"""),"juan.calou@patagoniansys.com")</f>
        <v>juan.calou@patagoniansys.com</v>
      </c>
      <c r="F108" s="4" t="str">
        <f>IFERROR(__xludf.DUMMYFUNCTION("""COMPUTED_VALUE"""),"carla.castiglia@patagoniansys.com")</f>
        <v>carla.castiglia@patagoniansys.com</v>
      </c>
      <c r="G108" s="4" t="str">
        <f>IFERROR(__xludf.DUMMYFUNCTION("""COMPUTED_VALUE"""),"Initial gathering")</f>
        <v>Initial gathering</v>
      </c>
      <c r="H108" s="4"/>
      <c r="I108" s="6" t="str">
        <f>IFERROR(__xludf.DUMMYFUNCTION("""COMPUTED_VALUE"""),"- Interviewee e-Mail: carla.castiglia@patagoniansys.com
- Project name: Almundo
- Project | Role: Backend Developer, Frontend Developer
- Project | Description: Es un backoffice que se encarga de resolver tareas manuales de carritos que entran por error.
"&amp;"- Project | technologies: Node entre 10 y 12, Angular 9 (migrando a 12)
- Happiness in project technology: 🙂 Feliz
- Happiness in project technology | Description: Esta contenta
- Project | The best/coolest thing: Vas aprendiendo cosas nuevas. Aprendio m"&amp;"icrofont con dependencias. Algunas cosas de Node.
- Project | The worst thing: Cosas que son viejas o desactualizadas, poca documentacion. 
- Project | Improvements: Meter mas documentacion. Comunicacion.
- Team | TL: Pablo Benavende (Almundo)
- Team | PX"&amp;": Jimena Gutierrez
- Team | QA: 0
- Team | QA Automation: 👎 No
- Team | QA | Notes: No tienen.
- Team | UI/UX: 1
- Team | UI/UX | Notes: Nico. Bastante bien. Es de Almundo
- Team | DevOps: 👀 Otra situación
- Team | DevOps | Notes: Equipo de cloud de Alm"&amp;"undo. Resuelve dudas. Son medio lentos.
- Team | Data Engineer: 0")</f>
        <v>- Interviewee e-Mail: carla.castiglia@patagoniansys.com
- Project name: Almundo
- Project | Role: Backend Developer, Frontend Developer
- Project | Description: Es un backoffice que se encarga de resolver tareas manuales de carritos que entran por error.
- Project | technologies: Node entre 10 y 12, Angular 9 (migrando a 12)
- Happiness in project technology: 🙂 Feliz
- Happiness in project technology | Description: Esta contenta
- Project | The best/coolest thing: Vas aprendiendo cosas nuevas. Aprendio microfont con dependencias. Algunas cosas de Node.
- Project | The worst thing: Cosas que son viejas o desactualizadas, poca documentacion. 
- Project | Improvements: Meter mas documentacion. Comunicacion.
- Team | TL: Pablo Benavende (Almundo)
- Team | PX: Jimena Gutierrez
- Team | QA: 0
- Team | QA Automation: 👎 No
- Team | QA | Notes: No tienen.
- Team | UI/UX: 1
- Team | UI/UX | Notes: Nico. Bastante bien. Es de Almundo
- Team | DevOps: 👀 Otra situación
- Team | DevOps | Notes: Equipo de cloud de Almundo. Resuelve dudas. Son medio lentos.
- Team | Data Engineer: 0</v>
      </c>
      <c r="J108" s="4" t="str">
        <f>IFERROR(__xludf.DUMMYFUNCTION("""COMPUTED_VALUE"""),"Tech Referent - Initial gathering")</f>
        <v>Tech Referent - Initial gathering</v>
      </c>
    </row>
    <row r="109" hidden="1">
      <c r="A109" s="4">
        <f>IFERROR(__xludf.DUMMYFUNCTION("""COMPUTED_VALUE"""),146.0)</f>
        <v>146</v>
      </c>
      <c r="B109" s="4" t="str">
        <f>IFERROR(__xludf.DUMMYFUNCTION("""COMPUTED_VALUE"""),"juan.martinezrios")</f>
        <v>juan.martinezrios</v>
      </c>
      <c r="C109" s="5">
        <f>IFERROR(__xludf.DUMMYFUNCTION("""COMPUTED_VALUE"""),45028.4726712037)</f>
        <v>45028.47267</v>
      </c>
      <c r="D109" s="5">
        <f>IFERROR(__xludf.DUMMYFUNCTION("""COMPUTED_VALUE"""),45013.0)</f>
        <v>45013</v>
      </c>
      <c r="E109" s="4" t="str">
        <f>IFERROR(__xludf.DUMMYFUNCTION("""COMPUTED_VALUE"""),"diana.grajales@patagoniansys.com")</f>
        <v>diana.grajales@patagoniansys.com</v>
      </c>
      <c r="F109" s="4" t="str">
        <f>IFERROR(__xludf.DUMMYFUNCTION("""COMPUTED_VALUE"""),"juan.martinezrios@patagoniansys.com")</f>
        <v>juan.martinezrios@patagoniansys.com</v>
      </c>
      <c r="G109" s="4" t="str">
        <f>IFERROR(__xludf.DUMMYFUNCTION("""COMPUTED_VALUE"""),"👋 RRHH")</f>
        <v>👋 RRHH</v>
      </c>
      <c r="H109" s="4" t="str">
        <f>IFERROR(__xludf.DUMMYFUNCTION("""COMPUTED_VALUE"""),"🙂 Feliz")</f>
        <v>🙂 Feliz</v>
      </c>
      <c r="I109" s="6" t="str">
        <f>IFERROR(__xludf.DUMMYFUNCTION("""COMPUTED_VALUE"""),"Le hace muy feliz ya ser un empleado de tiempo completo de Pata. 
Proyecto: Se siente muy bien en su proyecto, siente que esta aplicando su conocimiento tecnico y aprendiendo")</f>
        <v>Le hace muy feliz ya ser un empleado de tiempo completo de Pata. 
Proyecto: Se siente muy bien en su proyecto, siente que esta aplicando su conocimiento tecnico y aprendiendo</v>
      </c>
      <c r="J109" s="4" t="str">
        <f>IFERROR(__xludf.DUMMYFUNCTION("""COMPUTED_VALUE"""),"PX|Referents|RRHH")</f>
        <v>PX|Referents|RRHH</v>
      </c>
    </row>
    <row r="110" hidden="1">
      <c r="A110" s="4">
        <f>IFERROR(__xludf.DUMMYFUNCTION("""COMPUTED_VALUE"""),273.0)</f>
        <v>273</v>
      </c>
      <c r="B110" s="4" t="str">
        <f>IFERROR(__xludf.DUMMYFUNCTION("""COMPUTED_VALUE"""),"laura.oviedo")</f>
        <v>laura.oviedo</v>
      </c>
      <c r="C110" s="5">
        <f>IFERROR(__xludf.DUMMYFUNCTION("""COMPUTED_VALUE"""),45021.751990428245)</f>
        <v>45021.75199</v>
      </c>
      <c r="D110" s="5">
        <f>IFERROR(__xludf.DUMMYFUNCTION("""COMPUTED_VALUE"""),45014.0)</f>
        <v>45014</v>
      </c>
      <c r="E110" s="4" t="str">
        <f>IFERROR(__xludf.DUMMYFUNCTION("""COMPUTED_VALUE"""),"micaela.zorzetto@patagoniansys.com")</f>
        <v>micaela.zorzetto@patagoniansys.com</v>
      </c>
      <c r="F110" s="4" t="str">
        <f>IFERROR(__xludf.DUMMYFUNCTION("""COMPUTED_VALUE"""),"laura.oviedo@patagoniansys.com")</f>
        <v>laura.oviedo@patagoniansys.com</v>
      </c>
      <c r="G110" s="4" t="str">
        <f>IFERROR(__xludf.DUMMYFUNCTION("""COMPUTED_VALUE"""),"⏱ One on One")</f>
        <v>⏱ One on One</v>
      </c>
      <c r="H110" s="4" t="str">
        <f>IFERROR(__xludf.DUMMYFUNCTION("""COMPUTED_VALUE"""),"🙂 Feliz")</f>
        <v>🙂 Feliz</v>
      </c>
      <c r="I110" s="6" t="str">
        <f>IFERROR(__xludf.DUMMYFUNCTION("""COMPUTED_VALUE"""),"Proyecto: Hace poco que entro a trabajar en Halliburton, es su primera experiencia trabajando con un cliente y teniendo contacto directo, ella viene de la rama de la publicidad. Lo unico que no le gusta del cliente, es que es muy controlador, piensan que "&amp;"si no estas en una reunión las personas no trabajan, y las diferencias horarias con el resto del equipo.
Esta llevando todo lo que aprendió a la practica.
Capacitación: esta interesada en saber que camino debe seguir para ser recategorizada, en el plan de"&amp;" carrera.
Empresa: esta contenta con todo el equipo y la flexibilidad de la empresa.")</f>
        <v>Proyecto: Hace poco que entro a trabajar en Halliburton, es su primera experiencia trabajando con un cliente y teniendo contacto directo, ella viene de la rama de la publicidad. Lo unico que no le gusta del cliente, es que es muy controlador, piensan que si no estas en una reunión las personas no trabajan, y las diferencias horarias con el resto del equipo.
Esta llevando todo lo que aprendió a la practica.
Capacitación: esta interesada en saber que camino debe seguir para ser recategorizada, en el plan de carrera.
Empresa: esta contenta con todo el equipo y la flexibilidad de la empresa.</v>
      </c>
      <c r="J110" s="4" t="str">
        <f>IFERROR(__xludf.DUMMYFUNCTION("""COMPUTED_VALUE"""),"PX|Referents|RRHH")</f>
        <v>PX|Referents|RRHH</v>
      </c>
    </row>
    <row r="111" hidden="1">
      <c r="A111" s="4">
        <f>IFERROR(__xludf.DUMMYFUNCTION("""COMPUTED_VALUE"""),190.0)</f>
        <v>190</v>
      </c>
      <c r="B111" s="4" t="str">
        <f>IFERROR(__xludf.DUMMYFUNCTION("""COMPUTED_VALUE"""),"santiago.cendra")</f>
        <v>santiago.cendra</v>
      </c>
      <c r="C111" s="5">
        <f>IFERROR(__xludf.DUMMYFUNCTION("""COMPUTED_VALUE"""),45015.67076550926)</f>
        <v>45015.67077</v>
      </c>
      <c r="D111" s="5">
        <f>IFERROR(__xludf.DUMMYFUNCTION("""COMPUTED_VALUE"""),45015.0)</f>
        <v>45015</v>
      </c>
      <c r="E111" s="4" t="str">
        <f>IFERROR(__xludf.DUMMYFUNCTION("""COMPUTED_VALUE"""),"tomas.bayley@patagoniansys.com")</f>
        <v>tomas.bayley@patagoniansys.com</v>
      </c>
      <c r="F111" s="4" t="str">
        <f>IFERROR(__xludf.DUMMYFUNCTION("""COMPUTED_VALUE"""),"santiago.cendra@patagoniansys.com")</f>
        <v>santiago.cendra@patagoniansys.com</v>
      </c>
      <c r="G111" s="4" t="str">
        <f>IFERROR(__xludf.DUMMYFUNCTION("""COMPUTED_VALUE"""),"⏱ One on One")</f>
        <v>⏱ One on One</v>
      </c>
      <c r="H111" s="4" t="str">
        <f>IFERROR(__xludf.DUMMYFUNCTION("""COMPUTED_VALUE"""),"🙂 Feliz")</f>
        <v>🙂 Feliz</v>
      </c>
      <c r="I111" s="6" t="str">
        <f>IFERROR(__xludf.DUMMYFUNCTION("""COMPUTED_VALUE"""),"Santi venia un poco frustrado por trabajar con un dev (al que ya no se le va a renovar el contrato) que ahora pasa a ser reemplazado por otro. El prospecto se ve realmente bien se lo nota mucho menos frustrado y optimista se le dara un seguimiento para ve"&amp;"r que tal funciona el equipo con el nuevo Backend developer.")</f>
        <v>Santi venia un poco frustrado por trabajar con un dev (al que ya no se le va a renovar el contrato) que ahora pasa a ser reemplazado por otro. El prospecto se ve realmente bien se lo nota mucho menos frustrado y optimista se le dara un seguimiento para ver que tal funciona el equipo con el nuevo Backend developer.</v>
      </c>
      <c r="J111" s="4" t="str">
        <f>IFERROR(__xludf.DUMMYFUNCTION("""COMPUTED_VALUE"""),"PX|Referents|RRHH")</f>
        <v>PX|Referents|RRHH</v>
      </c>
    </row>
    <row r="112">
      <c r="A112" s="4">
        <f>IFERROR(__xludf.DUMMYFUNCTION("""COMPUTED_VALUE"""),197.0)</f>
        <v>197</v>
      </c>
      <c r="B112" s="4" t="str">
        <f>IFERROR(__xludf.DUMMYFUNCTION("""COMPUTED_VALUE"""),"gianfranco.fois")</f>
        <v>gianfranco.fois</v>
      </c>
      <c r="C112" s="5">
        <f>IFERROR(__xludf.DUMMYFUNCTION("""COMPUTED_VALUE"""),45015.676209375)</f>
        <v>45015.67621</v>
      </c>
      <c r="D112" s="5">
        <f>IFERROR(__xludf.DUMMYFUNCTION("""COMPUTED_VALUE"""),45015.0)</f>
        <v>45015</v>
      </c>
      <c r="E112" s="4" t="str">
        <f>IFERROR(__xludf.DUMMYFUNCTION("""COMPUTED_VALUE"""),"jmartinez@patagoniansys.com")</f>
        <v>jmartinez@patagoniansys.com</v>
      </c>
      <c r="F112" s="4" t="str">
        <f>IFERROR(__xludf.DUMMYFUNCTION("""COMPUTED_VALUE"""),"gianfranco.fois@patagoniansys.com")</f>
        <v>gianfranco.fois@patagoniansys.com</v>
      </c>
      <c r="G112" s="4" t="str">
        <f>IFERROR(__xludf.DUMMYFUNCTION("""COMPUTED_VALUE"""),"Referent One on One")</f>
        <v>Referent One on One</v>
      </c>
      <c r="H112" s="4"/>
      <c r="I112" s="6" t="str">
        <f>IFERROR(__xludf.DUMMYFUNCTION("""COMPUTED_VALUE"""),"- Interviewee e-Mail: gianfranco.fois@patagoniansys.com
- Project Status Check: Desde la última reunión Gian estuvo en la recta final del proyecto de Invap, que termina en estos días.
- Project Role | Feeling: 4
- Extra Work Hours | Amount: 0 (Ningúna)
- "&amp;"Techs | Research: Gian fue entrevistado por alguien de Podvisory para ver la posibilidad de entrar al proyecto, y como utilizan NextJS dedicó algunas horas para aprender un poco sobre la tecnología en caso de que haga falta. No tuvo más noticias con respe"&amp;"cto al proyecto así que no incursionó más. Observación del entrevistador: hubiera estado bueno comunicarle que pasó.
- Collaborator | Seniority: 👍 No, es correcto
- Project Needs / Oportunities: Esto quedó asentado en la reunión anterior, pero Gian sentí"&amp;"a que no había iniciativa para aportar calidad y facilitar el trabajo en el proyecto mobile en el que estaba trabajando (no había CI, las distribución de las builds era deficiente). Probablemente esto es algo que pasa en muchos proyectos y que hay que ten"&amp;"er en cuenta. 
- Project Techs | Learning: 0
- Techs | Research: 8
- Project Techs | Difficulty: 3
- Project Changes | Reasons: 🟰 No hubo cambios
- Project Changes | Personal Impact: 3
- Project Role | Value: 5
- Project role | Notes: Esto no ha cambiado"&amp;", Gian se siente valorado en el proyecto y está contento con las tareas que realiza.")</f>
        <v>- Interviewee e-Mail: gianfranco.fois@patagoniansys.com
- Project Status Check: Desde la última reunión Gian estuvo en la recta final del proyecto de Invap, que termina en estos días.
- Project Role | Feeling: 4
- Extra Work Hours | Amount: 0 (Ningúna)
- Techs | Research: Gian fue entrevistado por alguien de Podvisory para ver la posibilidad de entrar al proyecto, y como utilizan NextJS dedicó algunas horas para aprender un poco sobre la tecnología en caso de que haga falta. No tuvo más noticias con respecto al proyecto así que no incursionó más. Observación del entrevistador: hubiera estado bueno comunicarle que pasó.
- Collaborator | Seniority: 👍 No, es correcto
- Project Needs / Oportunities: Esto quedó asentado en la reunión anterior, pero Gian sentía que no había iniciativa para aportar calidad y facilitar el trabajo en el proyecto mobile en el que estaba trabajando (no había CI, las distribución de las builds era deficiente). Probablemente esto es algo que pasa en muchos proyectos y que hay que tener en cuenta. 
- Project Techs | Learning: 0
- Techs | Research: 8
- Project Techs | Difficulty: 3
- Project Changes | Reasons: 🟰 No hubo cambios
- Project Changes | Personal Impact: 3
- Project Role | Value: 5
- Project role | Notes: Esto no ha cambiado, Gian se siente valorado en el proyecto y está contento con las tareas que realiza.</v>
      </c>
      <c r="J112" s="4" t="str">
        <f>IFERROR(__xludf.DUMMYFUNCTION("""COMPUTED_VALUE"""),"Tech Referent - OneOnOne")</f>
        <v>Tech Referent - OneOnOne</v>
      </c>
    </row>
    <row r="113">
      <c r="A113" s="4">
        <f>IFERROR(__xludf.DUMMYFUNCTION("""COMPUTED_VALUE"""),254.0)</f>
        <v>254</v>
      </c>
      <c r="B113" s="4" t="str">
        <f>IFERROR(__xludf.DUMMYFUNCTION("""COMPUTED_VALUE"""),"ismael.cespedes")</f>
        <v>ismael.cespedes</v>
      </c>
      <c r="C113" s="5">
        <f>IFERROR(__xludf.DUMMYFUNCTION("""COMPUTED_VALUE"""),45016.514935023144)</f>
        <v>45016.51494</v>
      </c>
      <c r="D113" s="5">
        <f>IFERROR(__xludf.DUMMYFUNCTION("""COMPUTED_VALUE"""),45016.0)</f>
        <v>45016</v>
      </c>
      <c r="E113" s="4" t="str">
        <f>IFERROR(__xludf.DUMMYFUNCTION("""COMPUTED_VALUE"""),"juan.calou@patagoniansys.com")</f>
        <v>juan.calou@patagoniansys.com</v>
      </c>
      <c r="F113" s="4" t="str">
        <f>IFERROR(__xludf.DUMMYFUNCTION("""COMPUTED_VALUE"""),"ismael.cespedes@patagoniansys.com")</f>
        <v>ismael.cespedes@patagoniansys.com</v>
      </c>
      <c r="G113" s="4" t="str">
        <f>IFERROR(__xludf.DUMMYFUNCTION("""COMPUTED_VALUE"""),"Referent One on One")</f>
        <v>Referent One on One</v>
      </c>
      <c r="H113" s="4"/>
      <c r="I113" s="6" t="str">
        <f>IFERROR(__xludf.DUMMYFUNCTION("""COMPUTED_VALUE"""),"- Interviewee e-Mail: ismael.cespedes@patagoniansys.com
- Project Status Check: Le informaron que va a dejar el equipo y eta en busca de otro proyecto
- Project Changes | Notes: El trabajo etaba bajo en los ultimos meses. Se fue alguien de backend.
- Proj"&amp;"ect Role | Feeling: 3
- Extra Work Hours | Amount: 0 (Ningúna)
- Techs | Research: practicando kotlin
- Collaborator | Seniority: 👍 No, es correcto
- Alerts: Le avisaron que lo sacan de su proyecto Unreasonable y que le van a buscar otra cosa y sino al b"&amp;"ench. Voy a seguir de cerca su caso a ver como evoluciona o si encuantran algo pronto.
- Final notes: Esta en un proceso de cambio, se le termina su proyecto y espera una nueva asignacion. Lo note un poco desconcertado con eso, el dice que por performance"&amp;" estaba todo ok. Que por ahi el no saber ingles no ayuda.
- Project Techs | Learning: 2
- Project Techs | Difficulty: 3
- Project Changes | Reasons: Le informaron que va a dejar el equipo y eta en busca de otro proyecto
- Project Changes | Personal Impact"&amp;": 3
- Project Role | Value: 3
- Project role | Notes: -")</f>
        <v>- Interviewee e-Mail: ismael.cespedes@patagoniansys.com
- Project Status Check: Le informaron que va a dejar el equipo y eta en busca de otro proyecto
- Project Changes | Notes: El trabajo etaba bajo en los ultimos meses. Se fue alguien de backend.
- Project Role | Feeling: 3
- Extra Work Hours | Amount: 0 (Ningúna)
- Techs | Research: practicando kotlin
- Collaborator | Seniority: 👍 No, es correcto
- Alerts: Le avisaron que lo sacan de su proyecto Unreasonable y que le van a buscar otra cosa y sino al bench. Voy a seguir de cerca su caso a ver como evoluciona o si encuantran algo pronto.
- Final notes: Esta en un proceso de cambio, se le termina su proyecto y espera una nueva asignacion. Lo note un poco desconcertado con eso, el dice que por performance estaba todo ok. Que por ahi el no saber ingles no ayuda.
- Project Techs | Learning: 2
- Project Techs | Difficulty: 3
- Project Changes | Reasons: Le informaron que va a dejar el equipo y eta en busca de otro proyecto
- Project Changes | Personal Impact: 3
- Project Role | Value: 3
- Project role | Notes: -</v>
      </c>
      <c r="J113" s="4" t="str">
        <f>IFERROR(__xludf.DUMMYFUNCTION("""COMPUTED_VALUE"""),"Tech Referent - OneOnOne")</f>
        <v>Tech Referent - OneOnOne</v>
      </c>
    </row>
    <row r="114" hidden="1">
      <c r="A114" s="4">
        <f>IFERROR(__xludf.DUMMYFUNCTION("""COMPUTED_VALUE"""),145.0)</f>
        <v>145</v>
      </c>
      <c r="B114" s="4" t="str">
        <f>IFERROR(__xludf.DUMMYFUNCTION("""COMPUTED_VALUE"""),"victor.abitu")</f>
        <v>victor.abitu</v>
      </c>
      <c r="C114" s="5">
        <f>IFERROR(__xludf.DUMMYFUNCTION("""COMPUTED_VALUE"""),45021.57281459491)</f>
        <v>45021.57281</v>
      </c>
      <c r="D114" s="5">
        <f>IFERROR(__xludf.DUMMYFUNCTION("""COMPUTED_VALUE"""),45021.0)</f>
        <v>45021</v>
      </c>
      <c r="E114" s="4" t="str">
        <f>IFERROR(__xludf.DUMMYFUNCTION("""COMPUTED_VALUE"""),"micaela.zorzetto@patagoniansys.com")</f>
        <v>micaela.zorzetto@patagoniansys.com</v>
      </c>
      <c r="F114" s="4" t="str">
        <f>IFERROR(__xludf.DUMMYFUNCTION("""COMPUTED_VALUE"""),"victor.abitu@patagoniansys.com")</f>
        <v>victor.abitu@patagoniansys.com</v>
      </c>
      <c r="G114" s="4" t="str">
        <f>IFERROR(__xludf.DUMMYFUNCTION("""COMPUTED_VALUE"""),"⏱ One on One")</f>
        <v>⏱ One on One</v>
      </c>
      <c r="H114" s="4" t="str">
        <f>IFERROR(__xludf.DUMMYFUNCTION("""COMPUTED_VALUE"""),"🙂 Feliz")</f>
        <v>🙂 Feliz</v>
      </c>
      <c r="I114" s="6" t="str">
        <f>IFERROR(__xludf.DUMMYFUNCTION("""COMPUTED_VALUE"""),"
Proyecto: esta en halliburton, esta contento en le proyecto y se siente cómodo con el equipo. Lo unico que le molesta un poco es la cantidad de cursos que le solicita el cliente que haga, y son de caracter obligatorio. 
Empresa: le gusta trabajar en pata"&amp;"gonian y la flexibilidad que tiene. Le gustaria disfrutar un poco mas de los workation y beneficios de viaje que tiene Patagonian, pero por falta de tiempo o la universidad se le complica. 
Capacitación: le gustaria realizar alguna, pero al estar cursando"&amp;" el ultimo año en la universidad se le complica por los tiempos. 
Las clases de inglés, se inscribió y las aprovecha. Le cuesta la parte oral.")</f>
        <v>
Proyecto: esta en halliburton, esta contento en le proyecto y se siente cómodo con el equipo. Lo unico que le molesta un poco es la cantidad de cursos que le solicita el cliente que haga, y son de caracter obligatorio. 
Empresa: le gusta trabajar en patagonian y la flexibilidad que tiene. Le gustaria disfrutar un poco mas de los workation y beneficios de viaje que tiene Patagonian, pero por falta de tiempo o la universidad se le complica. 
Capacitación: le gustaria realizar alguna, pero al estar cursando el ultimo año en la universidad se le complica por los tiempos. 
Las clases de inglés, se inscribió y las aprovecha. Le cuesta la parte oral.</v>
      </c>
      <c r="J114" s="4" t="str">
        <f>IFERROR(__xludf.DUMMYFUNCTION("""COMPUTED_VALUE"""),"PX|Referents|RRHH")</f>
        <v>PX|Referents|RRHH</v>
      </c>
    </row>
    <row r="115">
      <c r="A115" s="4">
        <f>IFERROR(__xludf.DUMMYFUNCTION("""COMPUTED_VALUE"""),190.0)</f>
        <v>190</v>
      </c>
      <c r="B115" s="4" t="str">
        <f>IFERROR(__xludf.DUMMYFUNCTION("""COMPUTED_VALUE"""),"santiago.cendra")</f>
        <v>santiago.cendra</v>
      </c>
      <c r="C115" s="5">
        <f>IFERROR(__xludf.DUMMYFUNCTION("""COMPUTED_VALUE"""),45021.664043460645)</f>
        <v>45021.66404</v>
      </c>
      <c r="D115" s="5">
        <f>IFERROR(__xludf.DUMMYFUNCTION("""COMPUTED_VALUE"""),45021.0)</f>
        <v>45021</v>
      </c>
      <c r="E115" s="4" t="str">
        <f>IFERROR(__xludf.DUMMYFUNCTION("""COMPUTED_VALUE"""),"daniel.mansilla@patagoniansys.com")</f>
        <v>daniel.mansilla@patagoniansys.com</v>
      </c>
      <c r="F115" s="4" t="str">
        <f>IFERROR(__xludf.DUMMYFUNCTION("""COMPUTED_VALUE"""),"santiago.cendra@patagoniansys.com")</f>
        <v>santiago.cendra@patagoniansys.com</v>
      </c>
      <c r="G115" s="4" t="str">
        <f>IFERROR(__xludf.DUMMYFUNCTION("""COMPUTED_VALUE"""),"Initial gathering")</f>
        <v>Initial gathering</v>
      </c>
      <c r="H115" s="4"/>
      <c r="I115" s="6" t="str">
        <f>IFERROR(__xludf.DUMMYFUNCTION("""COMPUTED_VALUE"""),"- Interviewee e-Mail: santiago.cendra@patagoniansys.com
- Project name: ANR
- Project | Role: Backend Developer, Frontend Developer
- Project | Description: Plataforma para capacitar y gestión/seguimientos de talentos (ciclos, programas, etapas). Incubaci"&amp;"ón de talentos. Tipo CoderHouse.
Aprendió Strapi para el back.
- Project | technologies: FE: NextJS front (typescript), Redux, ReduxToolkit. Material UI.
BE: Strapi
- Happiness in project technology: 🙂 Feliz
- Happiness in project technology | Descripti"&amp;"on: Está muy conforme con lo que está usando en el proyecto.
- Project | The best/coolest thing: Aprender Strapi. Documentación y organización del proyecto.
- Project | The worst thing: Actualmente no hay espectos negativos para destacar.
- Project | Impr"&amp;"ovements: Desde su punto de vista, quizás es posible mejorar cómo se reciben datos del back en el front, pero, son cosas que se están resolviendo poco a poco. No es algo para destacar realmente.
- Team | TL: Bryan Barrios
- Team | PX: PM: Tomás Bayley (se"&amp;" va). Fede Peralta. PO: Silvi Urbani.
- Team | QA: 1
- Team | QA Automation: 👎 No
- Team | QA | Notes: El proyecto es muy nuevo y recién comienza con QA.
- Team | UI/UX: 1
- Team | UI/UX | Notes: Valita
- Team | DevOps: 1
- Team | DevOps | Notes: Brayan
"&amp;"- Team | Data Engineer: 0")</f>
        <v>- Interviewee e-Mail: santiago.cendra@patagoniansys.com
- Project name: ANR
- Project | Role: Backend Developer, Frontend Developer
- Project | Description: Plataforma para capacitar y gestión/seguimientos de talentos (ciclos, programas, etapas). Incubación de talentos. Tipo CoderHouse.
Aprendió Strapi para el back.
- Project | technologies: FE: NextJS front (typescript), Redux, ReduxToolkit. Material UI.
BE: Strapi
- Happiness in project technology: 🙂 Feliz
- Happiness in project technology | Description: Está muy conforme con lo que está usando en el proyecto.
- Project | The best/coolest thing: Aprender Strapi. Documentación y organización del proyecto.
- Project | The worst thing: Actualmente no hay espectos negativos para destacar.
- Project | Improvements: Desde su punto de vista, quizás es posible mejorar cómo se reciben datos del back en el front, pero, son cosas que se están resolviendo poco a poco. No es algo para destacar realmente.
- Team | TL: Bryan Barrios
- Team | PX: PM: Tomás Bayley (se va). Fede Peralta. PO: Silvi Urbani.
- Team | QA: 1
- Team | QA Automation: 👎 No
- Team | QA | Notes: El proyecto es muy nuevo y recién comienza con QA.
- Team | UI/UX: 1
- Team | UI/UX | Notes: Valita
- Team | DevOps: 1
- Team | DevOps | Notes: Brayan
- Team | Data Engineer: 0</v>
      </c>
      <c r="J115" s="4" t="str">
        <f>IFERROR(__xludf.DUMMYFUNCTION("""COMPUTED_VALUE"""),"Tech Referent - Initial gathering")</f>
        <v>Tech Referent - Initial gathering</v>
      </c>
    </row>
    <row r="116" hidden="1">
      <c r="A116" s="4">
        <f>IFERROR(__xludf.DUMMYFUNCTION("""COMPUTED_VALUE"""),105.0)</f>
        <v>105</v>
      </c>
      <c r="B116" s="4" t="str">
        <f>IFERROR(__xludf.DUMMYFUNCTION("""COMPUTED_VALUE"""),"henry.tong")</f>
        <v>henry.tong</v>
      </c>
      <c r="C116" s="5">
        <f>IFERROR(__xludf.DUMMYFUNCTION("""COMPUTED_VALUE"""),45021.76512388889)</f>
        <v>45021.76512</v>
      </c>
      <c r="D116" s="5">
        <f>IFERROR(__xludf.DUMMYFUNCTION("""COMPUTED_VALUE"""),45021.0)</f>
        <v>45021</v>
      </c>
      <c r="E116" s="4" t="str">
        <f>IFERROR(__xludf.DUMMYFUNCTION("""COMPUTED_VALUE"""),"natalia.aguirre@patagoniansys.com")</f>
        <v>natalia.aguirre@patagoniansys.com</v>
      </c>
      <c r="F116" s="4" t="str">
        <f>IFERROR(__xludf.DUMMYFUNCTION("""COMPUTED_VALUE"""),"henry.tong@patagoniansys.com")</f>
        <v>henry.tong@patagoniansys.com</v>
      </c>
      <c r="G116" s="4" t="str">
        <f>IFERROR(__xludf.DUMMYFUNCTION("""COMPUTED_VALUE"""),"⏱ One on One")</f>
        <v>⏱ One on One</v>
      </c>
      <c r="H116" s="4" t="str">
        <f>IFERROR(__xludf.DUMMYFUNCTION("""COMPUTED_VALUE"""),"🙂 Feliz")</f>
        <v>🙂 Feliz</v>
      </c>
      <c r="I116" s="6" t="str">
        <f>IFERROR(__xludf.DUMMYFUNCTION("""COMPUTED_VALUE"""),"Henry está feliz en el proyecto y en el cliente, siente que es retador, que trabaja con gente muy buena y que aprende mucho de temas fuera de tecnología (blockchain/criptomonedas)")</f>
        <v>Henry está feliz en el proyecto y en el cliente, siente que es retador, que trabaja con gente muy buena y que aprende mucho de temas fuera de tecnología (blockchain/criptomonedas)</v>
      </c>
      <c r="J116" s="4" t="str">
        <f>IFERROR(__xludf.DUMMYFUNCTION("""COMPUTED_VALUE"""),"PX|Referents|RRHH")</f>
        <v>PX|Referents|RRHH</v>
      </c>
    </row>
    <row r="117">
      <c r="A117" s="4">
        <f>IFERROR(__xludf.DUMMYFUNCTION("""COMPUTED_VALUE"""),183.0)</f>
        <v>183</v>
      </c>
      <c r="B117" s="4" t="str">
        <f>IFERROR(__xludf.DUMMYFUNCTION("""COMPUTED_VALUE"""),"santiago.avila")</f>
        <v>santiago.avila</v>
      </c>
      <c r="C117" s="5">
        <f>IFERROR(__xludf.DUMMYFUNCTION("""COMPUTED_VALUE"""),45029.500636400466)</f>
        <v>45029.50064</v>
      </c>
      <c r="D117" s="5">
        <f>IFERROR(__xludf.DUMMYFUNCTION("""COMPUTED_VALUE"""),45021.0)</f>
        <v>45021</v>
      </c>
      <c r="E117" s="4" t="str">
        <f>IFERROR(__xludf.DUMMYFUNCTION("""COMPUTED_VALUE"""),"martin.castro@patagoniansys.com")</f>
        <v>martin.castro@patagoniansys.com</v>
      </c>
      <c r="F117" s="4" t="str">
        <f>IFERROR(__xludf.DUMMYFUNCTION("""COMPUTED_VALUE"""),"santiago.avila@patagoniansys.com")</f>
        <v>santiago.avila@patagoniansys.com</v>
      </c>
      <c r="G117" s="4" t="str">
        <f>IFERROR(__xludf.DUMMYFUNCTION("""COMPUTED_VALUE"""),"Initial gathering")</f>
        <v>Initial gathering</v>
      </c>
      <c r="H117" s="4"/>
      <c r="I117" s="6" t="str">
        <f>IFERROR(__xludf.DUMMYFUNCTION("""COMPUTED_VALUE"""),"- Interviewee e-Mail: santiago.avila@patagoniansys.com
- Project name: BFA Industries
- Project | Role: Backend Developer, Frontend Developer
- Project | Description: Es un servicio de subscripción de maquillaje. Las personas pagan un fee mensual y recibe"&amp;"n productos según algunas preferencias pre definidas por los usuarios.
- Project | technologies: React, Graphql, Kotlin
- Happiness in project technology: 😀 Sumamente Feliz
- Project | The best/coolest thing: La mayor parte del tiempo hay cosas interesan"&amp;"tes por desarrollar
- Project | The worst thing: En ocasiones repetimos features que ya están hechos para la marca, pero no son reusables para Mex. Hay una iniciativa para evitar esto, pero no es muy claro el camino aún
- Project | Improvements: Aprovecha"&amp;"r mejor lo que ya está, para innovar más
- Team | TL: Gastón SAS
- Team | PX: Jessica Petruskas
- Team | QA: 1
- Team | QA Automation: 👍 Si
- Team | QA | Notes: BFA, sí tiene QA y QA Automation. El proyecto para el que yo trabajo, no. Tenemos soporte del"&amp;" core de Automation, pero las pruebas las escribimos y mantenemos nosotros
- Team | UI/UX: 1
- Team | DevOps: 1
- Team | DevOps | Notes: Sí. Aunque nosotros hacemos los procesos de deploy y configuraciones adicionales. Pero hay un equipo de infraestructur"&amp;"a que nos da soporte en caso de ser necesario. 
- Team | Data Engineer: 0")</f>
        <v>- Interviewee e-Mail: santiago.avila@patagoniansys.com
- Project name: BFA Industries
- Project | Role: Backend Developer, Frontend Developer
- Project | Description: Es un servicio de subscripción de maquillaje. Las personas pagan un fee mensual y reciben productos según algunas preferencias pre definidas por los usuarios.
- Project | technologies: React, Graphql, Kotlin
- Happiness in project technology: 😀 Sumamente Feliz
- Project | The best/coolest thing: La mayor parte del tiempo hay cosas interesantes por desarrollar
- Project | The worst thing: En ocasiones repetimos features que ya están hechos para la marca, pero no son reusables para Mex. Hay una iniciativa para evitar esto, pero no es muy claro el camino aún
- Project | Improvements: Aprovechar mejor lo que ya está, para innovar más
- Team | TL: Gastón SAS
- Team | PX: Jessica Petruskas
- Team | QA: 1
- Team | QA Automation: 👍 Si
- Team | QA | Notes: BFA, sí tiene QA y QA Automation. El proyecto para el que yo trabajo, no. Tenemos soporte del core de Automation, pero las pruebas las escribimos y mantenemos nosotros
- Team | UI/UX: 1
- Team | DevOps: 1
- Team | DevOps | Notes: Sí. Aunque nosotros hacemos los procesos de deploy y configuraciones adicionales. Pero hay un equipo de infraestructura que nos da soporte en caso de ser necesario. 
- Team | Data Engineer: 0</v>
      </c>
      <c r="J117" s="4" t="str">
        <f>IFERROR(__xludf.DUMMYFUNCTION("""COMPUTED_VALUE"""),"Tech Referent - Initial gathering")</f>
        <v>Tech Referent - Initial gathering</v>
      </c>
    </row>
    <row r="118">
      <c r="A118" s="4">
        <f>IFERROR(__xludf.DUMMYFUNCTION("""COMPUTED_VALUE"""),204.0)</f>
        <v>204</v>
      </c>
      <c r="B118" s="4" t="str">
        <f>IFERROR(__xludf.DUMMYFUNCTION("""COMPUTED_VALUE"""),"luisa.fernandez")</f>
        <v>luisa.fernandez</v>
      </c>
      <c r="C118" s="5">
        <f>IFERROR(__xludf.DUMMYFUNCTION("""COMPUTED_VALUE"""),45176.65882069445)</f>
        <v>45176.65882</v>
      </c>
      <c r="D118" s="5">
        <f>IFERROR(__xludf.DUMMYFUNCTION("""COMPUTED_VALUE"""),45025.0)</f>
        <v>45025</v>
      </c>
      <c r="E118" s="4" t="str">
        <f>IFERROR(__xludf.DUMMYFUNCTION("""COMPUTED_VALUE"""),"martin.infante@patagoniansys.com")</f>
        <v>martin.infante@patagoniansys.com</v>
      </c>
      <c r="F118" s="4" t="str">
        <f>IFERROR(__xludf.DUMMYFUNCTION("""COMPUTED_VALUE"""),"luisa.fernandez@patagoniansys.com")</f>
        <v>luisa.fernandez@patagoniansys.com</v>
      </c>
      <c r="G118" s="4" t="str">
        <f>IFERROR(__xludf.DUMMYFUNCTION("""COMPUTED_VALUE"""),"Initial gathering")</f>
        <v>Initial gathering</v>
      </c>
      <c r="H118" s="4"/>
      <c r="I118" s="6" t="str">
        <f>IFERROR(__xludf.DUMMYFUNCTION("""COMPUTED_VALUE"""),"- Interviewee e-Mail: luisa.fernandez@patagoniansys.com
- Project name: Vista
- Project | Role: Researcher
- Project | Description: Exploracion del Power Platform de Microsoft para implementar soluciones utilizando herramientas Low Code. La idea es ofrece"&amp;"r un paquete de soluciones a la empresa en distintos campos como por ejemplo un sistema de trackeo de los camiones que cargan y descargan el crudo. Finalmente en caso de que las soluciones escalen se ira a una herramienta de desarrollo tradicional.
- Proj"&amp;"ect | technologies: Power Platform de Microsoft.
- Happiness in project technology: 😐 Indiferente
- Happiness in project technology | Description: Aun no ha explorado lo suficiente como para tener una opinion formada.
- Project | The best/coolest thing: "&amp;"Enfocarse en la parte de gestion de proyectos y ser una referente en la evaluacion de estas iniciativas.
- Project | The worst thing: Lo low code no es desafiante.
- Project | Improvements: Falta testing en el proyecto. No estan claros los requerimientos "&amp;"del proyecto.
- Team | TL: Jorge Contreras
- Team | PX: Jorge Contreras
- Team | QA: 0
- Team | QA Automation: 👎 No
- Team | QA | Notes: Deberian haber mas QAs que desarrolladores segun ella.
- Team | UI/UX: 1
- Team | UI/UX | Notes: Antonella Godoy.
- T"&amp;"eam | DevOps: 0
- Team | DevOps | Notes: No cree que sea necesario.
- Team | Data Engineer: 0")</f>
        <v>- Interviewee e-Mail: luisa.fernandez@patagoniansys.com
- Project name: Vista
- Project | Role: Researcher
- Project | Description: Exploracion del Power Platform de Microsoft para implementar soluciones utilizando herramientas Low Code. La idea es ofrecer un paquete de soluciones a la empresa en distintos campos como por ejemplo un sistema de trackeo de los camiones que cargan y descargan el crudo. Finalmente en caso de que las soluciones escalen se ira a una herramienta de desarrollo tradicional.
- Project | technologies: Power Platform de Microsoft.
- Happiness in project technology: 😐 Indiferente
- Happiness in project technology | Description: Aun no ha explorado lo suficiente como para tener una opinion formada.
- Project | The best/coolest thing: Enfocarse en la parte de gestion de proyectos y ser una referente en la evaluacion de estas iniciativas.
- Project | The worst thing: Lo low code no es desafiante.
- Project | Improvements: Falta testing en el proyecto. No estan claros los requerimientos del proyecto.
- Team | TL: Jorge Contreras
- Team | PX: Jorge Contreras
- Team | QA: 0
- Team | QA Automation: 👎 No
- Team | QA | Notes: Deberian haber mas QAs que desarrolladores segun ella.
- Team | UI/UX: 1
- Team | UI/UX | Notes: Antonella Godoy.
- Team | DevOps: 0
- Team | DevOps | Notes: No cree que sea necesario.
- Team | Data Engineer: 0</v>
      </c>
      <c r="J118" s="4" t="str">
        <f>IFERROR(__xludf.DUMMYFUNCTION("""COMPUTED_VALUE"""),"Tech Referent - Initial gathering")</f>
        <v>Tech Referent - Initial gathering</v>
      </c>
    </row>
    <row r="119" hidden="1">
      <c r="A119" s="4">
        <f>IFERROR(__xludf.DUMMYFUNCTION("""COMPUTED_VALUE"""),11.0)</f>
        <v>11</v>
      </c>
      <c r="B119" s="4" t="str">
        <f>IFERROR(__xludf.DUMMYFUNCTION("""COMPUTED_VALUE"""),"ernesto.parada")</f>
        <v>ernesto.parada</v>
      </c>
      <c r="C119" s="5">
        <f>IFERROR(__xludf.DUMMYFUNCTION("""COMPUTED_VALUE"""),45026.55822885417)</f>
        <v>45026.55823</v>
      </c>
      <c r="D119" s="5">
        <f>IFERROR(__xludf.DUMMYFUNCTION("""COMPUTED_VALUE"""),45026.0)</f>
        <v>45026</v>
      </c>
      <c r="E119" s="4" t="str">
        <f>IFERROR(__xludf.DUMMYFUNCTION("""COMPUTED_VALUE"""),"jesica.petrauskas@patagoniansys.com")</f>
        <v>jesica.petrauskas@patagoniansys.com</v>
      </c>
      <c r="F119" s="4" t="str">
        <f>IFERROR(__xludf.DUMMYFUNCTION("""COMPUTED_VALUE"""),"ernesto.parada@patagoniansys.com")</f>
        <v>ernesto.parada@patagoniansys.com</v>
      </c>
      <c r="G119" s="4" t="str">
        <f>IFERROR(__xludf.DUMMYFUNCTION("""COMPUTED_VALUE"""),"⏱ One on One")</f>
        <v>⏱ One on One</v>
      </c>
      <c r="H119" s="4" t="str">
        <f>IFERROR(__xludf.DUMMYFUNCTION("""COMPUTED_VALUE"""),"🙂 Feliz")</f>
        <v>🙂 Feliz</v>
      </c>
      <c r="I119" s="6" t="str">
        <f>IFERROR(__xludf.DUMMYFUNCTION("""COMPUTED_VALUE"""),"Le interesa lo que se está viendo de arquitectura no le sirven mucho las reuniones de TL. Eyethena le gustó que se usaron cosas nuevas y que fue de 0 para salir un poco de Mbody, está dispuesto a aprender cosas nuevas para participar en otros proyectos cu"&amp;"ando termine Eyethena. ")</f>
        <v>Le interesa lo que se está viendo de arquitectura no le sirven mucho las reuniones de TL. Eyethena le gustó que se usaron cosas nuevas y que fue de 0 para salir un poco de Mbody, está dispuesto a aprender cosas nuevas para participar en otros proyectos cuando termine Eyethena. </v>
      </c>
      <c r="J119" s="4" t="str">
        <f>IFERROR(__xludf.DUMMYFUNCTION("""COMPUTED_VALUE"""),"PX|Referents|RRHH")</f>
        <v>PX|Referents|RRHH</v>
      </c>
    </row>
    <row r="120">
      <c r="A120" s="4">
        <f>IFERROR(__xludf.DUMMYFUNCTION("""COMPUTED_VALUE"""),272.0)</f>
        <v>272</v>
      </c>
      <c r="B120" s="4" t="str">
        <f>IFERROR(__xludf.DUMMYFUNCTION("""COMPUTED_VALUE"""),"santiago.grossi")</f>
        <v>santiago.grossi</v>
      </c>
      <c r="C120" s="5">
        <f>IFERROR(__xludf.DUMMYFUNCTION("""COMPUTED_VALUE"""),45026.668453252314)</f>
        <v>45026.66845</v>
      </c>
      <c r="D120" s="5">
        <f>IFERROR(__xludf.DUMMYFUNCTION("""COMPUTED_VALUE"""),45026.0)</f>
        <v>45026</v>
      </c>
      <c r="E120" s="4" t="str">
        <f>IFERROR(__xludf.DUMMYFUNCTION("""COMPUTED_VALUE"""),"bruno.molina@patagoniansys.com")</f>
        <v>bruno.molina@patagoniansys.com</v>
      </c>
      <c r="F120" s="4" t="str">
        <f>IFERROR(__xludf.DUMMYFUNCTION("""COMPUTED_VALUE"""),"santiago.grossi@patagonian.com")</f>
        <v>santiago.grossi@patagonian.com</v>
      </c>
      <c r="G120" s="4" t="str">
        <f>IFERROR(__xludf.DUMMYFUNCTION("""COMPUTED_VALUE"""),"Referent One on One")</f>
        <v>Referent One on One</v>
      </c>
      <c r="H120" s="4"/>
      <c r="I120" s="6" t="str">
        <f>IFERROR(__xludf.DUMMYFUNCTION("""COMPUTED_VALUE"""),"- Interviewee e-Mail: santiago.grossi@patagonian.com
- Project Status Check: Ha estado trabajando en la parte de desarrollo, ha contado con el apoyo de Andres Atwell en menor medida que antes , se nota progreso.
- Project Changes | Notes: Se cambio el PM "&amp;"del proyecto y eso llevo a una reorganizacion interna.
- Project Role | Feeling: 5
- Extra Work Hours | Amount: 0 (Ningúna)
- Techs | Research: Node JS, Assembly (Microcontroladores)
- Techs | Recomendations: -
- Techs | Recomendations check: Leyo sobre N"&amp;"odeJs 
- Collaborator | Seniority: 👍 No, es correcto
- Alerts: No ya fue solucionado , con la permanencia en el proyecto
- Project Needs / Oportunities: Necesitariamos mejoras de tecnologias en ConnectAmericas para que se pudiera desarrollar en stack mas"&amp;" modernos
- Final notes: Sin ningun comentario adicional
- Project Techs | Learning: 0
- Techs | Research: 30
- Project Techs | Difficulty: 2
- Project Changes | Reasons: 🔀 Cambio de roles dentro del equipo
- Project Changes | Personal Impact: 2
- Projec"&amp;"t Role | Value: 5
- Project role | Notes: La permanencia en el proyecto ha afectado positivamente a Santiago que se encuentra motivado para continuar con sus tareas.")</f>
        <v>- Interviewee e-Mail: santiago.grossi@patagonian.com
- Project Status Check: Ha estado trabajando en la parte de desarrollo, ha contado con el apoyo de Andres Atwell en menor medida que antes , se nota progreso.
- Project Changes | Notes: Se cambio el PM del proyecto y eso llevo a una reorganizacion interna.
- Project Role | Feeling: 5
- Extra Work Hours | Amount: 0 (Ningúna)
- Techs | Research: Node JS, Assembly (Microcontroladores)
- Techs | Recomendations: -
- Techs | Recomendations check: Leyo sobre NodeJs 
- Collaborator | Seniority: 👍 No, es correcto
- Alerts: No ya fue solucionado , con la permanencia en el proyecto
- Project Needs / Oportunities: Necesitariamos mejoras de tecnologias en ConnectAmericas para que se pudiera desarrollar en stack mas modernos
- Final notes: Sin ningun comentario adicional
- Project Techs | Learning: 0
- Techs | Research: 30
- Project Techs | Difficulty: 2
- Project Changes | Reasons: 🔀 Cambio de roles dentro del equipo
- Project Changes | Personal Impact: 2
- Project Role | Value: 5
- Project role | Notes: La permanencia en el proyecto ha afectado positivamente a Santiago que se encuentra motivado para continuar con sus tareas.</v>
      </c>
      <c r="J120" s="4" t="str">
        <f>IFERROR(__xludf.DUMMYFUNCTION("""COMPUTED_VALUE"""),"Tech Referent - OneOnOne")</f>
        <v>Tech Referent - OneOnOne</v>
      </c>
    </row>
    <row r="121" hidden="1">
      <c r="A121" s="4">
        <f>IFERROR(__xludf.DUMMYFUNCTION("""COMPUTED_VALUE"""),260.0)</f>
        <v>260</v>
      </c>
      <c r="B121" s="4" t="str">
        <f>IFERROR(__xludf.DUMMYFUNCTION("""COMPUTED_VALUE"""),"ivan.vasquez")</f>
        <v>ivan.vasquez</v>
      </c>
      <c r="C121" s="5">
        <f>IFERROR(__xludf.DUMMYFUNCTION("""COMPUTED_VALUE"""),45027.45801412037)</f>
        <v>45027.45801</v>
      </c>
      <c r="D121" s="5">
        <f>IFERROR(__xludf.DUMMYFUNCTION("""COMPUTED_VALUE"""),45027.0)</f>
        <v>45027</v>
      </c>
      <c r="E121" s="4" t="str">
        <f>IFERROR(__xludf.DUMMYFUNCTION("""COMPUTED_VALUE"""),"jesica.petrauskas@patagoniansys.com")</f>
        <v>jesica.petrauskas@patagoniansys.com</v>
      </c>
      <c r="F121" s="4" t="str">
        <f>IFERROR(__xludf.DUMMYFUNCTION("""COMPUTED_VALUE"""),"ivan.vasquez@patagoniansys.com")</f>
        <v>ivan.vasquez@patagoniansys.com</v>
      </c>
      <c r="G121" s="4" t="str">
        <f>IFERROR(__xludf.DUMMYFUNCTION("""COMPUTED_VALUE"""),"⏱ One on One")</f>
        <v>⏱ One on One</v>
      </c>
      <c r="H121" s="4" t="str">
        <f>IFERROR(__xludf.DUMMYFUNCTION("""COMPUTED_VALUE"""),"🙂 Feliz")</f>
        <v>🙂 Feliz</v>
      </c>
      <c r="I121" s="6" t="str">
        <f>IFERROR(__xludf.DUMMYFUNCTION("""COMPUTED_VALUE"""),"Participa en la organización de QA y la certificación la semana que viene, está haciendo las capacitaciones fuera de hora. Considera que está dando mucho soporte al área de QA ( hace seguimiento del equipo, entrevistas, formularios ) y eso en ocasiones le"&amp;" saca tiempo del proyecto. Ningún problema con el equipo se siente muy bien trabajando con ellos.")</f>
        <v>Participa en la organización de QA y la certificación la semana que viene, está haciendo las capacitaciones fuera de hora. Considera que está dando mucho soporte al área de QA ( hace seguimiento del equipo, entrevistas, formularios ) y eso en ocasiones le saca tiempo del proyecto. Ningún problema con el equipo se siente muy bien trabajando con ellos.</v>
      </c>
      <c r="J121" s="4" t="str">
        <f>IFERROR(__xludf.DUMMYFUNCTION("""COMPUTED_VALUE"""),"PX|Referents|RRHH")</f>
        <v>PX|Referents|RRHH</v>
      </c>
    </row>
    <row r="122">
      <c r="A122" s="4">
        <f>IFERROR(__xludf.DUMMYFUNCTION("""COMPUTED_VALUE"""),152.0)</f>
        <v>152</v>
      </c>
      <c r="B122" s="4" t="str">
        <f>IFERROR(__xludf.DUMMYFUNCTION("""COMPUTED_VALUE"""),"omar.fandino")</f>
        <v>omar.fandino</v>
      </c>
      <c r="C122" s="5">
        <f>IFERROR(__xludf.DUMMYFUNCTION("""COMPUTED_VALUE"""),45027.63401700232)</f>
        <v>45027.63402</v>
      </c>
      <c r="D122" s="5">
        <f>IFERROR(__xludf.DUMMYFUNCTION("""COMPUTED_VALUE"""),45027.0)</f>
        <v>45027</v>
      </c>
      <c r="E122" s="4" t="str">
        <f>IFERROR(__xludf.DUMMYFUNCTION("""COMPUTED_VALUE"""),"gonzalo.garro@patagoniansys.com")</f>
        <v>gonzalo.garro@patagoniansys.com</v>
      </c>
      <c r="F122" s="4" t="str">
        <f>IFERROR(__xludf.DUMMYFUNCTION("""COMPUTED_VALUE"""),"omar.fandino@patagoniansys.com")</f>
        <v>omar.fandino@patagoniansys.com</v>
      </c>
      <c r="G122" s="4" t="str">
        <f>IFERROR(__xludf.DUMMYFUNCTION("""COMPUTED_VALUE"""),"Initial gathering")</f>
        <v>Initial gathering</v>
      </c>
      <c r="H122" s="4"/>
      <c r="I122" s="6" t="str">
        <f>IFERROR(__xludf.DUMMYFUNCTION("""COMPUTED_VALUE"""),"- Interviewee e-Mail: omar.fandino@patagoniansys.com
- Project name: Conversifi
- Project | Role: Backend Developer, Frontend Developer
- Project | Description: Plataforma para aprender idiomas, los participantes se comunican con nativos lo que lo hace in"&amp;"teresante. Esta como bench pero participando del proyecto. Le preocupa un poco estar en bench, pero le agrada poder participar.
- Project | technologies: MERN. Context API, Material UI. Twilio
- Happiness in project technology: 🙂 Feliz
- Happiness in pro"&amp;"ject technology | Description: Le gusta usar React por que una tech que es muy popular. Aprendiendo Node. Aggregations de mongo, esta aprendiendo y le gusta. Aprendiendo Websockets también. Le gustaría continuar con este stack a futuro. Pero si tiene que "&amp;"volver a PHP no tiene problema.
- Project | The best/coolest thing: Tiene muchos desafíos. Siempre se aprende algo nuevo.
- Project | The worst thing: No tienen diseñador. Tienen que hacer toda la UI/UX ellos mismos. Copian el diseño de google meet.
- Pro"&amp;"ject | Improvements: Conseguir diseñadores.
- Team | TL: Martín Castro
- Team | PX: Juanito
- Team | QA: 2
- Team | QA Automation: 👍 Si
- Team | QA | Notes: Natalia Martinez QA manual y Manu Abruzo QA automation
- Team | UI/UX: 0
- Team | UI/UX | Notes: "&amp;"Estaria bueno tener gente de diseño.
- Team | DevOps: 🤔 Hay colaboradores pero no están asignados al proyecto
- Team | DevOps | Notes: Edu Cuomo y Fico colaboran como devops
- Team | Data Engineer: 0")</f>
        <v>- Interviewee e-Mail: omar.fandino@patagoniansys.com
- Project name: Conversifi
- Project | Role: Backend Developer, Frontend Developer
- Project | Description: Plataforma para aprender idiomas, los participantes se comunican con nativos lo que lo hace interesante. Esta como bench pero participando del proyecto. Le preocupa un poco estar en bench, pero le agrada poder participar.
- Project | technologies: MERN. Context API, Material UI. Twilio
- Happiness in project technology: 🙂 Feliz
- Happiness in project technology | Description: Le gusta usar React por que una tech que es muy popular. Aprendiendo Node. Aggregations de mongo, esta aprendiendo y le gusta. Aprendiendo Websockets también. Le gustaría continuar con este stack a futuro. Pero si tiene que volver a PHP no tiene problema.
- Project | The best/coolest thing: Tiene muchos desafíos. Siempre se aprende algo nuevo.
- Project | The worst thing: No tienen diseñador. Tienen que hacer toda la UI/UX ellos mismos. Copian el diseño de google meet.
- Project | Improvements: Conseguir diseñadores.
- Team | TL: Martín Castro
- Team | PX: Juanito
- Team | QA: 2
- Team | QA Automation: 👍 Si
- Team | QA | Notes: Natalia Martinez QA manual y Manu Abruzo QA automation
- Team | UI/UX: 0
- Team | UI/UX | Notes: Estaria bueno tener gente de diseño.
- Team | DevOps: 🤔 Hay colaboradores pero no están asignados al proyecto
- Team | DevOps | Notes: Edu Cuomo y Fico colaboran como devops
- Team | Data Engineer: 0</v>
      </c>
      <c r="J122" s="4" t="str">
        <f>IFERROR(__xludf.DUMMYFUNCTION("""COMPUTED_VALUE"""),"Tech Referent - Initial gathering")</f>
        <v>Tech Referent - Initial gathering</v>
      </c>
    </row>
    <row r="123" hidden="1">
      <c r="A123" s="4">
        <f>IFERROR(__xludf.DUMMYFUNCTION("""COMPUTED_VALUE"""),204.0)</f>
        <v>204</v>
      </c>
      <c r="B123" s="4" t="str">
        <f>IFERROR(__xludf.DUMMYFUNCTION("""COMPUTED_VALUE"""),"luisa.fernandez")</f>
        <v>luisa.fernandez</v>
      </c>
      <c r="C123" s="5">
        <f>IFERROR(__xludf.DUMMYFUNCTION("""COMPUTED_VALUE"""),45027.67696452547)</f>
        <v>45027.67696</v>
      </c>
      <c r="D123" s="5">
        <f>IFERROR(__xludf.DUMMYFUNCTION("""COMPUTED_VALUE"""),45027.0)</f>
        <v>45027</v>
      </c>
      <c r="E123" s="4" t="str">
        <f>IFERROR(__xludf.DUMMYFUNCTION("""COMPUTED_VALUE"""),"tomas.bayley@patagoniansys.com")</f>
        <v>tomas.bayley@patagoniansys.com</v>
      </c>
      <c r="F123" s="4" t="str">
        <f>IFERROR(__xludf.DUMMYFUNCTION("""COMPUTED_VALUE"""),"luisa.fernandez@patagoniansys.com")</f>
        <v>luisa.fernandez@patagoniansys.com</v>
      </c>
      <c r="G123" s="4" t="str">
        <f>IFERROR(__xludf.DUMMYFUNCTION("""COMPUTED_VALUE"""),"⏱ One on One")</f>
        <v>⏱ One on One</v>
      </c>
      <c r="H123" s="4" t="str">
        <f>IFERROR(__xludf.DUMMYFUNCTION("""COMPUTED_VALUE"""),"😀 Sumamente Feliz")</f>
        <v>😀 Sumamente Feliz</v>
      </c>
      <c r="I123" s="6" t="str">
        <f>IFERROR(__xludf.DUMMYFUNCTION("""COMPUTED_VALUE"""),"Luisa esta sumamente contenta con el proyecto, su unica queja es que no dure mas tiempo")</f>
        <v>Luisa esta sumamente contenta con el proyecto, su unica queja es que no dure mas tiempo</v>
      </c>
      <c r="J123" s="4" t="str">
        <f>IFERROR(__xludf.DUMMYFUNCTION("""COMPUTED_VALUE"""),"PX|Referents|RRHH")</f>
        <v>PX|Referents|RRHH</v>
      </c>
    </row>
    <row r="124">
      <c r="A124" s="4">
        <f>IFERROR(__xludf.DUMMYFUNCTION("""COMPUTED_VALUE"""),188.0)</f>
        <v>188</v>
      </c>
      <c r="B124" s="4" t="str">
        <f>IFERROR(__xludf.DUMMYFUNCTION("""COMPUTED_VALUE"""),"mauricio.lahitte")</f>
        <v>mauricio.lahitte</v>
      </c>
      <c r="C124" s="5">
        <f>IFERROR(__xludf.DUMMYFUNCTION("""COMPUTED_VALUE"""),45028.64062206019)</f>
        <v>45028.64062</v>
      </c>
      <c r="D124" s="5">
        <f>IFERROR(__xludf.DUMMYFUNCTION("""COMPUTED_VALUE"""),45028.0)</f>
        <v>45028</v>
      </c>
      <c r="E124" s="4" t="str">
        <f>IFERROR(__xludf.DUMMYFUNCTION("""COMPUTED_VALUE"""),"jorge.contreras@patagoniansys.com")</f>
        <v>jorge.contreras@patagoniansys.com</v>
      </c>
      <c r="F124" s="4" t="str">
        <f>IFERROR(__xludf.DUMMYFUNCTION("""COMPUTED_VALUE"""),"mauricio.lahitte@patagonian.com")</f>
        <v>mauricio.lahitte@patagonian.com</v>
      </c>
      <c r="G124" s="4" t="str">
        <f>IFERROR(__xludf.DUMMYFUNCTION("""COMPUTED_VALUE"""),"Initial gathering")</f>
        <v>Initial gathering</v>
      </c>
      <c r="H124" s="4"/>
      <c r="I124" s="6" t="str">
        <f>IFERROR(__xludf.DUMMYFUNCTION("""COMPUTED_VALUE"""),"- Interviewee e-Mail: mauricio.lahitte@patagonian.com
- Project name: Rhebus
- Project | Role: Fullstack (Node.js, Vue.js)
- Project | Description: Poder stremear un canal y presentar videos en plataformas de streaming como Amazon Prime o Roku TV
- Projec"&amp;"t | technologies: MongoDB, Vue.js (v2), Node.js, Lambda AWS, Elastic, API Gateway, Cloudfront, CDN
- Happiness in project technology: 😀 Sumamente Feliz
- Happiness in project technology | Description: Muchos desafíos técnicos, pero he aprendido y me sien"&amp;"to muy bien. Por ejemplo, lambda de AWS lo aprendí y me gustó
- Project | The best/coolest thing: El equipo es genial. La calidad de gente es muy buena.
- Project | The worst thing: Se depreca muy fácil. El proyecto tiene mucho tiempo de haberse construid"&amp;"o y hay cosas que ya dejan de hacerle mantenimiento.
- Project | Improvements: Le pondría énfasis en subir o actualizarse en las tecnologías.
- Team | TL: Yo
- Team | PX: Hernán Murras
- Team | QA: 1
- Team | QA Automation: 👎 No
- Team | QA | Notes: Lo h"&amp;"ace un chico de Patagonian
- Team | UI/UX: 0
- Team | UI/UX | Notes: Es parte del cliente
- Team | DevOps: 0
- Team | DevOps | Notes: Lo manejamos internamente. Yo y otro chico
- Team | Data Engineer: 0")</f>
        <v>- Interviewee e-Mail: mauricio.lahitte@patagonian.com
- Project name: Rhebus
- Project | Role: Fullstack (Node.js, Vue.js)
- Project | Description: Poder stremear un canal y presentar videos en plataformas de streaming como Amazon Prime o Roku TV
- Project | technologies: MongoDB, Vue.js (v2), Node.js, Lambda AWS, Elastic, API Gateway, Cloudfront, CDN
- Happiness in project technology: 😀 Sumamente Feliz
- Happiness in project technology | Description: Muchos desafíos técnicos, pero he aprendido y me siento muy bien. Por ejemplo, lambda de AWS lo aprendí y me gustó
- Project | The best/coolest thing: El equipo es genial. La calidad de gente es muy buena.
- Project | The worst thing: Se depreca muy fácil. El proyecto tiene mucho tiempo de haberse construido y hay cosas que ya dejan de hacerle mantenimiento.
- Project | Improvements: Le pondría énfasis en subir o actualizarse en las tecnologías.
- Team | TL: Yo
- Team | PX: Hernán Murras
- Team | QA: 1
- Team | QA Automation: 👎 No
- Team | QA | Notes: Lo hace un chico de Patagonian
- Team | UI/UX: 0
- Team | UI/UX | Notes: Es parte del cliente
- Team | DevOps: 0
- Team | DevOps | Notes: Lo manejamos internamente. Yo y otro chico
- Team | Data Engineer: 0</v>
      </c>
      <c r="J124" s="4" t="str">
        <f>IFERROR(__xludf.DUMMYFUNCTION("""COMPUTED_VALUE"""),"Tech Referent - Initial gathering")</f>
        <v>Tech Referent - Initial gathering</v>
      </c>
    </row>
    <row r="125" hidden="1">
      <c r="A125" s="4">
        <f>IFERROR(__xludf.DUMMYFUNCTION("""COMPUTED_VALUE"""),249.0)</f>
        <v>249</v>
      </c>
      <c r="B125" s="4" t="str">
        <f>IFERROR(__xludf.DUMMYFUNCTION("""COMPUTED_VALUE"""),"nahuel.diaz")</f>
        <v>nahuel.diaz</v>
      </c>
      <c r="C125" s="5">
        <f>IFERROR(__xludf.DUMMYFUNCTION("""COMPUTED_VALUE"""),45028.647270428235)</f>
        <v>45028.64727</v>
      </c>
      <c r="D125" s="5">
        <f>IFERROR(__xludf.DUMMYFUNCTION("""COMPUTED_VALUE"""),45028.0)</f>
        <v>45028</v>
      </c>
      <c r="E125" s="4" t="str">
        <f>IFERROR(__xludf.DUMMYFUNCTION("""COMPUTED_VALUE"""),"tomas.bayley@patagoniansys.com")</f>
        <v>tomas.bayley@patagoniansys.com</v>
      </c>
      <c r="F125" s="4" t="str">
        <f>IFERROR(__xludf.DUMMYFUNCTION("""COMPUTED_VALUE"""),"nahuel.diaz@patagoniansys.com")</f>
        <v>nahuel.diaz@patagoniansys.com</v>
      </c>
      <c r="G125" s="4" t="str">
        <f>IFERROR(__xludf.DUMMYFUNCTION("""COMPUTED_VALUE"""),"⏱ One on One")</f>
        <v>⏱ One on One</v>
      </c>
      <c r="H125" s="4" t="str">
        <f>IFERROR(__xludf.DUMMYFUNCTION("""COMPUTED_VALUE"""),"😀 Sumamente Feliz")</f>
        <v>😀 Sumamente Feliz</v>
      </c>
      <c r="I125" s="6" t="str">
        <f>IFERROR(__xludf.DUMMYFUNCTION("""COMPUTED_VALUE"""),"Esta sumamente conforme con el proyecto, comenta que le gustaria que no hubiesen cambios durante la marcha pero que lo entiende como parte de la metodologia agil ")</f>
        <v>Esta sumamente conforme con el proyecto, comenta que le gustaria que no hubiesen cambios durante la marcha pero que lo entiende como parte de la metodologia agil </v>
      </c>
      <c r="J125" s="4" t="str">
        <f>IFERROR(__xludf.DUMMYFUNCTION("""COMPUTED_VALUE"""),"PX|Referents|RRHH")</f>
        <v>PX|Referents|RRHH</v>
      </c>
    </row>
    <row r="126" hidden="1">
      <c r="A126" s="4">
        <f>IFERROR(__xludf.DUMMYFUNCTION("""COMPUTED_VALUE"""),174.0)</f>
        <v>174</v>
      </c>
      <c r="B126" s="4" t="str">
        <f>IFERROR(__xludf.DUMMYFUNCTION("""COMPUTED_VALUE"""),"federico.matos")</f>
        <v>federico.matos</v>
      </c>
      <c r="C126" s="5">
        <f>IFERROR(__xludf.DUMMYFUNCTION("""COMPUTED_VALUE"""),45028.70347438657)</f>
        <v>45028.70347</v>
      </c>
      <c r="D126" s="5">
        <f>IFERROR(__xludf.DUMMYFUNCTION("""COMPUTED_VALUE"""),45028.0)</f>
        <v>45028</v>
      </c>
      <c r="E126" s="4" t="str">
        <f>IFERROR(__xludf.DUMMYFUNCTION("""COMPUTED_VALUE"""),"federico.peralta@patagoniansys.com")</f>
        <v>federico.peralta@patagoniansys.com</v>
      </c>
      <c r="F126" s="4" t="str">
        <f>IFERROR(__xludf.DUMMYFUNCTION("""COMPUTED_VALUE"""),"federico.matos@patagoniansys.com")</f>
        <v>federico.matos@patagoniansys.com</v>
      </c>
      <c r="G126" s="4" t="str">
        <f>IFERROR(__xludf.DUMMYFUNCTION("""COMPUTED_VALUE"""),"⏱ One on One")</f>
        <v>⏱ One on One</v>
      </c>
      <c r="H126" s="4" t="str">
        <f>IFERROR(__xludf.DUMMYFUNCTION("""COMPUTED_VALUE"""),"🙂 Feliz")</f>
        <v>🙂 Feliz</v>
      </c>
      <c r="I126" s="6" t="str">
        <f>IFERROR(__xludf.DUMMYFUNCTION("""COMPUTED_VALUE"""),"Esta contento con la empresa, con el cliente y con los nuevos desafios propuestos.")</f>
        <v>Esta contento con la empresa, con el cliente y con los nuevos desafios propuestos.</v>
      </c>
      <c r="J126" s="4" t="str">
        <f>IFERROR(__xludf.DUMMYFUNCTION("""COMPUTED_VALUE"""),"PX|Referents|RRHH")</f>
        <v>PX|Referents|RRHH</v>
      </c>
    </row>
    <row r="127">
      <c r="A127" s="4">
        <f>IFERROR(__xludf.DUMMYFUNCTION("""COMPUTED_VALUE"""),125.0)</f>
        <v>125</v>
      </c>
      <c r="B127" s="4" t="str">
        <f>IFERROR(__xludf.DUMMYFUNCTION("""COMPUTED_VALUE"""),"pablo.triandafilide")</f>
        <v>pablo.triandafilide</v>
      </c>
      <c r="C127" s="5">
        <f>IFERROR(__xludf.DUMMYFUNCTION("""COMPUTED_VALUE"""),45028.715345046294)</f>
        <v>45028.71535</v>
      </c>
      <c r="D127" s="5">
        <f>IFERROR(__xludf.DUMMYFUNCTION("""COMPUTED_VALUE"""),45028.0)</f>
        <v>45028</v>
      </c>
      <c r="E127" s="4" t="str">
        <f>IFERROR(__xludf.DUMMYFUNCTION("""COMPUTED_VALUE"""),"eugenio.fioriti@patagoniansys.com")</f>
        <v>eugenio.fioriti@patagoniansys.com</v>
      </c>
      <c r="F127" s="4" t="str">
        <f>IFERROR(__xludf.DUMMYFUNCTION("""COMPUTED_VALUE"""),"pablo.triandafilide@patagonian.it")</f>
        <v>pablo.triandafilide@patagonian.it</v>
      </c>
      <c r="G127" s="4" t="str">
        <f>IFERROR(__xludf.DUMMYFUNCTION("""COMPUTED_VALUE"""),"Initial gathering")</f>
        <v>Initial gathering</v>
      </c>
      <c r="H127" s="4"/>
      <c r="I127" s="6" t="str">
        <f>IFERROR(__xludf.DUMMYFUNCTION("""COMPUTED_VALUE"""),"- Interviewee e-Mail: pablo.triandafilide@patagonian.it
- Project name: Mbody
- Project | Role: Backend Developer, Frontend Developer
- Project | Description: El proyecto es una plataforma de nutrición. Su responsabilidad: desarrollar las características "&amp;"que pida el cliente y mantenimiento de las partes del sistema, tanto backend y/o frontend. 
- Project | technologies: Groovy, jQuery, Javascript, Typescript
- Happiness in project technology: 😐 Indiferente
- Happiness in project technology | Description:"&amp;" ""Se puede mejorar"" fue su comentario. No lo percibo desmotivado igualmente.
- Project | The best/coolest thing: Que usa varias tecnologías, más de una.
- Project | The worst thing: Groovy/Grails no le gusta mucho porque es una versión antigua de este s"&amp;"tack.
- Project | Improvements: Separar el front del backend.
- Team | TL: Ernesto Parada
- Team | PX: Jesica Petrauskas
- Team | QA: 1
- Team | QA Automation: 👎 No
- Team | QA | Notes: No está seguro si Jesica cuenta como QA, dado que también prueba las"&amp;" releases
- Team | UI/UX: 0
- Team | DevOps: 1
- Team | Data Engineer: 0")</f>
        <v>- Interviewee e-Mail: pablo.triandafilide@patagonian.it
- Project name: Mbody
- Project | Role: Backend Developer, Frontend Developer
- Project | Description: El proyecto es una plataforma de nutrición. Su responsabilidad: desarrollar las características que pida el cliente y mantenimiento de las partes del sistema, tanto backend y/o frontend. 
- Project | technologies: Groovy, jQuery, Javascript, Typescript
- Happiness in project technology: 😐 Indiferente
- Happiness in project technology | Description: "Se puede mejorar" fue su comentario. No lo percibo desmotivado igualmente.
- Project | The best/coolest thing: Que usa varias tecnologías, más de una.
- Project | The worst thing: Groovy/Grails no le gusta mucho porque es una versión antigua de este stack.
- Project | Improvements: Separar el front del backend.
- Team | TL: Ernesto Parada
- Team | PX: Jesica Petrauskas
- Team | QA: 1
- Team | QA Automation: 👎 No
- Team | QA | Notes: No está seguro si Jesica cuenta como QA, dado que también prueba las releases
- Team | UI/UX: 0
- Team | DevOps: 1
- Team | Data Engineer: 0</v>
      </c>
      <c r="J127" s="4" t="str">
        <f>IFERROR(__xludf.DUMMYFUNCTION("""COMPUTED_VALUE"""),"Tech Referent - Initial gathering")</f>
        <v>Tech Referent - Initial gathering</v>
      </c>
    </row>
    <row r="128">
      <c r="A128" s="4">
        <f>IFERROR(__xludf.DUMMYFUNCTION("""COMPUTED_VALUE"""),319.0)</f>
        <v>319</v>
      </c>
      <c r="B128" s="4" t="str">
        <f>IFERROR(__xludf.DUMMYFUNCTION("""COMPUTED_VALUE"""),"kharoly.cordova")</f>
        <v>kharoly.cordova</v>
      </c>
      <c r="C128" s="5">
        <f>IFERROR(__xludf.DUMMYFUNCTION("""COMPUTED_VALUE"""),45028.740209317126)</f>
        <v>45028.74021</v>
      </c>
      <c r="D128" s="5">
        <f>IFERROR(__xludf.DUMMYFUNCTION("""COMPUTED_VALUE"""),45028.0)</f>
        <v>45028</v>
      </c>
      <c r="E128" s="4" t="str">
        <f>IFERROR(__xludf.DUMMYFUNCTION("""COMPUTED_VALUE"""),"ivan.vasquez@patagoniansys.com")</f>
        <v>ivan.vasquez@patagoniansys.com</v>
      </c>
      <c r="F128" s="4" t="str">
        <f>IFERROR(__xludf.DUMMYFUNCTION("""COMPUTED_VALUE"""),"kharoly.cordova@patagoniansys.com")</f>
        <v>kharoly.cordova@patagoniansys.com</v>
      </c>
      <c r="G128" s="4" t="str">
        <f>IFERROR(__xludf.DUMMYFUNCTION("""COMPUTED_VALUE"""),"Initial gathering")</f>
        <v>Initial gathering</v>
      </c>
      <c r="H128" s="4"/>
      <c r="I128" s="6" t="str">
        <f>IFERROR(__xludf.DUMMYFUNCTION("""COMPUTED_VALUE"""),"- Interviewee e-Mail: kharoly.cordova@patagoniansys.com
- Project name: SnapClose
- Project | Role: QA Manual
- Project | Description: El proyecto esta orientado a administración y gestión de venta/alquiler/construcción de propiedades inmobiliarias
- Proj"&amp;"ect | technologies: como QA: jira; como Automation: java + Selenium
- Happiness in project technology: 🙂 Feliz
- Happiness in project technology | Description: Se encuentra bastante motivada en relación rol que le toco desempeñar en el proyecto.
- Projec"&amp;"t | The best/coolest thing: La metodología de desarrollo, rapída adaptación a cambios, versatilidad para resolver problemas
- Project | The worst thing: La organización del equipo y del proyecto al inicio
- Project | Improvements: Tecnológicamente, no se "&amp;"tienen observaciones; Técnicamente, se requiere incrementar los recursos humanos en el proyecto
- Team | TL: None
- Team | PX: Hernán Muras/A. Silvina Urbani/ None
- Team | QA: 1
- Team | QA Automation: 👍 Si
- Team | QA | Notes: Recientemente se contrato"&amp;" un recurso externo para la automatización
- Team | UI/UX: 5
- Team | UI/UX | Notes: el equipo inicio con 3 personas y llego a 5 recientemente
- Team | DevOps: 0
- Team | DevOps | Notes: No se tiene claro si el cliente tiene DevOps por su lado
- Team | Da"&amp;"ta Engineer: 0")</f>
        <v>- Interviewee e-Mail: kharoly.cordova@patagoniansys.com
- Project name: SnapClose
- Project | Role: QA Manual
- Project | Description: El proyecto esta orientado a administración y gestión de venta/alquiler/construcción de propiedades inmobiliarias
- Project | technologies: como QA: jira; como Automation: java + Selenium
- Happiness in project technology: 🙂 Feliz
- Happiness in project technology | Description: Se encuentra bastante motivada en relación rol que le toco desempeñar en el proyecto.
- Project | The best/coolest thing: La metodología de desarrollo, rapída adaptación a cambios, versatilidad para resolver problemas
- Project | The worst thing: La organización del equipo y del proyecto al inicio
- Project | Improvements: Tecnológicamente, no se tienen observaciones; Técnicamente, se requiere incrementar los recursos humanos en el proyecto
- Team | TL: None
- Team | PX: Hernán Muras/A. Silvina Urbani/ None
- Team | QA: 1
- Team | QA Automation: 👍 Si
- Team | QA | Notes: Recientemente se contrato un recurso externo para la automatización
- Team | UI/UX: 5
- Team | UI/UX | Notes: el equipo inicio con 3 personas y llego a 5 recientemente
- Team | DevOps: 0
- Team | DevOps | Notes: No se tiene claro si el cliente tiene DevOps por su lado
- Team | Data Engineer: 0</v>
      </c>
      <c r="J128" s="4" t="str">
        <f>IFERROR(__xludf.DUMMYFUNCTION("""COMPUTED_VALUE"""),"Tech Referent - Initial gathering")</f>
        <v>Tech Referent - Initial gathering</v>
      </c>
    </row>
    <row r="129" hidden="1">
      <c r="A129" s="4">
        <f>IFERROR(__xludf.DUMMYFUNCTION("""COMPUTED_VALUE"""),197.0)</f>
        <v>197</v>
      </c>
      <c r="B129" s="4" t="str">
        <f>IFERROR(__xludf.DUMMYFUNCTION("""COMPUTED_VALUE"""),"gianfranco.fois")</f>
        <v>gianfranco.fois</v>
      </c>
      <c r="C129" s="5">
        <f>IFERROR(__xludf.DUMMYFUNCTION("""COMPUTED_VALUE"""),45029.55316967593)</f>
        <v>45029.55317</v>
      </c>
      <c r="D129" s="5">
        <f>IFERROR(__xludf.DUMMYFUNCTION("""COMPUTED_VALUE"""),45029.0)</f>
        <v>45029</v>
      </c>
      <c r="E129" s="4" t="str">
        <f>IFERROR(__xludf.DUMMYFUNCTION("""COMPUTED_VALUE"""),"federico.peralta@patagoniansys.com")</f>
        <v>federico.peralta@patagoniansys.com</v>
      </c>
      <c r="F129" s="4" t="str">
        <f>IFERROR(__xludf.DUMMYFUNCTION("""COMPUTED_VALUE"""),"gianfranco.fois@patagoniansys.com")</f>
        <v>gianfranco.fois@patagoniansys.com</v>
      </c>
      <c r="G129" s="4" t="str">
        <f>IFERROR(__xludf.DUMMYFUNCTION("""COMPUTED_VALUE"""),"⏱ One on One")</f>
        <v>⏱ One on One</v>
      </c>
      <c r="H129" s="4" t="str">
        <f>IFERROR(__xludf.DUMMYFUNCTION("""COMPUTED_VALUE"""),"🙂 Feliz")</f>
        <v>🙂 Feliz</v>
      </c>
      <c r="I129" s="6" t="str">
        <f>IFERROR(__xludf.DUMMYFUNCTION("""COMPUTED_VALUE"""),"El proyecto le gusta, esta contento, pero comento que al salir de invap y al ingresar en este proyecto, sabiendo que es un prototipo sintio que lo asignaron para no dejarlo en bech, y que esta de manera provisoria. Sumado a que el proyecto no se sabe que "&amp;"va a seguir, entonces tiene esa incertidumbre con respecto a su continuidad del proyecto y no tiene en claro cual sera el siguiente desafio. Tambien le comentaron que estan buscando un proyecto que se adecue mas a sus skils tecnicos, pero que este desafio"&amp;" incluye couchear a otro dev y en ese tema esta contento.")</f>
        <v>El proyecto le gusta, esta contento, pero comento que al salir de invap y al ingresar en este proyecto, sabiendo que es un prototipo sintio que lo asignaron para no dejarlo en bech, y que esta de manera provisoria. Sumado a que el proyecto no se sabe que va a seguir, entonces tiene esa incertidumbre con respecto a su continuidad del proyecto y no tiene en claro cual sera el siguiente desafio. Tambien le comentaron que estan buscando un proyecto que se adecue mas a sus skils tecnicos, pero que este desafio incluye couchear a otro dev y en ese tema esta contento.</v>
      </c>
      <c r="J129" s="4" t="str">
        <f>IFERROR(__xludf.DUMMYFUNCTION("""COMPUTED_VALUE"""),"PX|Referents|RRHH")</f>
        <v>PX|Referents|RRHH</v>
      </c>
    </row>
    <row r="130">
      <c r="A130" s="4">
        <f>IFERROR(__xludf.DUMMYFUNCTION("""COMPUTED_VALUE"""),162.0)</f>
        <v>162</v>
      </c>
      <c r="B130" s="4" t="str">
        <f>IFERROR(__xludf.DUMMYFUNCTION("""COMPUTED_VALUE"""),"cristian.cortes")</f>
        <v>cristian.cortes</v>
      </c>
      <c r="C130" s="5">
        <f>IFERROR(__xludf.DUMMYFUNCTION("""COMPUTED_VALUE"""),45029.604484282405)</f>
        <v>45029.60448</v>
      </c>
      <c r="D130" s="5">
        <f>IFERROR(__xludf.DUMMYFUNCTION("""COMPUTED_VALUE"""),45029.0)</f>
        <v>45029</v>
      </c>
      <c r="E130" s="4" t="str">
        <f>IFERROR(__xludf.DUMMYFUNCTION("""COMPUTED_VALUE"""),"edgar.bonilla@patagoniansys.com")</f>
        <v>edgar.bonilla@patagoniansys.com</v>
      </c>
      <c r="F130" s="4" t="str">
        <f>IFERROR(__xludf.DUMMYFUNCTION("""COMPUTED_VALUE"""),"cristian.cortes@patagoniansys.com")</f>
        <v>cristian.cortes@patagoniansys.com</v>
      </c>
      <c r="G130" s="4" t="str">
        <f>IFERROR(__xludf.DUMMYFUNCTION("""COMPUTED_VALUE"""),"Initial gathering")</f>
        <v>Initial gathering</v>
      </c>
      <c r="H130" s="4"/>
      <c r="I130" s="6" t="str">
        <f>IFERROR(__xludf.DUMMYFUNCTION("""COMPUTED_VALUE"""),"- Interviewee e-Mail: cristian.cortes@patagoniansys.com
- Project name: Eythena
- Project | Role: Mobile Developer
- Project | Description: El proyecto inició siendo un prototipo. Está enmarcado en el área de la salud ocular y el control en la administrac"&amp;"ión de medicamentos de los usuarios.
A pesar de que el proyecto inició siendo un prototipo, siente que en el camino fue creciendo y avanzando hacia algo más elaborado.
Creo que las Fortalezas, Debilidades y Oportunidades se aclaran más específicamente e"&amp;"n las secciones de Best and Worst y en 
- Project | technologies: React Native, Node.js, Azure Artifacts, MongoDB
- Happiness in project technology: 🙂 Feliz
- Happiness in project technology | Description: La desmotivación no es por las tareas sino por l"&amp;"a dinámica del proyecto que se explica en las siguientes preguntas.
- Project | The best/coolest thing: - El aprendizaje técnico que ha ganado gracias al proyecto ha sido muy valioso para él. Desde tener la experiencia de arrancar el proyecto desde cero, "&amp;"aprender nuevas tecnologías y adquirir experiencia en todo el flujo de desarrollo y despliegue de una aplicación móvil.
- El equipo del proyecto está formado por personas muy chéveres, amigables y buena onda. Un buen ambiente de trabajo.
- Ya ahora en la "&amp;"recta final del proyecto siente que las cosas por fin las empezaron a hacer como se debe. ""De 20 días hacia acá ha mejorado mucho"".
- Ha tomado la iniciativa de convocar reuniones para atacar ciertos temas por mejorar en el proyecto y ser propositivo.
-"&amp;" Project | The worst thing: - No hay proceso de review de Pull Requests, lo cual manifestó desde un inicio del proyecto
- No hubo acompañamiento desde el inicio del proyecto
- No le parece buen práctica tener un sólo dev en un proyecto
- Falta de visión y"&amp;" organización, un poco de improvisación también
- El proyecto inició un mes tarde y se ha trabajado de manera muy acelerada
- Sin lineamientos de buenas prácticas
- Siente que siempre vieron la aplicación con ""un prototipo"" y no le dieron la relevancia "&amp;"a la calidad del proyecto
- Siente que la aplicación inició con la idea de un prototipo y terminó 
- Ha sido un proyecto bastante acelerado
- Todo el proceso fue muy acelerado y tocaba sacar features muy rápido pero eso implicaba sacrificar calidad en el "&amp;"código para lograr la satisfacción del cliente cumpliendo con los entregables.
- Cambios imprevistos que surgen en el proyecto, se añaden y/o modifican features (cambia el scope del proyecto) y los tiempos de entrega no se modifican.
- Luego entró Rodrigo"&amp;" Cibils al proyecto y desde su percepción entró a hacer cosas a su manera sin buscar generar acuerdos y siente que entró de manera muy autoritaria. Entre otras cosas siente que luego de la entrada de Rodrigo se haya formado en el equipo una mala percepció"&amp;"n de su trabajo.
- De todos modos manifiesta que muchos de estos problemas ya los ha flaggeado durante la ejecución del proyecto.
- Ha tomado la iniciativa de convocar reuniones para atacar ciertos temas y ser propositivo.
- Ya ahora en la recta final del"&amp;" proyecto siente que las cosas por fin las empezaron a hacer como se debe. ""De 20 días hacia acá ha mejorado mucho"" y hay varios de los puntos anteriores los han ido mejorando.
- Project | Improvements: - Proceso de Code Reviews (aunque ya se ha venido "&amp;"mejorando bastante).
- Darle más importancia a la calidad del proyecto en términos de planeación y plazos.
- Organizar mejor los procesos de release de features desde que se termina el código, pasa por QA, hasta que lanza el build.
- No ""desmeritar"" el "&amp;"proyecto porque sea un prototipo sino enfocar su desarrollo con miras a que futuro puede crecer y que quede muy bien fundamentado en sus bases.
- Team | TL: Ernesto Parada
- Team | PX: Jesica Petrauskas
- Team | QA: 1
- Team | QA Automation: 👎 No
- Team "&amp;"| QA | Notes: Cristian siente que QA (Juan Galo) siente que hace su trabajo bien pero siente que quizás se puede estar sintiendo limitado hacer su trabajo de mejor manera desde el lado de Patagonian. Además manifiesta que muchas veces salían builds que no"&amp;" se lo pasaban para que lo revisara. Siente que Juan Galo tiene mucho potencial y ""no lo están dejando ser"", le están cortando las alas.
- Team | UI/UX: 1
- Team | UI/UX | Notes: La UI/UX la trabaja el cliente desde su lado y comparte los diseños al equ"&amp;"ipo de Pata. A veces el cliente pide cambios fuertes en medio del camino.
- Team | DevOps: 1
- Team | Data Engineer: 0")</f>
        <v>- Interviewee e-Mail: cristian.cortes@patagoniansys.com
- Project name: Eythena
- Project | Role: Mobile Developer
- Project | Description: El proyecto inició siendo un prototipo. Está enmarcado en el área de la salud ocular y el control en la administración de medicamentos de los usuarios.
A pesar de que el proyecto inició siendo un prototipo, siente que en el camino fue creciendo y avanzando hacia algo más elaborado.
Creo que las Fortalezas, Debilidades y Oportunidades se aclaran más específicamente en las secciones de Best and Worst y en 
- Project | technologies: React Native, Node.js, Azure Artifacts, MongoDB
- Happiness in project technology: 🙂 Feliz
- Happiness in project technology | Description: La desmotivación no es por las tareas sino por la dinámica del proyecto que se explica en las siguientes preguntas.
- Project | The best/coolest thing: - El aprendizaje técnico que ha ganado gracias al proyecto ha sido muy valioso para él. Desde tener la experiencia de arrancar el proyecto desde cero, aprender nuevas tecnologías y adquirir experiencia en todo el flujo de desarrollo y despliegue de una aplicación móvil.
- El equipo del proyecto está formado por personas muy chéveres, amigables y buena onda. Un buen ambiente de trabajo.
- Ya ahora en la recta final del proyecto siente que las cosas por fin las empezaron a hacer como se debe. "De 20 días hacia acá ha mejorado mucho".
- Ha tomado la iniciativa de convocar reuniones para atacar ciertos temas por mejorar en el proyecto y ser propositivo.
- Project | The worst thing: - No hay proceso de review de Pull Requests, lo cual manifestó desde un inicio del proyecto
- No hubo acompañamiento desde el inicio del proyecto
- No le parece buen práctica tener un sólo dev en un proyecto
- Falta de visión y organización, un poco de improvisación también
- El proyecto inició un mes tarde y se ha trabajado de manera muy acelerada
- Sin lineamientos de buenas prácticas
- Siente que siempre vieron la aplicación con "un prototipo" y no le dieron la relevancia a la calidad del proyecto
- Siente que la aplicación inició con la idea de un prototipo y terminó 
- Ha sido un proyecto bastante acelerado
- Todo el proceso fue muy acelerado y tocaba sacar features muy rápido pero eso implicaba sacrificar calidad en el código para lograr la satisfacción del cliente cumpliendo con los entregables.
- Cambios imprevistos que surgen en el proyecto, se añaden y/o modifican features (cambia el scope del proyecto) y los tiempos de entrega no se modifican.
- Luego entró Rodrigo Cibils al proyecto y desde su percepción entró a hacer cosas a su manera sin buscar generar acuerdos y siente que entró de manera muy autoritaria. Entre otras cosas siente que luego de la entrada de Rodrigo se haya formado en el equipo una mala percepción de su trabajo.
- De todos modos manifiesta que muchos de estos problemas ya los ha flaggeado durante la ejecución del proyecto.
- Ha tomado la iniciativa de convocar reuniones para atacar ciertos temas y ser propositivo.
- Ya ahora en la recta final del proyecto siente que las cosas por fin las empezaron a hacer como se debe. "De 20 días hacia acá ha mejorado mucho" y hay varios de los puntos anteriores los han ido mejorando.
- Project | Improvements: - Proceso de Code Reviews (aunque ya se ha venido mejorando bastante).
- Darle más importancia a la calidad del proyecto en términos de planeación y plazos.
- Organizar mejor los procesos de release de features desde que se termina el código, pasa por QA, hasta que lanza el build.
- No "desmeritar" el proyecto porque sea un prototipo sino enfocar su desarrollo con miras a que futuro puede crecer y que quede muy bien fundamentado en sus bases.
- Team | TL: Ernesto Parada
- Team | PX: Jesica Petrauskas
- Team | QA: 1
- Team | QA Automation: 👎 No
- Team | QA | Notes: Cristian siente que QA (Juan Galo) siente que hace su trabajo bien pero siente que quizás se puede estar sintiendo limitado hacer su trabajo de mejor manera desde el lado de Patagonian. Además manifiesta que muchas veces salían builds que no se lo pasaban para que lo revisara. Siente que Juan Galo tiene mucho potencial y "no lo están dejando ser", le están cortando las alas.
- Team | UI/UX: 1
- Team | UI/UX | Notes: La UI/UX la trabaja el cliente desde su lado y comparte los diseños al equipo de Pata. A veces el cliente pide cambios fuertes en medio del camino.
- Team | DevOps: 1
- Team | Data Engineer: 0</v>
      </c>
      <c r="J130" s="4" t="str">
        <f>IFERROR(__xludf.DUMMYFUNCTION("""COMPUTED_VALUE"""),"Tech Referent - Initial gathering")</f>
        <v>Tech Referent - Initial gathering</v>
      </c>
    </row>
    <row r="131">
      <c r="A131" s="4">
        <f>IFERROR(__xludf.DUMMYFUNCTION("""COMPUTED_VALUE"""),154.0)</f>
        <v>154</v>
      </c>
      <c r="B131" s="4" t="str">
        <f>IFERROR(__xludf.DUMMYFUNCTION("""COMPUTED_VALUE"""),"esteban.camacho")</f>
        <v>esteban.camacho</v>
      </c>
      <c r="C131" s="5">
        <f>IFERROR(__xludf.DUMMYFUNCTION("""COMPUTED_VALUE"""),45029.62877494213)</f>
        <v>45029.62877</v>
      </c>
      <c r="D131" s="5">
        <f>IFERROR(__xludf.DUMMYFUNCTION("""COMPUTED_VALUE"""),45029.0)</f>
        <v>45029</v>
      </c>
      <c r="E131" s="4" t="str">
        <f>IFERROR(__xludf.DUMMYFUNCTION("""COMPUTED_VALUE"""),"gonzalo.garro@patagoniansys.com")</f>
        <v>gonzalo.garro@patagoniansys.com</v>
      </c>
      <c r="F131" s="4" t="str">
        <f>IFERROR(__xludf.DUMMYFUNCTION("""COMPUTED_VALUE"""),"esteban.camacho@patagoniansys.com")</f>
        <v>esteban.camacho@patagoniansys.com</v>
      </c>
      <c r="G131" s="4" t="str">
        <f>IFERROR(__xludf.DUMMYFUNCTION("""COMPUTED_VALUE"""),"Initial gathering")</f>
        <v>Initial gathering</v>
      </c>
      <c r="H131" s="4"/>
      <c r="I131" s="6" t="str">
        <f>IFERROR(__xludf.DUMMYFUNCTION("""COMPUTED_VALUE"""),"- Interviewee e-Mail: esteban.camacho@patagoniansys.com
- Project name: SnapClose
- Project | Role: Frontend Developer
- Project | Description: Plataforma que le ayuda a vendedores de propiedades a gestionar alquileres y viviendas. Papeleo formularios, ve"&amp;"rificaciones de cuestiones legales. Tenían una app en visual basic y están migrando a React. 
- Project | technologies: React, Redux Front. Node y C# en el backend. + Integración de servicios externos. El esta en el equipo Fusion, a cargo de un admin pane"&amp;"l.
- Happiness in project technology: 😐 Indiferente
- Happiness in project technology | Description: Normal, algunas tecnologías están medio antiguas. Estaría bueno mejorarlas.
- Project | The best/coolest thing: La gestión del proyecto. La PO Esmeralda "&amp;"es muy buena.
- Project | The worst thing: Usan componentes de React antiguos. Deberían actualizarse.
- Team | TL: Externo. Jubin.
- Team | PX: Hernan Muras.
- Team | QA: 1
- Team | QA Automation: 👎 No
- Team | QA | Notes: Externo.
- Team | UI/UX: 2
- Te"&amp;"am | UI/UX | Notes: Equipo Externo. Esteban no tiene contacto directo con el quipo, lo hace a travez de la PO
- Team | DevOps: 1
- Team | DevOps | Notes: Externo.
- Team | Data Engineer: 0")</f>
        <v>- Interviewee e-Mail: esteban.camacho@patagoniansys.com
- Project name: SnapClose
- Project | Role: Frontend Developer
- Project | Description: Plataforma que le ayuda a vendedores de propiedades a gestionar alquileres y viviendas. Papeleo formularios, verificaciones de cuestiones legales. Tenían una app en visual basic y están migrando a React. 
- Project | technologies: React, Redux Front. Node y C# en el backend. + Integración de servicios externos. El esta en el equipo Fusion, a cargo de un admin panel.
- Happiness in project technology: 😐 Indiferente
- Happiness in project technology | Description: Normal, algunas tecnologías están medio antiguas. Estaría bueno mejorarlas.
- Project | The best/coolest thing: La gestión del proyecto. La PO Esmeralda es muy buena.
- Project | The worst thing: Usan componentes de React antiguos. Deberían actualizarse.
- Team | TL: Externo. Jubin.
- Team | PX: Hernan Muras.
- Team | QA: 1
- Team | QA Automation: 👎 No
- Team | QA | Notes: Externo.
- Team | UI/UX: 2
- Team | UI/UX | Notes: Equipo Externo. Esteban no tiene contacto directo con el quipo, lo hace a travez de la PO
- Team | DevOps: 1
- Team | DevOps | Notes: Externo.
- Team | Data Engineer: 0</v>
      </c>
      <c r="J131" s="4" t="str">
        <f>IFERROR(__xludf.DUMMYFUNCTION("""COMPUTED_VALUE"""),"Tech Referent - Initial gathering")</f>
        <v>Tech Referent - Initial gathering</v>
      </c>
    </row>
    <row r="132">
      <c r="A132" s="4">
        <f>IFERROR(__xludf.DUMMYFUNCTION("""COMPUTED_VALUE"""),146.0)</f>
        <v>146</v>
      </c>
      <c r="B132" s="4" t="str">
        <f>IFERROR(__xludf.DUMMYFUNCTION("""COMPUTED_VALUE"""),"juan.martinezrios")</f>
        <v>juan.martinezrios</v>
      </c>
      <c r="C132" s="5">
        <f>IFERROR(__xludf.DUMMYFUNCTION("""COMPUTED_VALUE"""),45029.72798392361)</f>
        <v>45029.72798</v>
      </c>
      <c r="D132" s="5">
        <f>IFERROR(__xludf.DUMMYFUNCTION("""COMPUTED_VALUE"""),45029.0)</f>
        <v>45029</v>
      </c>
      <c r="E132" s="4" t="str">
        <f>IFERROR(__xludf.DUMMYFUNCTION("""COMPUTED_VALUE"""),"jmartinez@patagoniansys.com")</f>
        <v>jmartinez@patagoniansys.com</v>
      </c>
      <c r="F132" s="4" t="str">
        <f>IFERROR(__xludf.DUMMYFUNCTION("""COMPUTED_VALUE"""),"juan.martinezrios@patagoniansys.com")</f>
        <v>juan.martinezrios@patagoniansys.com</v>
      </c>
      <c r="G132" s="4" t="str">
        <f>IFERROR(__xludf.DUMMYFUNCTION("""COMPUTED_VALUE"""),"Initial gathering")</f>
        <v>Initial gathering</v>
      </c>
      <c r="H132" s="4"/>
      <c r="I132" s="6" t="str">
        <f>IFERROR(__xludf.DUMMYFUNCTION("""COMPUTED_VALUE"""),"- Interviewee e-Mail: juan.martinezrios@patagoniansys.com
- Project name: Almundo
- Project | Role: Backend Developer, Frontend Developer
- Project | Description: Almundo es una plataforma para planificar/contratar servicios asociados a viajes. Juan traba"&amp;"ja como desarrollador fullstack en una plataforma interna que usan los vendedores de la empresa.
- Project | technologies: Angular, Express, Docker, AWS, Jenkins
- Happiness in project technology: 🙂 Feliz
- Project | The best/coolest thing: Le gusta que "&amp;"(según sus palabras) el proyecto es dinámico, siempre están buscando mejorar lo existente (en cuanto a lo tecnológico o implementando nuevas features).
- Project | The worst thing: Lo que más le molesta es que la infraestructura (manejada por el cliente) "&amp;"es inestable, las apis con las que tienen que interactuar se caen frecuentemente. Además, no tienen equipo de QA, la PM se encarga de verificar si lo que implementan cumple con los requerimientos y que no haya bugs.
- Team | TL: Está del lado del cliente
"&amp;"- Team | PX: Jimena Gutierrez
- Team | QA: 0
- Team | QA Automation: 👎 No
- Team | QA | Notes: La PM se encarga de validar con lo implementado, no hay equipo de QA
- Team | UI/UX: 👀 Otra situación
- Team | UI/UX | Notes: Está del lado del cliente
- Team"&amp;" | DevOps: 👀 Otra situación
- Team | DevOps | Notes: Está del lado del cliente
- Team | Data Engineer: 👀 Otra situación")</f>
        <v>- Interviewee e-Mail: juan.martinezrios@patagoniansys.com
- Project name: Almundo
- Project | Role: Backend Developer, Frontend Developer
- Project | Description: Almundo es una plataforma para planificar/contratar servicios asociados a viajes. Juan trabaja como desarrollador fullstack en una plataforma interna que usan los vendedores de la empresa.
- Project | technologies: Angular, Express, Docker, AWS, Jenkins
- Happiness in project technology: 🙂 Feliz
- Project | The best/coolest thing: Le gusta que (según sus palabras) el proyecto es dinámico, siempre están buscando mejorar lo existente (en cuanto a lo tecnológico o implementando nuevas features).
- Project | The worst thing: Lo que más le molesta es que la infraestructura (manejada por el cliente) es inestable, las apis con las que tienen que interactuar se caen frecuentemente. Además, no tienen equipo de QA, la PM se encarga de verificar si lo que implementan cumple con los requerimientos y que no haya bugs.
- Team | TL: Está del lado del cliente
- Team | PX: Jimena Gutierrez
- Team | QA: 0
- Team | QA Automation: 👎 No
- Team | QA | Notes: La PM se encarga de validar con lo implementado, no hay equipo de QA
- Team | UI/UX: 👀 Otra situación
- Team | UI/UX | Notes: Está del lado del cliente
- Team | DevOps: 👀 Otra situación
- Team | DevOps | Notes: Está del lado del cliente
- Team | Data Engineer: 👀 Otra situación</v>
      </c>
      <c r="J132" s="4" t="str">
        <f>IFERROR(__xludf.DUMMYFUNCTION("""COMPUTED_VALUE"""),"Tech Referent - Initial gathering")</f>
        <v>Tech Referent - Initial gathering</v>
      </c>
    </row>
    <row r="133" hidden="1">
      <c r="A133" s="4">
        <f>IFERROR(__xludf.DUMMYFUNCTION("""COMPUTED_VALUE"""),204.0)</f>
        <v>204</v>
      </c>
      <c r="B133" s="4" t="str">
        <f>IFERROR(__xludf.DUMMYFUNCTION("""COMPUTED_VALUE"""),"luisa.fernandez")</f>
        <v>luisa.fernandez</v>
      </c>
      <c r="C133" s="5">
        <f>IFERROR(__xludf.DUMMYFUNCTION("""COMPUTED_VALUE"""),45029.729373842594)</f>
        <v>45029.72937</v>
      </c>
      <c r="D133" s="5">
        <f>IFERROR(__xludf.DUMMYFUNCTION("""COMPUTED_VALUE"""),45029.0)</f>
        <v>45029</v>
      </c>
      <c r="E133" s="4" t="str">
        <f>IFERROR(__xludf.DUMMYFUNCTION("""COMPUTED_VALUE"""),"federico.peralta@patagoniansys.com")</f>
        <v>federico.peralta@patagoniansys.com</v>
      </c>
      <c r="F133" s="4" t="str">
        <f>IFERROR(__xludf.DUMMYFUNCTION("""COMPUTED_VALUE"""),"luisa.fernandez@patagoniansys.com")</f>
        <v>luisa.fernandez@patagoniansys.com</v>
      </c>
      <c r="G133" s="4" t="str">
        <f>IFERROR(__xludf.DUMMYFUNCTION("""COMPUTED_VALUE"""),"⏱ One on One")</f>
        <v>⏱ One on One</v>
      </c>
      <c r="H133" s="4" t="str">
        <f>IFERROR(__xludf.DUMMYFUNCTION("""COMPUTED_VALUE"""),"🙂 Feliz")</f>
        <v>🙂 Feliz</v>
      </c>
      <c r="I133" s="6" t="str">
        <f>IFERROR(__xludf.DUMMYFUNCTION("""COMPUTED_VALUE"""),"Esta muy contenta con el equipo, esta aprendiendo mucho y se siente muy comoda con Sentiment. Si fuera por ella quisiera que el proyecto continue porque necesita estar todo el tiempo aprendiendo. Comento que ama los beneficios y la cultura patagonian, y q"&amp;"ue un punto de mejora son los plan de carrera, que si bien sabe que es algo en lo que se esta trabajando, que si tiene que decir un punto de mejora seria ese.")</f>
        <v>Esta muy contenta con el equipo, esta aprendiendo mucho y se siente muy comoda con Sentiment. Si fuera por ella quisiera que el proyecto continue porque necesita estar todo el tiempo aprendiendo. Comento que ama los beneficios y la cultura patagonian, y que un punto de mejora son los plan de carrera, que si bien sabe que es algo en lo que se esta trabajando, que si tiene que decir un punto de mejora seria ese.</v>
      </c>
      <c r="J133" s="4" t="str">
        <f>IFERROR(__xludf.DUMMYFUNCTION("""COMPUTED_VALUE"""),"PX|Referents|RRHH")</f>
        <v>PX|Referents|RRHH</v>
      </c>
    </row>
    <row r="134">
      <c r="A134" s="4">
        <f>IFERROR(__xludf.DUMMYFUNCTION("""COMPUTED_VALUE"""),245.0)</f>
        <v>245</v>
      </c>
      <c r="B134" s="4" t="str">
        <f>IFERROR(__xludf.DUMMYFUNCTION("""COMPUTED_VALUE"""),"juan.baez")</f>
        <v>juan.baez</v>
      </c>
      <c r="C134" s="5">
        <f>IFERROR(__xludf.DUMMYFUNCTION("""COMPUTED_VALUE"""),45033.6421203125)</f>
        <v>45033.64212</v>
      </c>
      <c r="D134" s="5">
        <f>IFERROR(__xludf.DUMMYFUNCTION("""COMPUTED_VALUE"""),45029.0)</f>
        <v>45029</v>
      </c>
      <c r="E134" s="4" t="str">
        <f>IFERROR(__xludf.DUMMYFUNCTION("""COMPUTED_VALUE"""),"julio.sirera@patagoniansys.com")</f>
        <v>julio.sirera@patagoniansys.com</v>
      </c>
      <c r="F134" s="4" t="str">
        <f>IFERROR(__xludf.DUMMYFUNCTION("""COMPUTED_VALUE"""),"juan.baez@patagonian.com")</f>
        <v>juan.baez@patagonian.com</v>
      </c>
      <c r="G134" s="4" t="str">
        <f>IFERROR(__xludf.DUMMYFUNCTION("""COMPUTED_VALUE"""),"Referent One on One")</f>
        <v>Referent One on One</v>
      </c>
      <c r="H134" s="4"/>
      <c r="I134" s="6" t="str">
        <f>IFERROR(__xludf.DUMMYFUNCTION("""COMPUTED_VALUE"""),"- Interviewee e-Mail: juan.baez@patagonian.com
- Project Status Check: N/A - Primera reunion
- Project Changes | Notes: [Entre 3 y 4 se ha visto afectado] - Él actualmente tiene una asignacion medio tiempo a dos proyectos. en ambos se ha topado con desafi"&amp;"os interesantes por falta de ciertos roles en los mismos. Ejemplo: 
Eyethena, no tienen un buen proceso de ciclo de vida establecido lo cual le ha hecho tener que suplir ciertas necesidades extras de documentacion de su lado. Los tickets si bien tienen c"&amp;"riterio de aceptacion, él termina teniendo que generar criterios extras los cuales incluye en casos de prueba (item a trabajar)
El proyecto interno, ha sufrido muchos cambios de miembros y roles, todos manejaban una modalidad de trabajo distinto y no se "&amp;"siente muy escuchado. 
Hay ciertas cosas vamos a estar trabajando juntos para que el ajuste conocimientos e implementacion de los mismos.
- Project Role | Feeling: 4
- Extra Work Hours | Amount: 10+ (Más de 10)
- Extra Work Hours | Reason: 🙋Decisión pro"&amp;"pia, extension de objetivos propios
- Techs | Research: Esta capacitandose en implementar un framewrok usando appium para hacer un PoC en Eyethena
- Techs | Recomendations: Vamos a implementar un par de reuniones personales con el para poder ajustar varia"&amp;"s practicas de aseguramiento de la caldiad.
- Techs | Recomendations check: N/A - Primera reunion
- Collaborator | Seniority: 👍 No, es correcto
- Alerts: Todo en la entrevista fue positivo, excepto que el siente que deberia tener otra categoria, si bien "&amp;"esto pueden revisarlo a nivel empresa, bajo mi criterio tiene cosas que pulir en el rol de QA para que no avance en su carreras con bases inestables. De todos modos no estamos hablando de que son cosas que le deberian llevar mucho tiempo en implementar y/"&amp;"o aprender, vamos a estar teniendo reuniones mas frecuentes con el para poder guiarlo en esos conocimientos.
- Project Needs / Oportunities: Por lo pronto considero es mas importante mejorar su perfil que los proyectos. Lo descripto en todas las preguntas"&amp;" anteriores fueron sus puntos de vista, pero teniendo ciertas habilidades blandas y conocimientos su perspectiva puede cambiar e incluso el podria estar capacitado para recibir una nueva categoria, como espera.
- Final notes: La llamada de 30 minutos no f"&amp;"ue suficiente y se extendio por 1:30 total. Como primera llamada en la que salieron muchos temas se lo analiza como normal y positivo ya que tenemos muchos puntos a trabajar gracias a ello.
- Project Techs | Learning: 15
- Techs | Research: 10
- Project T"&amp;"echs | Difficulty: 4
- Project Changes | Reasons: ⬇️ Reducción del equipo, ⬆️ Aumento del equipo, 🔀 Cambio de roles dentro del equipo, 🔧 Cambios de infraestructura
- Project Changes | Personal Impact: 4
- Project Role | Value: 4
- Project role | Notes: "&amp;"El actualmente en ambos proyectos realiza tareas de prueba manuales y siente que ha aprendido mucho. Ha tenido la oportunidad de ejecutar pruebas no funcionales, si bien sencillas le han servido para aprender.
Por fuera de eso ha realizado tareas que no "&amp;"estaban en su rol, las mismas si bien son muy valorables necesitan ajustarse un poco para ser correctamente aplicadas. ej: generacion de documentacion de tickets y requerimientos.")</f>
        <v>- Interviewee e-Mail: juan.baez@patagonian.com
- Project Status Check: N/A - Primera reunion
- Project Changes | Notes: [Entre 3 y 4 se ha visto afectado] - Él actualmente tiene una asignacion medio tiempo a dos proyectos. en ambos se ha topado con desafios interesantes por falta de ciertos roles en los mismos. Ejemplo: 
Eyethena, no tienen un buen proceso de ciclo de vida establecido lo cual le ha hecho tener que suplir ciertas necesidades extras de documentacion de su lado. Los tickets si bien tienen criterio de aceptacion, él termina teniendo que generar criterios extras los cuales incluye en casos de prueba (item a trabajar)
El proyecto interno, ha sufrido muchos cambios de miembros y roles, todos manejaban una modalidad de trabajo distinto y no se siente muy escuchado. 
Hay ciertas cosas vamos a estar trabajando juntos para que el ajuste conocimientos e implementacion de los mismos.
- Project Role | Feeling: 4
- Extra Work Hours | Amount: 10+ (Más de 10)
- Extra Work Hours | Reason: 🙋Decisión propia, extension de objetivos propios
- Techs | Research: Esta capacitandose en implementar un framewrok usando appium para hacer un PoC en Eyethena
- Techs | Recomendations: Vamos a implementar un par de reuniones personales con el para poder ajustar varias practicas de aseguramiento de la caldiad.
- Techs | Recomendations check: N/A - Primera reunion
- Collaborator | Seniority: 👍 No, es correcto
- Alerts: Todo en la entrevista fue positivo, excepto que el siente que deberia tener otra categoria, si bien esto pueden revisarlo a nivel empresa, bajo mi criterio tiene cosas que pulir en el rol de QA para que no avance en su carreras con bases inestables. De todos modos no estamos hablando de que son cosas que le deberian llevar mucho tiempo en implementar y/o aprender, vamos a estar teniendo reuniones mas frecuentes con el para poder guiarlo en esos conocimientos.
- Project Needs / Oportunities: Por lo pronto considero es mas importante mejorar su perfil que los proyectos. Lo descripto en todas las preguntas anteriores fueron sus puntos de vista, pero teniendo ciertas habilidades blandas y conocimientos su perspectiva puede cambiar e incluso el podria estar capacitado para recibir una nueva categoria, como espera.
- Final notes: La llamada de 30 minutos no fue suficiente y se extendio por 1:30 total. Como primera llamada en la que salieron muchos temas se lo analiza como normal y positivo ya que tenemos muchos puntos a trabajar gracias a ello.
- Project Techs | Learning: 15
- Techs | Research: 10
- Project Techs | Difficulty: 4
- Project Changes | Reasons: ⬇️ Reducción del equipo, ⬆️ Aumento del equipo, 🔀 Cambio de roles dentro del equipo, 🔧 Cambios de infraestructura
- Project Changes | Personal Impact: 4
- Project Role | Value: 4
- Project role | Notes: El actualmente en ambos proyectos realiza tareas de prueba manuales y siente que ha aprendido mucho. Ha tenido la oportunidad de ejecutar pruebas no funcionales, si bien sencillas le han servido para aprender.
Por fuera de eso ha realizado tareas que no estaban en su rol, las mismas si bien son muy valorables necesitan ajustarse un poco para ser correctamente aplicadas. ej: generacion de documentacion de tickets y requerimientos.</v>
      </c>
      <c r="J134" s="4" t="str">
        <f>IFERROR(__xludf.DUMMYFUNCTION("""COMPUTED_VALUE"""),"Tech Referent - OneOnOne")</f>
        <v>Tech Referent - OneOnOne</v>
      </c>
    </row>
    <row r="135">
      <c r="A135" s="4">
        <f>IFERROR(__xludf.DUMMYFUNCTION("""COMPUTED_VALUE"""),131.0)</f>
        <v>131</v>
      </c>
      <c r="B135" s="4" t="str">
        <f>IFERROR(__xludf.DUMMYFUNCTION("""COMPUTED_VALUE"""),"luis.luna")</f>
        <v>luis.luna</v>
      </c>
      <c r="C135" s="5">
        <f>IFERROR(__xludf.DUMMYFUNCTION("""COMPUTED_VALUE"""),45030.48839121528)</f>
        <v>45030.48839</v>
      </c>
      <c r="D135" s="5">
        <f>IFERROR(__xludf.DUMMYFUNCTION("""COMPUTED_VALUE"""),45030.0)</f>
        <v>45030</v>
      </c>
      <c r="E135" s="4" t="str">
        <f>IFERROR(__xludf.DUMMYFUNCTION("""COMPUTED_VALUE"""),"leonardo.buret@patagoniansys.com")</f>
        <v>leonardo.buret@patagoniansys.com</v>
      </c>
      <c r="F135" s="4" t="str">
        <f>IFERROR(__xludf.DUMMYFUNCTION("""COMPUTED_VALUE"""),"luis.luna@patagonian.com")</f>
        <v>luis.luna@patagonian.com</v>
      </c>
      <c r="G135" s="4" t="str">
        <f>IFERROR(__xludf.DUMMYFUNCTION("""COMPUTED_VALUE"""),"Initial gathering")</f>
        <v>Initial gathering</v>
      </c>
      <c r="H135" s="4"/>
      <c r="I135" s="6" t="str">
        <f>IFERROR(__xludf.DUMMYFUNCTION("""COMPUTED_VALUE"""),"- Interviewee e-Mail: luis.luna@patagonian.com
- Project name: Forge
- Project | Role: Backend Developer, Frontend Developer, Backend .NET. Ocacional Rails Frontend
- Project | Description: Backend de Servicios WebAPI REST. Offerings - Debilidades: Monoli"&amp;"to. O: 
- Project | technologies: .Net backend, WebAPI, Rails
- Happiness in project technology: 🙂 Feliz
- Happiness in project technology | Description: Tecnologias nuevas en casi todo el proyecto. Poer usan Rails para el Frontend
- Project | The best/c"&amp;"oolest thing: Equipo de trabajo hábil y con gran nivel. Gran organización. Resolución rápida de problemas
- Project | The worst thing: Otras areas
- Project | Improvements: Mueven el equipo 
- Team | TL: Externo
- Team | PX: Marcela Benavidez
- Team | QA:"&amp;" 0
- Team | QA Automation: 👍 Si
- Team | QA | Notes: Le sacaron el equipo de QA hace poco
- Team | UI/UX: 5+ (Más de 5)
- Team | UI/UX | Notes: GRan equipo
- Team | DevOps: 5+ (Más de 5)
- Team | DevOps | Notes: Azure, Jira, CI/CD
- Team | Data Engineer:"&amp;" 3")</f>
        <v>- Interviewee e-Mail: luis.luna@patagonian.com
- Project name: Forge
- Project | Role: Backend Developer, Frontend Developer, Backend .NET. Ocacional Rails Frontend
- Project | Description: Backend de Servicios WebAPI REST. Offerings - Debilidades: Monolito. O: 
- Project | technologies: .Net backend, WebAPI, Rails
- Happiness in project technology: 🙂 Feliz
- Happiness in project technology | Description: Tecnologias nuevas en casi todo el proyecto. Poer usan Rails para el Frontend
- Project | The best/coolest thing: Equipo de trabajo hábil y con gran nivel. Gran organización. Resolución rápida de problemas
- Project | The worst thing: Otras areas
- Project | Improvements: Mueven el equipo 
- Team | TL: Externo
- Team | PX: Marcela Benavidez
- Team | QA: 0
- Team | QA Automation: 👍 Si
- Team | QA | Notes: Le sacaron el equipo de QA hace poco
- Team | UI/UX: 5+ (Más de 5)
- Team | UI/UX | Notes: GRan equipo
- Team | DevOps: 5+ (Más de 5)
- Team | DevOps | Notes: Azure, Jira, CI/CD
- Team | Data Engineer: 3</v>
      </c>
      <c r="J135" s="4" t="str">
        <f>IFERROR(__xludf.DUMMYFUNCTION("""COMPUTED_VALUE"""),"Tech Referent - Initial gathering")</f>
        <v>Tech Referent - Initial gathering</v>
      </c>
    </row>
    <row r="136" hidden="1">
      <c r="A136" s="4">
        <f>IFERROR(__xludf.DUMMYFUNCTION("""COMPUTED_VALUE"""),131.0)</f>
        <v>131</v>
      </c>
      <c r="B136" s="4" t="str">
        <f>IFERROR(__xludf.DUMMYFUNCTION("""COMPUTED_VALUE"""),"luis.luna")</f>
        <v>luis.luna</v>
      </c>
      <c r="C136" s="5">
        <f>IFERROR(__xludf.DUMMYFUNCTION("""COMPUTED_VALUE"""),45030.491243206015)</f>
        <v>45030.49124</v>
      </c>
      <c r="D136" s="5">
        <f>IFERROR(__xludf.DUMMYFUNCTION("""COMPUTED_VALUE"""),45030.0)</f>
        <v>45030</v>
      </c>
      <c r="E136" s="4" t="str">
        <f>IFERROR(__xludf.DUMMYFUNCTION("""COMPUTED_VALUE"""),"leonardo.buret@patagoniansys.com")</f>
        <v>leonardo.buret@patagoniansys.com</v>
      </c>
      <c r="F136" s="4" t="str">
        <f>IFERROR(__xludf.DUMMYFUNCTION("""COMPUTED_VALUE"""),"luis.luna@patagoniansys.com")</f>
        <v>luis.luna@patagoniansys.com</v>
      </c>
      <c r="G136" s="4" t="str">
        <f>IFERROR(__xludf.DUMMYFUNCTION("""COMPUTED_VALUE"""),"⏱ One on One")</f>
        <v>⏱ One on One</v>
      </c>
      <c r="H136" s="4" t="str">
        <f>IFERROR(__xludf.DUMMYFUNCTION("""COMPUTED_VALUE"""),"🙂 Feliz")</f>
        <v>🙂 Feliz</v>
      </c>
      <c r="I136" s="6" t="str">
        <f>IFERROR(__xludf.DUMMYFUNCTION("""COMPUTED_VALUE"""),"Se siente bien en el proyecto, el equipo le gusta y sus tareas tambien")</f>
        <v>Se siente bien en el proyecto, el equipo le gusta y sus tareas tambien</v>
      </c>
      <c r="J136" s="4" t="str">
        <f>IFERROR(__xludf.DUMMYFUNCTION("""COMPUTED_VALUE"""),"PX|Referents|RRHH")</f>
        <v>PX|Referents|RRHH</v>
      </c>
    </row>
    <row r="137">
      <c r="A137" s="4">
        <f>IFERROR(__xludf.DUMMYFUNCTION("""COMPUTED_VALUE"""),249.0)</f>
        <v>249</v>
      </c>
      <c r="B137" s="4" t="str">
        <f>IFERROR(__xludf.DUMMYFUNCTION("""COMPUTED_VALUE"""),"nahuel.diaz")</f>
        <v>nahuel.diaz</v>
      </c>
      <c r="C137" s="5">
        <f>IFERROR(__xludf.DUMMYFUNCTION("""COMPUTED_VALUE"""),45030.52517685185)</f>
        <v>45030.52518</v>
      </c>
      <c r="D137" s="5">
        <f>IFERROR(__xludf.DUMMYFUNCTION("""COMPUTED_VALUE"""),45030.0)</f>
        <v>45030</v>
      </c>
      <c r="E137" s="4" t="str">
        <f>IFERROR(__xludf.DUMMYFUNCTION("""COMPUTED_VALUE"""),"henry.tong@patagoniansys.com")</f>
        <v>henry.tong@patagoniansys.com</v>
      </c>
      <c r="F137" s="4" t="str">
        <f>IFERROR(__xludf.DUMMYFUNCTION("""COMPUTED_VALUE"""),"nahuel.diaz@patagoniansys.com")</f>
        <v>nahuel.diaz@patagoniansys.com</v>
      </c>
      <c r="G137" s="4" t="str">
        <f>IFERROR(__xludf.DUMMYFUNCTION("""COMPUTED_VALUE"""),"Referent One on One")</f>
        <v>Referent One on One</v>
      </c>
      <c r="H137" s="4"/>
      <c r="I137" s="6" t="str">
        <f>IFERROR(__xludf.DUMMYFUNCTION("""COMPUTED_VALUE"""),"- Interviewee e-Mail: nahuel.diaz@patagoniansys.com
- Project Status Check: Durante la última reunión estaba empezando el proyecto ANR. Ahora ya está por terminarlo y no necesita ayuda.
- Project Changes | Notes: Hubieron cambios en los requerimientos per"&amp;"o entiende que es parte de la naturaleza de proyectos de informática
- Project Role | Feeling: 4
- Extra Work Hours | Amount: 0 (Ningúna)
- Techs | Research: Python y AWS
- Collaborator | Seniority: 👍 No, es correcto
- Project Techs | Learning: 10
- Proj"&amp;"ect Techs | Difficulty: 4
- Project Changes | Reasons: 🏁 Cambios en los objetivos
- Project Changes | Personal Impact: 4
- Project Role | Value: 4
- Project role | Notes: Se enfocó en backend java y aprendió mucho de la experiencia")</f>
        <v>- Interviewee e-Mail: nahuel.diaz@patagoniansys.com
- Project Status Check: Durante la última reunión estaba empezando el proyecto ANR. Ahora ya está por terminarlo y no necesita ayuda.
- Project Changes | Notes: Hubieron cambios en los requerimientos pero entiende que es parte de la naturaleza de proyectos de informática
- Project Role | Feeling: 4
- Extra Work Hours | Amount: 0 (Ningúna)
- Techs | Research: Python y AWS
- Collaborator | Seniority: 👍 No, es correcto
- Project Techs | Learning: 10
- Project Techs | Difficulty: 4
- Project Changes | Reasons: 🏁 Cambios en los objetivos
- Project Changes | Personal Impact: 4
- Project Role | Value: 4
- Project role | Notes: Se enfocó en backend java y aprendió mucho de la experiencia</v>
      </c>
      <c r="J137" s="4" t="str">
        <f>IFERROR(__xludf.DUMMYFUNCTION("""COMPUTED_VALUE"""),"Tech Referent - OneOnOne")</f>
        <v>Tech Referent - OneOnOne</v>
      </c>
    </row>
    <row r="138" hidden="1">
      <c r="A138" s="4">
        <f>IFERROR(__xludf.DUMMYFUNCTION("""COMPUTED_VALUE"""),190.0)</f>
        <v>190</v>
      </c>
      <c r="B138" s="4" t="str">
        <f>IFERROR(__xludf.DUMMYFUNCTION("""COMPUTED_VALUE"""),"santiago.cendra")</f>
        <v>santiago.cendra</v>
      </c>
      <c r="C138" s="5">
        <f>IFERROR(__xludf.DUMMYFUNCTION("""COMPUTED_VALUE"""),45033.53697400463)</f>
        <v>45033.53697</v>
      </c>
      <c r="D138" s="5">
        <f>IFERROR(__xludf.DUMMYFUNCTION("""COMPUTED_VALUE"""),45033.0)</f>
        <v>45033</v>
      </c>
      <c r="E138" s="4" t="str">
        <f>IFERROR(__xludf.DUMMYFUNCTION("""COMPUTED_VALUE"""),"federico.peralta@patagoniansys.com")</f>
        <v>federico.peralta@patagoniansys.com</v>
      </c>
      <c r="F138" s="4" t="str">
        <f>IFERROR(__xludf.DUMMYFUNCTION("""COMPUTED_VALUE"""),"santiago.cendra@patagoniansys.com")</f>
        <v>santiago.cendra@patagoniansys.com</v>
      </c>
      <c r="G138" s="4" t="str">
        <f>IFERROR(__xludf.DUMMYFUNCTION("""COMPUTED_VALUE"""),"⏱ One on One")</f>
        <v>⏱ One on One</v>
      </c>
      <c r="H138" s="4" t="str">
        <f>IFERROR(__xludf.DUMMYFUNCTION("""COMPUTED_VALUE"""),"😀 Sumamente Feliz")</f>
        <v>😀 Sumamente Feliz</v>
      </c>
      <c r="I138" s="6" t="str">
        <f>IFERROR(__xludf.DUMMYFUNCTION("""COMPUTED_VALUE"""),"Santi esta muy contento con Patagonian, le da la libertad que siempre busco y esta feliz con las formas de trabajo Con el equipo tambien. Manifesto que siente que esta ganando poco, a pesar de haber pedido un aumento de sueldo hace un tiempo, pero entiend"&amp;"e que despues de 1 anio y medio de trabajar en Patagonian ya no se siente mas en la categoria de Junior y que el esta para mas. Le sugeri de que cuando termine el proyecto se pueda presentar para una recategorizacion, porque a veces siente que el sueldo n"&amp;"o le alcanza, pero teniendo tantos beneficios esta muy contento. El proyecto particular: Incubtal, tambien siente que al a ser interno, que no tiene gran peso, y que le parece que fuera parte de un bench, o que esta por estar hasta que salga otra asignaci"&amp;"on.")</f>
        <v>Santi esta muy contento con Patagonian, le da la libertad que siempre busco y esta feliz con las formas de trabajo Con el equipo tambien. Manifesto que siente que esta ganando poco, a pesar de haber pedido un aumento de sueldo hace un tiempo, pero entiende que despues de 1 anio y medio de trabajar en Patagonian ya no se siente mas en la categoria de Junior y que el esta para mas. Le sugeri de que cuando termine el proyecto se pueda presentar para una recategorizacion, porque a veces siente que el sueldo no le alcanza, pero teniendo tantos beneficios esta muy contento. El proyecto particular: Incubtal, tambien siente que al a ser interno, que no tiene gran peso, y que le parece que fuera parte de un bench, o que esta por estar hasta que salga otra asignacion.</v>
      </c>
      <c r="J138" s="4" t="str">
        <f>IFERROR(__xludf.DUMMYFUNCTION("""COMPUTED_VALUE"""),"PX|Referents|RRHH")</f>
        <v>PX|Referents|RRHH</v>
      </c>
    </row>
    <row r="139">
      <c r="A139" s="4">
        <f>IFERROR(__xludf.DUMMYFUNCTION("""COMPUTED_VALUE"""),106.0)</f>
        <v>106</v>
      </c>
      <c r="B139" s="4" t="str">
        <f>IFERROR(__xludf.DUMMYFUNCTION("""COMPUTED_VALUE"""),"natalia.martinez")</f>
        <v>natalia.martinez</v>
      </c>
      <c r="C139" s="5">
        <f>IFERROR(__xludf.DUMMYFUNCTION("""COMPUTED_VALUE"""),45033.67703719907)</f>
        <v>45033.67704</v>
      </c>
      <c r="D139" s="5">
        <f>IFERROR(__xludf.DUMMYFUNCTION("""COMPUTED_VALUE"""),45033.0)</f>
        <v>45033</v>
      </c>
      <c r="E139" s="4" t="str">
        <f>IFERROR(__xludf.DUMMYFUNCTION("""COMPUTED_VALUE"""),"luis.soto@patagoniansys.com")</f>
        <v>luis.soto@patagoniansys.com</v>
      </c>
      <c r="F139" s="4" t="str">
        <f>IFERROR(__xludf.DUMMYFUNCTION("""COMPUTED_VALUE"""),"natalia.martinez@patagoniansys.com")</f>
        <v>natalia.martinez@patagoniansys.com</v>
      </c>
      <c r="G139" s="4" t="str">
        <f>IFERROR(__xludf.DUMMYFUNCTION("""COMPUTED_VALUE"""),"Initial gathering")</f>
        <v>Initial gathering</v>
      </c>
      <c r="H139" s="4"/>
      <c r="I139" s="6" t="str">
        <f>IFERROR(__xludf.DUMMYFUNCTION("""COMPUTED_VALUE"""),"- Interviewee e-Mail: natalia.martinez@patagoniansys.com
- Project name: Conversifi
- Project | Role: QA Manual
- Project | Description: plataforma web que esta hecha en RESPONSIVE, que sirve para conectar estudiantes para practicar el idioma, la platafor"&amp;"ma trabaja principalmente con Universidades, actualmente se encuentran buscando aliados para expandirse (ej: babel, duolingo, etc), ella hace un poco de todo, QA manual para backend, frontend, BD, tambien le gusta el proyecto porque ha podido actuar un po"&amp;"co como PO y PM. El 80% es QA.
- Project | technologies: MongoDB, React Native, Material UI (sustituyendo React), Amazon, Typescript, Google APIs, twiilio, Jira, ZenDesk
- Happiness in project technology: 😀 Sumamente Feliz
- Happiness in project technolo"&amp;"gy | Description: Siempre se siente con un challenge, eso la motiva, han tenido varios cambios de BDs, lo cual le gusta ese reto. No estaba a gusto con que antes toda la plataforma estaba en Angular, pero ahorita esta mejorando porque estan en React, haci"&amp;"endo el responsive aun mejor
- Project | The best/coolest thing: Migrar todo a los buckets de AWS, eso le gusto muho y le parecio de mucha importancia porque ayuda mucho a nivel de negocio, la seguridad y la importancia de agregar el valor al negocio.
- "&amp;"Project | The worst thing: Tener algun herramienta para el diseno, porque no hay disenador(a), al menos proponerle a la clienta alguna herramienta para los disenos. 
- Project | Improvements: Hacer una app es lo principal. Tambien de la parte de diseno q"&amp;"uiere implementar un testing para el diseno
- Team | TL: Martin Castro
- Team | PX: Isa
- Team | QA: 2
- Team | QA Automation: 👍 Si
- Team | QA | Notes: Manu hace automation y ella manual, ayudandole a Manu a organizarle las tareas
- Team | UI/UX: 0
- Te"&amp;"am | UI/UX | Notes: No tienen disenador ni UI/UX, es el tema que actualmente le preocupa mas
- Team | DevOps: 1
- Team | DevOps | Notes: Nico, pero es intermitente por requeriemientos del cliente
- Team | Data Engineer: 0")</f>
        <v>- Interviewee e-Mail: natalia.martinez@patagoniansys.com
- Project name: Conversifi
- Project | Role: QA Manual
- Project | Description: plataforma web que esta hecha en RESPONSIVE, que sirve para conectar estudiantes para practicar el idioma, la plataforma trabaja principalmente con Universidades, actualmente se encuentran buscando aliados para expandirse (ej: babel, duolingo, etc), ella hace un poco de todo, QA manual para backend, frontend, BD, tambien le gusta el proyecto porque ha podido actuar un poco como PO y PM. El 80% es QA.
- Project | technologies: MongoDB, React Native, Material UI (sustituyendo React), Amazon, Typescript, Google APIs, twiilio, Jira, ZenDesk
- Happiness in project technology: 😀 Sumamente Feliz
- Happiness in project technology | Description: Siempre se siente con un challenge, eso la motiva, han tenido varios cambios de BDs, lo cual le gusta ese reto. No estaba a gusto con que antes toda la plataforma estaba en Angular, pero ahorita esta mejorando porque estan en React, haciendo el responsive aun mejor
- Project | The best/coolest thing: Migrar todo a los buckets de AWS, eso le gusto muho y le parecio de mucha importancia porque ayuda mucho a nivel de negocio, la seguridad y la importancia de agregar el valor al negocio.
- Project | The worst thing: Tener algun herramienta para el diseno, porque no hay disenador(a), al menos proponerle a la clienta alguna herramienta para los disenos. 
- Project | Improvements: Hacer una app es lo principal. Tambien de la parte de diseno quiere implementar un testing para el diseno
- Team | TL: Martin Castro
- Team | PX: Isa
- Team | QA: 2
- Team | QA Automation: 👍 Si
- Team | QA | Notes: Manu hace automation y ella manual, ayudandole a Manu a organizarle las tareas
- Team | UI/UX: 0
- Team | UI/UX | Notes: No tienen disenador ni UI/UX, es el tema que actualmente le preocupa mas
- Team | DevOps: 1
- Team | DevOps | Notes: Nico, pero es intermitente por requeriemientos del cliente
- Team | Data Engineer: 0</v>
      </c>
      <c r="J139" s="4" t="str">
        <f>IFERROR(__xludf.DUMMYFUNCTION("""COMPUTED_VALUE"""),"Tech Referent - Initial gathering")</f>
        <v>Tech Referent - Initial gathering</v>
      </c>
    </row>
    <row r="140" hidden="1">
      <c r="A140" s="4">
        <f>IFERROR(__xludf.DUMMYFUNCTION("""COMPUTED_VALUE"""),88.0)</f>
        <v>88</v>
      </c>
      <c r="B140" s="4" t="str">
        <f>IFERROR(__xludf.DUMMYFUNCTION("""COMPUTED_VALUE"""),"andres.bolocco")</f>
        <v>andres.bolocco</v>
      </c>
      <c r="C140" s="5">
        <f>IFERROR(__xludf.DUMMYFUNCTION("""COMPUTED_VALUE"""),45033.71152927083)</f>
        <v>45033.71153</v>
      </c>
      <c r="D140" s="5">
        <f>IFERROR(__xludf.DUMMYFUNCTION("""COMPUTED_VALUE"""),45033.0)</f>
        <v>45033</v>
      </c>
      <c r="E140" s="4" t="str">
        <f>IFERROR(__xludf.DUMMYFUNCTION("""COMPUTED_VALUE"""),"federico.peralta@patagoniansys.com")</f>
        <v>federico.peralta@patagoniansys.com</v>
      </c>
      <c r="F140" s="4" t="str">
        <f>IFERROR(__xludf.DUMMYFUNCTION("""COMPUTED_VALUE"""),"andres.bolocco@patagoniansys.com")</f>
        <v>andres.bolocco@patagoniansys.com</v>
      </c>
      <c r="G140" s="4" t="str">
        <f>IFERROR(__xludf.DUMMYFUNCTION("""COMPUTED_VALUE"""),"⏱ One on One")</f>
        <v>⏱ One on One</v>
      </c>
      <c r="H140" s="4" t="str">
        <f>IFERROR(__xludf.DUMMYFUNCTION("""COMPUTED_VALUE"""),"😀 Sumamente Feliz")</f>
        <v>😀 Sumamente Feliz</v>
      </c>
      <c r="I140" s="6" t="str">
        <f>IFERROR(__xludf.DUMMYFUNCTION("""COMPUTED_VALUE"""),"Ando esta muy contento con Patagonian, encuentra con la empresa el equilibrio perfecto entre trabajo y poder disfrutar las cosas que quiere, que es su nuevo emprendimiento de vida y su familia. Siente sin embargo que esta en muchos proyectos a la vez y qu"&amp;"e eso le resta tiempo de querer capacitarse o poder dar el 100% en todo. Comento tambien que a veces hay proyectos donde tiene que estar fuera de horario, y como comentaba ""esas horas no se cargan en redmine""")</f>
        <v>Ando esta muy contento con Patagonian, encuentra con la empresa el equilibrio perfecto entre trabajo y poder disfrutar las cosas que quiere, que es su nuevo emprendimiento de vida y su familia. Siente sin embargo que esta en muchos proyectos a la vez y que eso le resta tiempo de querer capacitarse o poder dar el 100% en todo. Comento tambien que a veces hay proyectos donde tiene que estar fuera de horario, y como comentaba "esas horas no se cargan en redmine"</v>
      </c>
      <c r="J140" s="4" t="str">
        <f>IFERROR(__xludf.DUMMYFUNCTION("""COMPUTED_VALUE"""),"PX|Referents|RRHH")</f>
        <v>PX|Referents|RRHH</v>
      </c>
    </row>
    <row r="141" hidden="1">
      <c r="A141" s="4">
        <f>IFERROR(__xludf.DUMMYFUNCTION("""COMPUTED_VALUE"""),199.0)</f>
        <v>199</v>
      </c>
      <c r="B141" s="4" t="str">
        <f>IFERROR(__xludf.DUMMYFUNCTION("""COMPUTED_VALUE"""),"eileen.guerrero")</f>
        <v>eileen.guerrero</v>
      </c>
      <c r="C141" s="5">
        <f>IFERROR(__xludf.DUMMYFUNCTION("""COMPUTED_VALUE"""),45058.745408888884)</f>
        <v>45058.74541</v>
      </c>
      <c r="D141" s="5">
        <f>IFERROR(__xludf.DUMMYFUNCTION("""COMPUTED_VALUE"""),45033.0)</f>
        <v>45033</v>
      </c>
      <c r="E141" s="4" t="str">
        <f>IFERROR(__xludf.DUMMYFUNCTION("""COMPUTED_VALUE"""),"jimena.gutierrez@patagoniansys.com")</f>
        <v>jimena.gutierrez@patagoniansys.com</v>
      </c>
      <c r="F141" s="4" t="str">
        <f>IFERROR(__xludf.DUMMYFUNCTION("""COMPUTED_VALUE"""),"eileen.guerrero@patagoniansys.com")</f>
        <v>eileen.guerrero@patagoniansys.com</v>
      </c>
      <c r="G141" s="4" t="str">
        <f>IFERROR(__xludf.DUMMYFUNCTION("""COMPUTED_VALUE"""),"⏱ One on One")</f>
        <v>⏱ One on One</v>
      </c>
      <c r="H141" s="4" t="str">
        <f>IFERROR(__xludf.DUMMYFUNCTION("""COMPUTED_VALUE"""),"🙂 Feliz")</f>
        <v>🙂 Feliz</v>
      </c>
      <c r="I141" s="6" t="str">
        <f>IFERROR(__xludf.DUMMYFUNCTION("""COMPUTED_VALUE"""),"Del lado del cliente le dieron rowmap. Se siente cómodo con el manager. Entro una nueva backend. Con Juanda Martinez buena comunicación y dinámica.")</f>
        <v>Del lado del cliente le dieron rowmap. Se siente cómodo con el manager. Entro una nueva backend. Con Juanda Martinez buena comunicación y dinámica.</v>
      </c>
      <c r="J141" s="4" t="str">
        <f>IFERROR(__xludf.DUMMYFUNCTION("""COMPUTED_VALUE"""),"PX|Referents|RRHH")</f>
        <v>PX|Referents|RRHH</v>
      </c>
    </row>
    <row r="142">
      <c r="A142" s="4">
        <f>IFERROR(__xludf.DUMMYFUNCTION("""COMPUTED_VALUE"""),248.0)</f>
        <v>248</v>
      </c>
      <c r="B142" s="4" t="str">
        <f>IFERROR(__xludf.DUMMYFUNCTION("""COMPUTED_VALUE"""),"geronimo.cornou")</f>
        <v>geronimo.cornou</v>
      </c>
      <c r="C142" s="5">
        <f>IFERROR(__xludf.DUMMYFUNCTION("""COMPUTED_VALUE"""),45034.45371143519)</f>
        <v>45034.45371</v>
      </c>
      <c r="D142" s="5">
        <f>IFERROR(__xludf.DUMMYFUNCTION("""COMPUTED_VALUE"""),45034.0)</f>
        <v>45034</v>
      </c>
      <c r="E142" s="4" t="str">
        <f>IFERROR(__xludf.DUMMYFUNCTION("""COMPUTED_VALUE"""),"luis.soto@patagoniansys.com")</f>
        <v>luis.soto@patagoniansys.com</v>
      </c>
      <c r="F142" s="4" t="str">
        <f>IFERROR(__xludf.DUMMYFUNCTION("""COMPUTED_VALUE"""),"geronimo.cornou@patagoniansys.com")</f>
        <v>geronimo.cornou@patagoniansys.com</v>
      </c>
      <c r="G142" s="4" t="str">
        <f>IFERROR(__xludf.DUMMYFUNCTION("""COMPUTED_VALUE"""),"Initial gathering")</f>
        <v>Initial gathering</v>
      </c>
      <c r="H142" s="4"/>
      <c r="I142" s="6" t="str">
        <f>IFERROR(__xludf.DUMMYFUNCTION("""COMPUTED_VALUE"""),"- Interviewee e-Mail: geronimo.cornou@patagoniansys.com
- Project name: Rhebus
- Project | Role: QA Manual
- Project | Description: Una plataforma de streaming de videos, principalmente para empresas, los usuarios pueden subir videos y monetizarlos a trav"&amp;"ez de los anuncios. Su rol es validar que la concola funciona correctamente en las diferentes plataformas. Dentro de sus actividades esta todo lo relacionado a QA, ademas de ayuda a PM con gestion de tickets, ayuda un poco tambien en el diseno del rpoduct"&amp;"o, le gusta ayudar en el brainstorming. Le gusta mucho involucrarse con los clientes.
- Project | technologies: ViewJS, NodeJS, MongoDB, AWS, ClickUp, Usando mucho google docs
- Happiness in project technology: 😀 Sumamente Feliz
- Happiness in project te"&amp;"chnology | Description: Siente buena sinergia en el equipo, esta comodo y motivado, se siente ilusionado. 
- Project | The best/coolest thing: La posibilidad de usar distintos dispositivos, aprender sobre la creacion de apps de este tipo (streaming)
- Pro"&amp;"ject | The worst thing: no indica 
- Project | Improvements: Actualizar a;gunas de alas versions de las tecnologias que muchas estan deprecadas
- Team | TL: Mauricio Lahitte
- Team | PX: Hernan Muras
- Team | QA: 1
- Team | QA Automation: 👎 No
- Team | Q"&amp;"A | Notes: No tienen automation porque no hay presupuesto, sin emabargo a el le gustaria aprender/empenzar con esto
- Team | UI/UX: 0
- Team | UI/UX | Notes: no tienen
- Team | DevOps: 0
- Team | DevOps | Notes: el TL se encarga mucho de esta parte
- Team"&amp;" | Data Engineer: 0")</f>
        <v>- Interviewee e-Mail: geronimo.cornou@patagoniansys.com
- Project name: Rhebus
- Project | Role: QA Manual
- Project | Description: Una plataforma de streaming de videos, principalmente para empresas, los usuarios pueden subir videos y monetizarlos a travez de los anuncios. Su rol es validar que la concola funciona correctamente en las diferentes plataformas. Dentro de sus actividades esta todo lo relacionado a QA, ademas de ayuda a PM con gestion de tickets, ayuda un poco tambien en el diseno del rpoducto, le gusta ayudar en el brainstorming. Le gusta mucho involucrarse con los clientes.
- Project | technologies: ViewJS, NodeJS, MongoDB, AWS, ClickUp, Usando mucho google docs
- Happiness in project technology: 😀 Sumamente Feliz
- Happiness in project technology | Description: Siente buena sinergia en el equipo, esta comodo y motivado, se siente ilusionado. 
- Project | The best/coolest thing: La posibilidad de usar distintos dispositivos, aprender sobre la creacion de apps de este tipo (streaming)
- Project | The worst thing: no indica 
- Project | Improvements: Actualizar a;gunas de alas versions de las tecnologias que muchas estan deprecadas
- Team | TL: Mauricio Lahitte
- Team | PX: Hernan Muras
- Team | QA: 1
- Team | QA Automation: 👎 No
- Team | QA | Notes: No tienen automation porque no hay presupuesto, sin emabargo a el le gustaria aprender/empenzar con esto
- Team | UI/UX: 0
- Team | UI/UX | Notes: no tienen
- Team | DevOps: 0
- Team | DevOps | Notes: el TL se encarga mucho de esta parte
- Team | Data Engineer: 0</v>
      </c>
      <c r="J142" s="4" t="str">
        <f>IFERROR(__xludf.DUMMYFUNCTION("""COMPUTED_VALUE"""),"Tech Referent - Initial gathering")</f>
        <v>Tech Referent - Initial gathering</v>
      </c>
    </row>
    <row r="143" hidden="1">
      <c r="A143" s="4">
        <f>IFERROR(__xludf.DUMMYFUNCTION("""COMPUTED_VALUE"""),85.0)</f>
        <v>85</v>
      </c>
      <c r="B143" s="4" t="str">
        <f>IFERROR(__xludf.DUMMYFUNCTION("""COMPUTED_VALUE"""),"camila.maron")</f>
        <v>camila.maron</v>
      </c>
      <c r="C143" s="5">
        <f>IFERROR(__xludf.DUMMYFUNCTION("""COMPUTED_VALUE"""),45034.50651835649)</f>
        <v>45034.50652</v>
      </c>
      <c r="D143" s="5">
        <f>IFERROR(__xludf.DUMMYFUNCTION("""COMPUTED_VALUE"""),45034.0)</f>
        <v>45034</v>
      </c>
      <c r="E143" s="4" t="str">
        <f>IFERROR(__xludf.DUMMYFUNCTION("""COMPUTED_VALUE"""),"jesica.petrauskas@patagoniansys.com")</f>
        <v>jesica.petrauskas@patagoniansys.com</v>
      </c>
      <c r="F143" s="4" t="str">
        <f>IFERROR(__xludf.DUMMYFUNCTION("""COMPUTED_VALUE"""),"camila.maron@patagoniansys.com")</f>
        <v>camila.maron@patagoniansys.com</v>
      </c>
      <c r="G143" s="4" t="str">
        <f>IFERROR(__xludf.DUMMYFUNCTION("""COMPUTED_VALUE"""),"⏱ One on One")</f>
        <v>⏱ One on One</v>
      </c>
      <c r="H143" s="4" t="str">
        <f>IFERROR(__xludf.DUMMYFUNCTION("""COMPUTED_VALUE"""),"🙂 Feliz")</f>
        <v>🙂 Feliz</v>
      </c>
      <c r="I143" s="6" t="str">
        <f>IFERROR(__xludf.DUMMYFUNCTION("""COMPUTED_VALUE"""),"Está preparando la certificación de azure y le interesaría hacer algún curso de front. Con el proyecto y el equipo está conforme, espera que como parte del proyecto podamos hacer el rediseño así se suma con la parte del front en react.")</f>
        <v>Está preparando la certificación de azure y le interesaría hacer algún curso de front. Con el proyecto y el equipo está conforme, espera que como parte del proyecto podamos hacer el rediseño así se suma con la parte del front en react.</v>
      </c>
      <c r="J143" s="4" t="str">
        <f>IFERROR(__xludf.DUMMYFUNCTION("""COMPUTED_VALUE"""),"PX|Referents|RRHH")</f>
        <v>PX|Referents|RRHH</v>
      </c>
    </row>
    <row r="144" hidden="1">
      <c r="A144" s="4">
        <f>IFERROR(__xludf.DUMMYFUNCTION("""COMPUTED_VALUE"""),249.0)</f>
        <v>249</v>
      </c>
      <c r="B144" s="4" t="str">
        <f>IFERROR(__xludf.DUMMYFUNCTION("""COMPUTED_VALUE"""),"nahuel.diaz")</f>
        <v>nahuel.diaz</v>
      </c>
      <c r="C144" s="5">
        <f>IFERROR(__xludf.DUMMYFUNCTION("""COMPUTED_VALUE"""),45034.6689949537)</f>
        <v>45034.66899</v>
      </c>
      <c r="D144" s="5">
        <f>IFERROR(__xludf.DUMMYFUNCTION("""COMPUTED_VALUE"""),45034.0)</f>
        <v>45034</v>
      </c>
      <c r="E144" s="4" t="str">
        <f>IFERROR(__xludf.DUMMYFUNCTION("""COMPUTED_VALUE"""),"federico.peralta@patagoniansys.com")</f>
        <v>federico.peralta@patagoniansys.com</v>
      </c>
      <c r="F144" s="4" t="str">
        <f>IFERROR(__xludf.DUMMYFUNCTION("""COMPUTED_VALUE"""),"nahuel.diaz@patagoniansys.com")</f>
        <v>nahuel.diaz@patagoniansys.com</v>
      </c>
      <c r="G144" s="4" t="str">
        <f>IFERROR(__xludf.DUMMYFUNCTION("""COMPUTED_VALUE"""),"⏱ One on One")</f>
        <v>⏱ One on One</v>
      </c>
      <c r="H144" s="4" t="str">
        <f>IFERROR(__xludf.DUMMYFUNCTION("""COMPUTED_VALUE"""),"😀 Sumamente Feliz")</f>
        <v>😀 Sumamente Feliz</v>
      </c>
      <c r="I144" s="6" t="str">
        <f>IFERROR(__xludf.DUMMYFUNCTION("""COMPUTED_VALUE"""),"Nahuel esta muy contento con el equipo donde esta, este es su segundo proyecto y esta re contento con el equipo y por como viene aprendiendo junto a Hubert en el equipo, dijo que le dio un piwi Power y que reconoce el esfuerzo de El para consigo por expli"&amp;"carle a detalle en un principio. Ademas mostro interes en Python y esta enfocado en profundizarse en su carrera, en una escala de 1 al 5 dio un puntaje de 4 a pata, y dijo que podria ser 5 si estarian definidos los planes de crecimiento profesional.")</f>
        <v>Nahuel esta muy contento con el equipo donde esta, este es su segundo proyecto y esta re contento con el equipo y por como viene aprendiendo junto a Hubert en el equipo, dijo que le dio un piwi Power y que reconoce el esfuerzo de El para consigo por explicarle a detalle en un principio. Ademas mostro interes en Python y esta enfocado en profundizarse en su carrera, en una escala de 1 al 5 dio un puntaje de 4 a pata, y dijo que podria ser 5 si estarian definidos los planes de crecimiento profesional.</v>
      </c>
      <c r="J144" s="4" t="str">
        <f>IFERROR(__xludf.DUMMYFUNCTION("""COMPUTED_VALUE"""),"PX|Referents|RRHH")</f>
        <v>PX|Referents|RRHH</v>
      </c>
    </row>
    <row r="145" hidden="1">
      <c r="A145" s="4">
        <f>IFERROR(__xludf.DUMMYFUNCTION("""COMPUTED_VALUE"""),22.0)</f>
        <v>22</v>
      </c>
      <c r="B145" s="4" t="str">
        <f>IFERROR(__xludf.DUMMYFUNCTION("""COMPUTED_VALUE"""),"jmartinez")</f>
        <v>jmartinez</v>
      </c>
      <c r="C145" s="5">
        <f>IFERROR(__xludf.DUMMYFUNCTION("""COMPUTED_VALUE"""),45036.614517974536)</f>
        <v>45036.61452</v>
      </c>
      <c r="D145" s="5">
        <f>IFERROR(__xludf.DUMMYFUNCTION("""COMPUTED_VALUE"""),45034.0)</f>
        <v>45034</v>
      </c>
      <c r="E145" s="4" t="str">
        <f>IFERROR(__xludf.DUMMYFUNCTION("""COMPUTED_VALUE"""),"micaela.zorzetto@patagoniansys.com")</f>
        <v>micaela.zorzetto@patagoniansys.com</v>
      </c>
      <c r="F145" s="4" t="str">
        <f>IFERROR(__xludf.DUMMYFUNCTION("""COMPUTED_VALUE"""),"jmartinez@patagoniansys.com")</f>
        <v>jmartinez@patagoniansys.com</v>
      </c>
      <c r="G145" s="4" t="str">
        <f>IFERROR(__xludf.DUMMYFUNCTION("""COMPUTED_VALUE"""),"⏱ One on One")</f>
        <v>⏱ One on One</v>
      </c>
      <c r="H145" s="4" t="str">
        <f>IFERROR(__xludf.DUMMYFUNCTION("""COMPUTED_VALUE"""),"🙂 Feliz")</f>
        <v>🙂 Feliz</v>
      </c>
      <c r="I145" s="6" t="str">
        <f>IFERROR(__xludf.DUMMYFUNCTION("""COMPUTED_VALUE"""),"Esta bien en el proyecto Overplay, ahora esta con mucho trabajo ya que estan cerrando unas cosas claves. Esta muy entusiasmado en formar parte del equipo de arquitectos y la nueva tarea de participar en las reuniones con los futuros clientes. Igual, sient"&amp;"e que esta un poco apretado con el tema de los tiempos, ya que al proyecto esta asignado fulltime. Espera en algun momento solo poder dedicarle unas horas al proyecto y dedicarse más al lado de arquitectura. ")</f>
        <v>Esta bien en el proyecto Overplay, ahora esta con mucho trabajo ya que estan cerrando unas cosas claves. Esta muy entusiasmado en formar parte del equipo de arquitectos y la nueva tarea de participar en las reuniones con los futuros clientes. Igual, siente que esta un poco apretado con el tema de los tiempos, ya que al proyecto esta asignado fulltime. Espera en algun momento solo poder dedicarle unas horas al proyecto y dedicarse más al lado de arquitectura. </v>
      </c>
      <c r="J145" s="4" t="str">
        <f>IFERROR(__xludf.DUMMYFUNCTION("""COMPUTED_VALUE"""),"PX|Referents|RRHH")</f>
        <v>PX|Referents|RRHH</v>
      </c>
    </row>
    <row r="146" hidden="1">
      <c r="A146" s="4">
        <f>IFERROR(__xludf.DUMMYFUNCTION("""COMPUTED_VALUE"""),283.0)</f>
        <v>283</v>
      </c>
      <c r="B146" s="4" t="str">
        <f>IFERROR(__xludf.DUMMYFUNCTION("""COMPUTED_VALUE"""),"benjamin.bascary")</f>
        <v>benjamin.bascary</v>
      </c>
      <c r="C146" s="5">
        <f>IFERROR(__xludf.DUMMYFUNCTION("""COMPUTED_VALUE"""),45036.73219224538)</f>
        <v>45036.73219</v>
      </c>
      <c r="D146" s="5">
        <f>IFERROR(__xludf.DUMMYFUNCTION("""COMPUTED_VALUE"""),45034.0)</f>
        <v>45034</v>
      </c>
      <c r="E146" s="4" t="str">
        <f>IFERROR(__xludf.DUMMYFUNCTION("""COMPUTED_VALUE"""),"micaela.zorzetto@patagoniansys.com")</f>
        <v>micaela.zorzetto@patagoniansys.com</v>
      </c>
      <c r="F146" s="4" t="str">
        <f>IFERROR(__xludf.DUMMYFUNCTION("""COMPUTED_VALUE"""),"benjamin.bascary@patagoniansys.com")</f>
        <v>benjamin.bascary@patagoniansys.com</v>
      </c>
      <c r="G146" s="4" t="str">
        <f>IFERROR(__xludf.DUMMYFUNCTION("""COMPUTED_VALUE"""),"⏱ One on One")</f>
        <v>⏱ One on One</v>
      </c>
      <c r="H146" s="4" t="str">
        <f>IFERROR(__xludf.DUMMYFUNCTION("""COMPUTED_VALUE"""),"🙂 Feliz")</f>
        <v>🙂 Feliz</v>
      </c>
      <c r="I146" s="6" t="str">
        <f>IFERROR(__xludf.DUMMYFUNCTION("""COMPUTED_VALUE"""),"Proyecto: al principio estaba bastante cargado, porque está el solo con varias plataformas del cliente. Hoy logro acomodarse y tomarse todo con tranquilidad, al principio se llevaba trabajo a la casa y no terminaba nunca de cortar. 
Empresa: esta muy cont"&amp;"ento, con los beneficios y actividades que se desalloran enn Patagonian. 
Capacitaciones: todavía no tiene nada especifico en mente, pero le gusta lo que es ciberseguridad o Inteligencia artificial. ")</f>
        <v>Proyecto: al principio estaba bastante cargado, porque está el solo con varias plataformas del cliente. Hoy logro acomodarse y tomarse todo con tranquilidad, al principio se llevaba trabajo a la casa y no terminaba nunca de cortar. 
Empresa: esta muy contento, con los beneficios y actividades que se desalloran enn Patagonian. 
Capacitaciones: todavía no tiene nada especifico en mente, pero le gusta lo que es ciberseguridad o Inteligencia artificial. </v>
      </c>
      <c r="J146" s="4" t="str">
        <f>IFERROR(__xludf.DUMMYFUNCTION("""COMPUTED_VALUE"""),"PX|Referents|RRHH")</f>
        <v>PX|Referents|RRHH</v>
      </c>
    </row>
    <row r="147" hidden="1">
      <c r="A147" s="4">
        <f>IFERROR(__xludf.DUMMYFUNCTION("""COMPUTED_VALUE"""),284.0)</f>
        <v>284</v>
      </c>
      <c r="B147" s="4" t="str">
        <f>IFERROR(__xludf.DUMMYFUNCTION("""COMPUTED_VALUE"""),"emmanuel.trassani")</f>
        <v>emmanuel.trassani</v>
      </c>
      <c r="C147" s="5">
        <f>IFERROR(__xludf.DUMMYFUNCTION("""COMPUTED_VALUE"""),45040.66226887731)</f>
        <v>45040.66227</v>
      </c>
      <c r="D147" s="5">
        <f>IFERROR(__xludf.DUMMYFUNCTION("""COMPUTED_VALUE"""),45034.0)</f>
        <v>45034</v>
      </c>
      <c r="E147" s="4" t="str">
        <f>IFERROR(__xludf.DUMMYFUNCTION("""COMPUTED_VALUE"""),"micaela.zorzetto@patagoniansys.com")</f>
        <v>micaela.zorzetto@patagoniansys.com</v>
      </c>
      <c r="F147" s="4" t="str">
        <f>IFERROR(__xludf.DUMMYFUNCTION("""COMPUTED_VALUE"""),"emmanuel.trassani@patagoniansys.com")</f>
        <v>emmanuel.trassani@patagoniansys.com</v>
      </c>
      <c r="G147" s="4" t="str">
        <f>IFERROR(__xludf.DUMMYFUNCTION("""COMPUTED_VALUE"""),"⏱ One on One")</f>
        <v>⏱ One on One</v>
      </c>
      <c r="H147" s="4" t="str">
        <f>IFERROR(__xludf.DUMMYFUNCTION("""COMPUTED_VALUE"""),"😀 Sumamente Feliz")</f>
        <v>😀 Sumamente Feliz</v>
      </c>
      <c r="I147" s="6" t="str">
        <f>IFERROR(__xludf.DUMMYFUNCTION("""COMPUTED_VALUE"""),"Proyecto: esta contento y cómodo en el proyecto. Por momentos siente que no se utilizan tecnologías muy modernas y que se estanca en lo viejo. 
Empresa: me recalgo que esta feliz en la empresa, todo lo que se le da en cuanto a beneficios y el acompañamien"&amp;"to que tiene siempre. 
Capacitación: esta enfocado en mejorar su inglés, y se sumo a los desk de front que lidera Ando Bolocco.")</f>
        <v>Proyecto: esta contento y cómodo en el proyecto. Por momentos siente que no se utilizan tecnologías muy modernas y que se estanca en lo viejo. 
Empresa: me recalgo que esta feliz en la empresa, todo lo que se le da en cuanto a beneficios y el acompañamiento que tiene siempre. 
Capacitación: esta enfocado en mejorar su inglés, y se sumo a los desk de front que lidera Ando Bolocco.</v>
      </c>
      <c r="J147" s="4" t="str">
        <f>IFERROR(__xludf.DUMMYFUNCTION("""COMPUTED_VALUE"""),"PX|Referents|RRHH")</f>
        <v>PX|Referents|RRHH</v>
      </c>
    </row>
    <row r="148" hidden="1">
      <c r="A148" s="4">
        <f>IFERROR(__xludf.DUMMYFUNCTION("""COMPUTED_VALUE"""),282.0)</f>
        <v>282</v>
      </c>
      <c r="B148" s="4" t="str">
        <f>IFERROR(__xludf.DUMMYFUNCTION("""COMPUTED_VALUE"""),"julian.zambroni")</f>
        <v>julian.zambroni</v>
      </c>
      <c r="C148" s="5">
        <f>IFERROR(__xludf.DUMMYFUNCTION("""COMPUTED_VALUE"""),45040.729365844905)</f>
        <v>45040.72937</v>
      </c>
      <c r="D148" s="5">
        <f>IFERROR(__xludf.DUMMYFUNCTION("""COMPUTED_VALUE"""),45034.0)</f>
        <v>45034</v>
      </c>
      <c r="E148" s="4" t="str">
        <f>IFERROR(__xludf.DUMMYFUNCTION("""COMPUTED_VALUE"""),"micaela.zorzetto@patagoniansys.com")</f>
        <v>micaela.zorzetto@patagoniansys.com</v>
      </c>
      <c r="F148" s="4" t="str">
        <f>IFERROR(__xludf.DUMMYFUNCTION("""COMPUTED_VALUE"""),"julian.zambroni@patagoniansys.com")</f>
        <v>julian.zambroni@patagoniansys.com</v>
      </c>
      <c r="G148" s="4" t="str">
        <f>IFERROR(__xludf.DUMMYFUNCTION("""COMPUTED_VALUE"""),"⏱ One on One")</f>
        <v>⏱ One on One</v>
      </c>
      <c r="H148" s="4" t="str">
        <f>IFERROR(__xludf.DUMMYFUNCTION("""COMPUTED_VALUE"""),"🙂 Feliz")</f>
        <v>🙂 Feliz</v>
      </c>
      <c r="I148" s="6" t="str">
        <f>IFERROR(__xludf.DUMMYFUNCTION("""COMPUTED_VALUE"""),"Proyecto: esta cómodo en el proyecto, se siente acompañado por todo el equipo. Por ahora hace tareas que corresponden a su seniority. Esta acomodandose de nuevo con el cambio de PM que hubo en el proyecto, considera que es necesario tenes un PM que se inv"&amp;"olucre y este presente. 
Empresa: esta bien, se siente acompañado y esta aprendiendo mucho.
Capacitación: todavia no sabe que cursos puede seguir, todavía no se puso a pensar o diseñar que le gustaria hacer este año.")</f>
        <v>Proyecto: esta cómodo en el proyecto, se siente acompañado por todo el equipo. Por ahora hace tareas que corresponden a su seniority. Esta acomodandose de nuevo con el cambio de PM que hubo en el proyecto, considera que es necesario tenes un PM que se involucre y este presente. 
Empresa: esta bien, se siente acompañado y esta aprendiendo mucho.
Capacitación: todavia no sabe que cursos puede seguir, todavía no se puso a pensar o diseñar que le gustaria hacer este año.</v>
      </c>
      <c r="J148" s="4" t="str">
        <f>IFERROR(__xludf.DUMMYFUNCTION("""COMPUTED_VALUE"""),"PX|Referents|RRHH")</f>
        <v>PX|Referents|RRHH</v>
      </c>
    </row>
    <row r="149" hidden="1">
      <c r="A149" s="4">
        <f>IFERROR(__xludf.DUMMYFUNCTION("""COMPUTED_VALUE"""),26.0)</f>
        <v>26</v>
      </c>
      <c r="B149" s="4" t="str">
        <f>IFERROR(__xludf.DUMMYFUNCTION("""COMPUTED_VALUE"""),"mariano.sckerl")</f>
        <v>mariano.sckerl</v>
      </c>
      <c r="C149" s="5">
        <f>IFERROR(__xludf.DUMMYFUNCTION("""COMPUTED_VALUE"""),45040.75214806713)</f>
        <v>45040.75215</v>
      </c>
      <c r="D149" s="5">
        <f>IFERROR(__xludf.DUMMYFUNCTION("""COMPUTED_VALUE"""),45034.0)</f>
        <v>45034</v>
      </c>
      <c r="E149" s="4" t="str">
        <f>IFERROR(__xludf.DUMMYFUNCTION("""COMPUTED_VALUE"""),"micaela.zorzetto@patagoniansys.com")</f>
        <v>micaela.zorzetto@patagoniansys.com</v>
      </c>
      <c r="F149" s="4" t="str">
        <f>IFERROR(__xludf.DUMMYFUNCTION("""COMPUTED_VALUE"""),"mariano.sckerl@patagoniansys.com")</f>
        <v>mariano.sckerl@patagoniansys.com</v>
      </c>
      <c r="G149" s="4" t="str">
        <f>IFERROR(__xludf.DUMMYFUNCTION("""COMPUTED_VALUE"""),"⏱ One on One")</f>
        <v>⏱ One on One</v>
      </c>
      <c r="H149" s="4" t="str">
        <f>IFERROR(__xludf.DUMMYFUNCTION("""COMPUTED_VALUE"""),"🙂 Feliz")</f>
        <v>🙂 Feliz</v>
      </c>
      <c r="I149" s="6" t="str">
        <f>IFERROR(__xludf.DUMMYFUNCTION("""COMPUTED_VALUE"""),"Le gustaría si hay algún proyecto nuevo que lo tengan en cuenta para sumarse. 
Esta muy contento con las actividades que se proponen hacer en la oficina (como el torneo de ping-pong). ")</f>
        <v>Le gustaría si hay algún proyecto nuevo que lo tengan en cuenta para sumarse. 
Esta muy contento con las actividades que se proponen hacer en la oficina (como el torneo de ping-pong). </v>
      </c>
      <c r="J149" s="4" t="str">
        <f>IFERROR(__xludf.DUMMYFUNCTION("""COMPUTED_VALUE"""),"PX|Referents|RRHH")</f>
        <v>PX|Referents|RRHH</v>
      </c>
    </row>
    <row r="150" hidden="1">
      <c r="A150" s="4">
        <f>IFERROR(__xludf.DUMMYFUNCTION("""COMPUTED_VALUE"""),106.0)</f>
        <v>106</v>
      </c>
      <c r="B150" s="4" t="str">
        <f>IFERROR(__xludf.DUMMYFUNCTION("""COMPUTED_VALUE"""),"natalia.martinez")</f>
        <v>natalia.martinez</v>
      </c>
      <c r="C150" s="5">
        <f>IFERROR(__xludf.DUMMYFUNCTION("""COMPUTED_VALUE"""),45035.501372245366)</f>
        <v>45035.50137</v>
      </c>
      <c r="D150" s="5">
        <f>IFERROR(__xludf.DUMMYFUNCTION("""COMPUTED_VALUE"""),45035.0)</f>
        <v>45035</v>
      </c>
      <c r="E150" s="4" t="str">
        <f>IFERROR(__xludf.DUMMYFUNCTION("""COMPUTED_VALUE"""),"diana.grajales@patagoniansys.com")</f>
        <v>diana.grajales@patagoniansys.com</v>
      </c>
      <c r="F150" s="4" t="str">
        <f>IFERROR(__xludf.DUMMYFUNCTION("""COMPUTED_VALUE"""),"natalia.martinez@patagoniansys.com")</f>
        <v>natalia.martinez@patagoniansys.com</v>
      </c>
      <c r="G150" s="4" t="str">
        <f>IFERROR(__xludf.DUMMYFUNCTION("""COMPUTED_VALUE"""),"👋 RRHH")</f>
        <v>👋 RRHH</v>
      </c>
      <c r="H150" s="4" t="str">
        <f>IFERROR(__xludf.DUMMYFUNCTION("""COMPUTED_VALUE"""),"🙂 Feliz")</f>
        <v>🙂 Feliz</v>
      </c>
      <c r="I150" s="6" t="str">
        <f>IFERROR(__xludf.DUMMYFUNCTION("""COMPUTED_VALUE"""),"1. Se siente apenada que no logro hacer que funcione la relación con Fede su PM 
2. Esta haciendo un curso de comunicación, esta en el taller de PNL  que es el primero. 
esto lo empece tras el feedback con Fede 
3. Nuevo PM: Isabel Llano  es la nueva PM, "&amp;"tiene otra forma de ser y de liderar a el equipo. Ella es mucho mas tranquila, escucha muchisimo y se siente muy bien. 
4. Antes la empresa podia tratar con cada uno a un nivel más personal, ahora se ha tenido que acoplarse a una empresa más grande.
5. Es"&amp;"ta trabajando en su manera de comunicarse con su equipo.
")</f>
        <v>1. Se siente apenada que no logro hacer que funcione la relación con Fede su PM 
2. Esta haciendo un curso de comunicación, esta en el taller de PNL  que es el primero. 
esto lo empece tras el feedback con Fede 
3. Nuevo PM: Isabel Llano  es la nueva PM, tiene otra forma de ser y de liderar a el equipo. Ella es mucho mas tranquila, escucha muchisimo y se siente muy bien. 
4. Antes la empresa podia tratar con cada uno a un nivel más personal, ahora se ha tenido que acoplarse a una empresa más grande.
5. Esta trabajando en su manera de comunicarse con su equipo.
</v>
      </c>
      <c r="J150" s="4" t="str">
        <f>IFERROR(__xludf.DUMMYFUNCTION("""COMPUTED_VALUE"""),"PX|Referents|RRHH")</f>
        <v>PX|Referents|RRHH</v>
      </c>
    </row>
    <row r="151" hidden="1">
      <c r="A151" s="4">
        <f>IFERROR(__xludf.DUMMYFUNCTION("""COMPUTED_VALUE"""),125.0)</f>
        <v>125</v>
      </c>
      <c r="B151" s="4" t="str">
        <f>IFERROR(__xludf.DUMMYFUNCTION("""COMPUTED_VALUE"""),"pablo.triandafilide")</f>
        <v>pablo.triandafilide</v>
      </c>
      <c r="C151" s="5">
        <f>IFERROR(__xludf.DUMMYFUNCTION("""COMPUTED_VALUE"""),45035.62114473379)</f>
        <v>45035.62114</v>
      </c>
      <c r="D151" s="5">
        <f>IFERROR(__xludf.DUMMYFUNCTION("""COMPUTED_VALUE"""),45035.0)</f>
        <v>45035</v>
      </c>
      <c r="E151" s="4" t="str">
        <f>IFERROR(__xludf.DUMMYFUNCTION("""COMPUTED_VALUE"""),"micaela.zorzetto@patagoniansys.com")</f>
        <v>micaela.zorzetto@patagoniansys.com</v>
      </c>
      <c r="F151" s="4" t="str">
        <f>IFERROR(__xludf.DUMMYFUNCTION("""COMPUTED_VALUE"""),"pablo.triandafilide@patagoniansys.com")</f>
        <v>pablo.triandafilide@patagoniansys.com</v>
      </c>
      <c r="G151" s="4" t="str">
        <f>IFERROR(__xludf.DUMMYFUNCTION("""COMPUTED_VALUE"""),"⏱ One on One")</f>
        <v>⏱ One on One</v>
      </c>
      <c r="H151" s="4" t="str">
        <f>IFERROR(__xludf.DUMMYFUNCTION("""COMPUTED_VALUE"""),"🙂 Feliz")</f>
        <v>🙂 Feliz</v>
      </c>
      <c r="I151" s="6" t="str">
        <f>IFERROR(__xludf.DUMMYFUNCTION("""COMPUTED_VALUE"""),"Me comento que con el equipo participaron de la auditoria, que estuvo bueno hacerlo y fue algo diferente. 
Le gustaría seguir especializandose en la parte de Backend, ya que es lo que le gusta. 
Le gustaría sumarse algún día que pueda sumarse a los festej"&amp;"os de cumple en la oficina. ")</f>
        <v>Me comento que con el equipo participaron de la auditoria, que estuvo bueno hacerlo y fue algo diferente. 
Le gustaría seguir especializandose en la parte de Backend, ya que es lo que le gusta. 
Le gustaría sumarse algún día que pueda sumarse a los festejos de cumple en la oficina. </v>
      </c>
      <c r="J151" s="4" t="str">
        <f>IFERROR(__xludf.DUMMYFUNCTION("""COMPUTED_VALUE"""),"PX|Referents|RRHH")</f>
        <v>PX|Referents|RRHH</v>
      </c>
    </row>
    <row r="152">
      <c r="A152" s="4">
        <f>IFERROR(__xludf.DUMMYFUNCTION("""COMPUTED_VALUE"""),205.0)</f>
        <v>205</v>
      </c>
      <c r="B152" s="4" t="str">
        <f>IFERROR(__xludf.DUMMYFUNCTION("""COMPUTED_VALUE"""),"manuel.abruzzo")</f>
        <v>manuel.abruzzo</v>
      </c>
      <c r="C152" s="5">
        <f>IFERROR(__xludf.DUMMYFUNCTION("""COMPUTED_VALUE"""),45035.72281831018)</f>
        <v>45035.72282</v>
      </c>
      <c r="D152" s="5">
        <f>IFERROR(__xludf.DUMMYFUNCTION("""COMPUTED_VALUE"""),45035.0)</f>
        <v>45035</v>
      </c>
      <c r="E152" s="4" t="str">
        <f>IFERROR(__xludf.DUMMYFUNCTION("""COMPUTED_VALUE"""),"julio.sirera@patagoniansys.com")</f>
        <v>julio.sirera@patagoniansys.com</v>
      </c>
      <c r="F152" s="4" t="str">
        <f>IFERROR(__xludf.DUMMYFUNCTION("""COMPUTED_VALUE"""),"manuel.abruzzo@patagonian.com")</f>
        <v>manuel.abruzzo@patagonian.com</v>
      </c>
      <c r="G152" s="4" t="str">
        <f>IFERROR(__xludf.DUMMYFUNCTION("""COMPUTED_VALUE"""),"Referent One on One")</f>
        <v>Referent One on One</v>
      </c>
      <c r="H152" s="4"/>
      <c r="I152" s="6" t="str">
        <f>IFERROR(__xludf.DUMMYFUNCTION("""COMPUTED_VALUE"""),"- Interviewee e-Mail: manuel.abruzzo@patagonian.com
- Project Status Check: N/A - Primer encuentro
- Project Changes | Notes: El movimiento permanenete de gente cambia mucho la dinamica del equipo y la forma de trabajo, muchos cambios en los ciclos de vid"&amp;"a del software.
- Project Role | Feeling: 4
- Extra Work Hours | Amount: 0 (Ningúna)
- Techs | Research: constantemente esta aprendiendo en su dia a dia acerca de cucumber, playwright y buenas practicas de automatizacion
- Techs | Certifications: iSTQB - "&amp;"en proceso
- Techs | Recomendations: Hubieron recomendaciones pero vamos tener charlas de asistencia al igual que con Galo
- Techs | Recomendations check: N/A - Primer encuentro
- Collaborator | Seniority: 👍 No, es correcto
- Alerts: no hay alertas que r"&amp;"equieran atencion inmediata. PERO siente que el equipo de trabajo no puede separar la amistad de lo laboral y no siente que lo que el diga tenga peso, en primera instancia le pedi que hablara de esto con RRHH o con PM o que el fuerce la situacion en la qu"&amp;"e el equipo tenga que hablar solo profecionalmente como una actividad de team-building (juego)
- Project Needs / Oportunities: El considera que el proyecto necesita UX ya que el sitio tiene muchos problemas de usabilidad
- Final notes: No hay notas
- Proj"&amp;"ect Techs | Learning: 8
- Project Techs | Difficulty: 3
- Project Changes | Reasons: ⬇️ Reducción del equipo, ⬆️ Aumento del equipo, 🔀 Cambio de roles dentro del equipo, ⏱ Cambios en la forma de planificar las tareas y tiempos, 💻 Cambios en la manera de"&amp;" desarrollar, 🔧 Cambios de infraestructura
- Project Changes | Personal Impact: 1
- Project Role | Value: 5
- Project role | Notes: Su Rol en el proyecto lo ve muy valorado y siente que tiene vendadera inferencia lo que el hace en el mismo")</f>
        <v>- Interviewee e-Mail: manuel.abruzzo@patagonian.com
- Project Status Check: N/A - Primer encuentro
- Project Changes | Notes: El movimiento permanenete de gente cambia mucho la dinamica del equipo y la forma de trabajo, muchos cambios en los ciclos de vida del software.
- Project Role | Feeling: 4
- Extra Work Hours | Amount: 0 (Ningúna)
- Techs | Research: constantemente esta aprendiendo en su dia a dia acerca de cucumber, playwright y buenas practicas de automatizacion
- Techs | Certifications: iSTQB - en proceso
- Techs | Recomendations: Hubieron recomendaciones pero vamos tener charlas de asistencia al igual que con Galo
- Techs | Recomendations check: N/A - Primer encuentro
- Collaborator | Seniority: 👍 No, es correcto
- Alerts: no hay alertas que requieran atencion inmediata. PERO siente que el equipo de trabajo no puede separar la amistad de lo laboral y no siente que lo que el diga tenga peso, en primera instancia le pedi que hablara de esto con RRHH o con PM o que el fuerce la situacion en la que el equipo tenga que hablar solo profecionalmente como una actividad de team-building (juego)
- Project Needs / Oportunities: El considera que el proyecto necesita UX ya que el sitio tiene muchos problemas de usabilidad
- Final notes: No hay notas
- Project Techs | Learning: 8
- Project Techs | Difficulty: 3
- Project Changes | Reasons: ⬇️ Reducción del equipo, ⬆️ Aumento del equipo, 🔀 Cambio de roles dentro del equipo, ⏱ Cambios en la forma de planificar las tareas y tiempos, 💻 Cambios en la manera de desarrollar, 🔧 Cambios de infraestructura
- Project Changes | Personal Impact: 1
- Project Role | Value: 5
- Project role | Notes: Su Rol en el proyecto lo ve muy valorado y siente que tiene vendadera inferencia lo que el hace en el mismo</v>
      </c>
      <c r="J152" s="4" t="str">
        <f>IFERROR(__xludf.DUMMYFUNCTION("""COMPUTED_VALUE"""),"Tech Referent - OneOnOne")</f>
        <v>Tech Referent - OneOnOne</v>
      </c>
    </row>
    <row r="153" hidden="1">
      <c r="A153" s="4">
        <f>IFERROR(__xludf.DUMMYFUNCTION("""COMPUTED_VALUE"""),287.0)</f>
        <v>287</v>
      </c>
      <c r="B153" s="4" t="str">
        <f>IFERROR(__xludf.DUMMYFUNCTION("""COMPUTED_VALUE"""),"duvan.narvaez")</f>
        <v>duvan.narvaez</v>
      </c>
      <c r="C153" s="5">
        <f>IFERROR(__xludf.DUMMYFUNCTION("""COMPUTED_VALUE"""),45041.6432083449)</f>
        <v>45041.64321</v>
      </c>
      <c r="D153" s="5">
        <f>IFERROR(__xludf.DUMMYFUNCTION("""COMPUTED_VALUE"""),45035.0)</f>
        <v>45035</v>
      </c>
      <c r="E153" s="4" t="str">
        <f>IFERROR(__xludf.DUMMYFUNCTION("""COMPUTED_VALUE"""),"sebastian.charre@patagoniansys.com")</f>
        <v>sebastian.charre@patagoniansys.com</v>
      </c>
      <c r="F153" s="4" t="str">
        <f>IFERROR(__xludf.DUMMYFUNCTION("""COMPUTED_VALUE"""),"duvan.narvaez@patagoniansys.com")</f>
        <v>duvan.narvaez@patagoniansys.com</v>
      </c>
      <c r="G153" s="4" t="str">
        <f>IFERROR(__xludf.DUMMYFUNCTION("""COMPUTED_VALUE"""),"⏱ One on One")</f>
        <v>⏱ One on One</v>
      </c>
      <c r="H153" s="4" t="str">
        <f>IFERROR(__xludf.DUMMYFUNCTION("""COMPUTED_VALUE"""),"😐 Indiferente")</f>
        <v>😐 Indiferente</v>
      </c>
      <c r="I153" s="6" t="str">
        <f>IFERROR(__xludf.DUMMYFUNCTION("""COMPUTED_VALUE"""),"Duvan, se muestra satisfecho en el proyecto. El feedback del cliente y de su compañero lider es positivo. Si bien tuvo algunas situaciones donde no realizó la entrega de lo acordado ha mejorado en los ultimos sprints. ")</f>
        <v>Duvan, se muestra satisfecho en el proyecto. El feedback del cliente y de su compañero lider es positivo. Si bien tuvo algunas situaciones donde no realizó la entrega de lo acordado ha mejorado en los ultimos sprints. </v>
      </c>
      <c r="J153" s="4" t="str">
        <f>IFERROR(__xludf.DUMMYFUNCTION("""COMPUTED_VALUE"""),"PX|Referents|RRHH")</f>
        <v>PX|Referents|RRHH</v>
      </c>
    </row>
    <row r="154" hidden="1">
      <c r="A154" s="4">
        <f>IFERROR(__xludf.DUMMYFUNCTION("""COMPUTED_VALUE"""),88.0)</f>
        <v>88</v>
      </c>
      <c r="B154" s="4" t="str">
        <f>IFERROR(__xludf.DUMMYFUNCTION("""COMPUTED_VALUE"""),"andres.bolocco")</f>
        <v>andres.bolocco</v>
      </c>
      <c r="C154" s="5">
        <f>IFERROR(__xludf.DUMMYFUNCTION("""COMPUTED_VALUE"""),45044.74100505788)</f>
        <v>45044.74101</v>
      </c>
      <c r="D154" s="5">
        <f>IFERROR(__xludf.DUMMYFUNCTION("""COMPUTED_VALUE"""),45035.0)</f>
        <v>45035</v>
      </c>
      <c r="E154" s="4" t="str">
        <f>IFERROR(__xludf.DUMMYFUNCTION("""COMPUTED_VALUE"""),"micaela.zorzetto@patagoniansys.com")</f>
        <v>micaela.zorzetto@patagoniansys.com</v>
      </c>
      <c r="F154" s="4" t="str">
        <f>IFERROR(__xludf.DUMMYFUNCTION("""COMPUTED_VALUE"""),"andres.bolocco@patagoniansys.com")</f>
        <v>andres.bolocco@patagoniansys.com</v>
      </c>
      <c r="G154" s="4" t="str">
        <f>IFERROR(__xludf.DUMMYFUNCTION("""COMPUTED_VALUE"""),"⏱ One on One")</f>
        <v>⏱ One on One</v>
      </c>
      <c r="H154" s="4" t="str">
        <f>IFERROR(__xludf.DUMMYFUNCTION("""COMPUTED_VALUE"""),"🙂 Feliz")</f>
        <v>🙂 Feliz</v>
      </c>
      <c r="I154" s="6" t="str">
        <f>IFERROR(__xludf.DUMMYFUNCTION("""COMPUTED_VALUE"""),"Me comentó que ahora esta a cargo del desk de Front, ya tiene varios inscriptos y esta muy contento de llevarlo adelante. 
Espera tener tiempo para dedicarle a todo (Proyecto, Arquitectura y Desk). ")</f>
        <v>Me comentó que ahora esta a cargo del desk de Front, ya tiene varios inscriptos y esta muy contento de llevarlo adelante. 
Espera tener tiempo para dedicarle a todo (Proyecto, Arquitectura y Desk). </v>
      </c>
      <c r="J154" s="4" t="str">
        <f>IFERROR(__xludf.DUMMYFUNCTION("""COMPUTED_VALUE"""),"PX|Referents|RRHH")</f>
        <v>PX|Referents|RRHH</v>
      </c>
    </row>
    <row r="155" hidden="1">
      <c r="A155" s="4">
        <f>IFERROR(__xludf.DUMMYFUNCTION("""COMPUTED_VALUE"""),187.0)</f>
        <v>187</v>
      </c>
      <c r="B155" s="4" t="str">
        <f>IFERROR(__xludf.DUMMYFUNCTION("""COMPUTED_VALUE"""),"christian.amu")</f>
        <v>christian.amu</v>
      </c>
      <c r="C155" s="5">
        <f>IFERROR(__xludf.DUMMYFUNCTION("""COMPUTED_VALUE"""),45058.7490271412)</f>
        <v>45058.74903</v>
      </c>
      <c r="D155" s="5">
        <f>IFERROR(__xludf.DUMMYFUNCTION("""COMPUTED_VALUE"""),45035.0)</f>
        <v>45035</v>
      </c>
      <c r="E155" s="4" t="str">
        <f>IFERROR(__xludf.DUMMYFUNCTION("""COMPUTED_VALUE"""),"jimena.gutierrez@patagoniansys.com")</f>
        <v>jimena.gutierrez@patagoniansys.com</v>
      </c>
      <c r="F155" s="4" t="str">
        <f>IFERROR(__xludf.DUMMYFUNCTION("""COMPUTED_VALUE"""),"christian.amu@patagoniansys.com")</f>
        <v>christian.amu@patagoniansys.com</v>
      </c>
      <c r="G155" s="4" t="str">
        <f>IFERROR(__xludf.DUMMYFUNCTION("""COMPUTED_VALUE"""),"⏱ One on One")</f>
        <v>⏱ One on One</v>
      </c>
      <c r="H155" s="4" t="str">
        <f>IFERROR(__xludf.DUMMYFUNCTION("""COMPUTED_VALUE"""),"🙂 Feliz")</f>
        <v>🙂 Feliz</v>
      </c>
      <c r="I155" s="6" t="str">
        <f>IFERROR(__xludf.DUMMYFUNCTION("""COMPUTED_VALUE"""),"Con el cliente se siente mas calmado hay menos lio con cambios. Se siente bien con el nuevo equipo de trabajo. Con el manager esta mas cómodo. Las personas nuevas cambiaron el aire, es mucho mas amena la dinámica. 
El trabajo como tal hacen cambios desafi"&amp;"antes lo cual lo tiene más motivado. La interacción cultural es mas linda, prender la cámara es algo más personal y motivante. 
Siente que ha crecido profesionalmente y que el manager lo motiva a hacerlo. Está mas seguro para hacer los desarrollos solo. ")</f>
        <v>Con el cliente se siente mas calmado hay menos lio con cambios. Se siente bien con el nuevo equipo de trabajo. Con el manager esta mas cómodo. Las personas nuevas cambiaron el aire, es mucho mas amena la dinámica. 
El trabajo como tal hacen cambios desafiantes lo cual lo tiene más motivado. La interacción cultural es mas linda, prender la cámara es algo más personal y motivante. 
Siente que ha crecido profesionalmente y que el manager lo motiva a hacerlo. Está mas seguro para hacer los desarrollos solo. </v>
      </c>
      <c r="J155" s="4" t="str">
        <f>IFERROR(__xludf.DUMMYFUNCTION("""COMPUTED_VALUE"""),"PX|Referents|RRHH")</f>
        <v>PX|Referents|RRHH</v>
      </c>
    </row>
    <row r="156" hidden="1">
      <c r="A156" s="4">
        <f>IFERROR(__xludf.DUMMYFUNCTION("""COMPUTED_VALUE"""),154.0)</f>
        <v>154</v>
      </c>
      <c r="B156" s="4" t="str">
        <f>IFERROR(__xludf.DUMMYFUNCTION("""COMPUTED_VALUE"""),"esteban.camacho")</f>
        <v>esteban.camacho</v>
      </c>
      <c r="C156" s="5">
        <f>IFERROR(__xludf.DUMMYFUNCTION("""COMPUTED_VALUE"""),45036.51363121528)</f>
        <v>45036.51363</v>
      </c>
      <c r="D156" s="5">
        <f>IFERROR(__xludf.DUMMYFUNCTION("""COMPUTED_VALUE"""),45036.0)</f>
        <v>45036</v>
      </c>
      <c r="E156" s="4" t="str">
        <f>IFERROR(__xludf.DUMMYFUNCTION("""COMPUTED_VALUE"""),"diana.grajales@patagoniansys.com")</f>
        <v>diana.grajales@patagoniansys.com</v>
      </c>
      <c r="F156" s="4" t="str">
        <f>IFERROR(__xludf.DUMMYFUNCTION("""COMPUTED_VALUE"""),"esteban.camacho@patagoniansys.com")</f>
        <v>esteban.camacho@patagoniansys.com</v>
      </c>
      <c r="G156" s="4" t="str">
        <f>IFERROR(__xludf.DUMMYFUNCTION("""COMPUTED_VALUE"""),"👋 RRHH")</f>
        <v>👋 RRHH</v>
      </c>
      <c r="H156" s="4" t="str">
        <f>IFERROR(__xludf.DUMMYFUNCTION("""COMPUTED_VALUE"""),"😀 Sumamente Feliz")</f>
        <v>😀 Sumamente Feliz</v>
      </c>
      <c r="I156" s="6" t="str">
        <f>IFERROR(__xludf.DUMMYFUNCTION("""COMPUTED_VALUE"""),"Con el proyecto ya todo se estabilizo. 
Hace 1 mes por el tema de deploys le toco estar mas pendiente y trabajar horas de más. 
PM del Proyecto: Es muy pila, buena relación
PM Pata: Con Hernan solo ha tenido muy pocas reuniones pero las que ha tenido son "&amp;"muy normales 
No tiene blockers ni personales o en el area 
")</f>
        <v>Con el proyecto ya todo se estabilizo. 
Hace 1 mes por el tema de deploys le toco estar mas pendiente y trabajar horas de más. 
PM del Proyecto: Es muy pila, buena relación
PM Pata: Con Hernan solo ha tenido muy pocas reuniones pero las que ha tenido son muy normales 
No tiene blockers ni personales o en el area 
</v>
      </c>
      <c r="J156" s="4" t="str">
        <f>IFERROR(__xludf.DUMMYFUNCTION("""COMPUTED_VALUE"""),"PX|Referents|RRHH")</f>
        <v>PX|Referents|RRHH</v>
      </c>
    </row>
    <row r="157" hidden="1">
      <c r="A157" s="4">
        <f>IFERROR(__xludf.DUMMYFUNCTION("""COMPUTED_VALUE"""),174.0)</f>
        <v>174</v>
      </c>
      <c r="B157" s="4" t="str">
        <f>IFERROR(__xludf.DUMMYFUNCTION("""COMPUTED_VALUE"""),"federico.matos")</f>
        <v>federico.matos</v>
      </c>
      <c r="C157" s="5">
        <f>IFERROR(__xludf.DUMMYFUNCTION("""COMPUTED_VALUE"""),45036.6497875)</f>
        <v>45036.64979</v>
      </c>
      <c r="D157" s="5">
        <f>IFERROR(__xludf.DUMMYFUNCTION("""COMPUTED_VALUE"""),45036.0)</f>
        <v>45036</v>
      </c>
      <c r="E157" s="4" t="str">
        <f>IFERROR(__xludf.DUMMYFUNCTION("""COMPUTED_VALUE"""),"micaela.zorzetto@patagoniansys.com")</f>
        <v>micaela.zorzetto@patagoniansys.com</v>
      </c>
      <c r="F157" s="4" t="str">
        <f>IFERROR(__xludf.DUMMYFUNCTION("""COMPUTED_VALUE"""),"federico.matos@patagoniansys.com")</f>
        <v>federico.matos@patagoniansys.com</v>
      </c>
      <c r="G157" s="4" t="str">
        <f>IFERROR(__xludf.DUMMYFUNCTION("""COMPUTED_VALUE"""),"⏱ One on One")</f>
        <v>⏱ One on One</v>
      </c>
      <c r="H157" s="4" t="str">
        <f>IFERROR(__xludf.DUMMYFUNCTION("""COMPUTED_VALUE"""),"🙂 Feliz")</f>
        <v>🙂 Feliz</v>
      </c>
      <c r="I157" s="6" t="str">
        <f>IFERROR(__xludf.DUMMYFUNCTION("""COMPUTED_VALUE"""),"Esta muy bien. Solicita pedido de recategorización, ya que hace dos años que esta en la empresa. ")</f>
        <v>Esta muy bien. Solicita pedido de recategorización, ya que hace dos años que esta en la empresa. </v>
      </c>
      <c r="J157" s="4" t="str">
        <f>IFERROR(__xludf.DUMMYFUNCTION("""COMPUTED_VALUE"""),"PX|Referents|RRHH")</f>
        <v>PX|Referents|RRHH</v>
      </c>
    </row>
    <row r="158" hidden="1">
      <c r="A158" s="4">
        <f>IFERROR(__xludf.DUMMYFUNCTION("""COMPUTED_VALUE"""),152.0)</f>
        <v>152</v>
      </c>
      <c r="B158" s="4" t="str">
        <f>IFERROR(__xludf.DUMMYFUNCTION("""COMPUTED_VALUE"""),"omar.fandino")</f>
        <v>omar.fandino</v>
      </c>
      <c r="C158" s="5">
        <f>IFERROR(__xludf.DUMMYFUNCTION("""COMPUTED_VALUE"""),45036.723268726855)</f>
        <v>45036.72327</v>
      </c>
      <c r="D158" s="5">
        <f>IFERROR(__xludf.DUMMYFUNCTION("""COMPUTED_VALUE"""),45036.0)</f>
        <v>45036</v>
      </c>
      <c r="E158" s="4" t="str">
        <f>IFERROR(__xludf.DUMMYFUNCTION("""COMPUTED_VALUE"""),"diana.grajales@patagoniansys.com")</f>
        <v>diana.grajales@patagoniansys.com</v>
      </c>
      <c r="F158" s="4" t="str">
        <f>IFERROR(__xludf.DUMMYFUNCTION("""COMPUTED_VALUE"""),"omar.fandino@patagoniansys.com")</f>
        <v>omar.fandino@patagoniansys.com</v>
      </c>
      <c r="G158" s="4" t="str">
        <f>IFERROR(__xludf.DUMMYFUNCTION("""COMPUTED_VALUE"""),"👋 RRHH")</f>
        <v>👋 RRHH</v>
      </c>
      <c r="H158" s="4" t="str">
        <f>IFERROR(__xludf.DUMMYFUNCTION("""COMPUTED_VALUE"""),"😀 Sumamente Feliz")</f>
        <v>😀 Sumamente Feliz</v>
      </c>
      <c r="I158" s="6" t="str">
        <f>IFERROR(__xludf.DUMMYFUNCTION("""COMPUTED_VALUE"""),"Proyecto: Sigue aprendiendo, sigue explotando todo lo que se puede hacer con la tecnologia. 
Es un proyecto en construcción, donde todo es muy igual, pero siempre hay mucho que aprender. 
PM : Isa lo esta haciendo muy  su trabajo, ingreso con toda la acti"&amp;"tud.
TL: Ya tuvo 1:1 y siente acompañado, y te dio informacion del plan Carrera 
PPL: Se siente acompañando y cuando se queja es porque quiere ser escuchado. 
")</f>
        <v>Proyecto: Sigue aprendiendo, sigue explotando todo lo que se puede hacer con la tecnologia. 
Es un proyecto en construcción, donde todo es muy igual, pero siempre hay mucho que aprender. 
PM : Isa lo esta haciendo muy  su trabajo, ingreso con toda la actitud.
TL: Ya tuvo 1:1 y siente acompañado, y te dio informacion del plan Carrera 
PPL: Se siente acompañando y cuando se queja es porque quiere ser escuchado. 
</v>
      </c>
      <c r="J158" s="4" t="str">
        <f>IFERROR(__xludf.DUMMYFUNCTION("""COMPUTED_VALUE"""),"PX|Referents|RRHH")</f>
        <v>PX|Referents|RRHH</v>
      </c>
    </row>
    <row r="159" hidden="1">
      <c r="A159" s="4">
        <f>IFERROR(__xludf.DUMMYFUNCTION("""COMPUTED_VALUE"""),225.0)</f>
        <v>225</v>
      </c>
      <c r="B159" s="4" t="str">
        <f>IFERROR(__xludf.DUMMYFUNCTION("""COMPUTED_VALUE"""),"javier.vergara")</f>
        <v>javier.vergara</v>
      </c>
      <c r="C159" s="5">
        <f>IFERROR(__xludf.DUMMYFUNCTION("""COMPUTED_VALUE"""),45036.734017627314)</f>
        <v>45036.73402</v>
      </c>
      <c r="D159" s="5">
        <f>IFERROR(__xludf.DUMMYFUNCTION("""COMPUTED_VALUE"""),45036.0)</f>
        <v>45036</v>
      </c>
      <c r="E159" s="4" t="str">
        <f>IFERROR(__xludf.DUMMYFUNCTION("""COMPUTED_VALUE"""),"diana.grajales@patagoniansys.com")</f>
        <v>diana.grajales@patagoniansys.com</v>
      </c>
      <c r="F159" s="4" t="str">
        <f>IFERROR(__xludf.DUMMYFUNCTION("""COMPUTED_VALUE"""),"javier.vergara@patagoniansys.com")</f>
        <v>javier.vergara@patagoniansys.com</v>
      </c>
      <c r="G159" s="4" t="str">
        <f>IFERROR(__xludf.DUMMYFUNCTION("""COMPUTED_VALUE"""),"👋 RRHH")</f>
        <v>👋 RRHH</v>
      </c>
      <c r="H159" s="4" t="str">
        <f>IFERROR(__xludf.DUMMYFUNCTION("""COMPUTED_VALUE"""),"🙂 Feliz")</f>
        <v>🙂 Feliz</v>
      </c>
      <c r="I159" s="6" t="str">
        <f>IFERROR(__xludf.DUMMYFUNCTION("""COMPUTED_VALUE"""),"Proyecto : Snapcloud 
Siente que ya le cogio la dinamica al proyecto, ha sido complicado con el tema de JAVA y React eso ha sido retador. 
PM: Hernan Muras ya ha trabajado con el y no hay problema . 
Equipo de Snapcloud: Se ha sentido apoyado por David  y"&amp;" Jose Acosta 
Con Pata : Tiene sentimientos encontrados porque le parece bastante raro que lo envien a un proyecto que no tenga experiencia, pero valora el esfuerzo de ubicarme. 
Acompañamiento de PPL : Lo ha sentido cercano, y lo pendiente que se ha esta"&amp;"do.
")</f>
        <v>Proyecto : Snapcloud 
Siente que ya le cogio la dinamica al proyecto, ha sido complicado con el tema de JAVA y React eso ha sido retador. 
PM: Hernan Muras ya ha trabajado con el y no hay problema . 
Equipo de Snapcloud: Se ha sentido apoyado por David  y Jose Acosta 
Con Pata : Tiene sentimientos encontrados porque le parece bastante raro que lo envien a un proyecto que no tenga experiencia, pero valora el esfuerzo de ubicarme. 
Acompañamiento de PPL : Lo ha sentido cercano, y lo pendiente que se ha estado.
</v>
      </c>
      <c r="J159" s="4" t="str">
        <f>IFERROR(__xludf.DUMMYFUNCTION("""COMPUTED_VALUE"""),"PX|Referents|RRHH")</f>
        <v>PX|Referents|RRHH</v>
      </c>
    </row>
    <row r="160" hidden="1">
      <c r="A160" s="4">
        <f>IFERROR(__xludf.DUMMYFUNCTION("""COMPUTED_VALUE"""),69.0)</f>
        <v>69</v>
      </c>
      <c r="B160" s="4" t="str">
        <f>IFERROR(__xludf.DUMMYFUNCTION("""COMPUTED_VALUE"""),"carlos.igal")</f>
        <v>carlos.igal</v>
      </c>
      <c r="C160" s="5">
        <f>IFERROR(__xludf.DUMMYFUNCTION("""COMPUTED_VALUE"""),45040.75825333333)</f>
        <v>45040.75825</v>
      </c>
      <c r="D160" s="5">
        <f>IFERROR(__xludf.DUMMYFUNCTION("""COMPUTED_VALUE"""),45036.0)</f>
        <v>45036</v>
      </c>
      <c r="E160" s="4" t="str">
        <f>IFERROR(__xludf.DUMMYFUNCTION("""COMPUTED_VALUE"""),"micaela.zorzetto@patagoniansys.com")</f>
        <v>micaela.zorzetto@patagoniansys.com</v>
      </c>
      <c r="F160" s="4" t="str">
        <f>IFERROR(__xludf.DUMMYFUNCTION("""COMPUTED_VALUE"""),"carlos.igal@patagoniansys.com")</f>
        <v>carlos.igal@patagoniansys.com</v>
      </c>
      <c r="G160" s="4" t="str">
        <f>IFERROR(__xludf.DUMMYFUNCTION("""COMPUTED_VALUE"""),"⏱ One on One")</f>
        <v>⏱ One on One</v>
      </c>
      <c r="H160" s="4" t="str">
        <f>IFERROR(__xludf.DUMMYFUNCTION("""COMPUTED_VALUE"""),"🙂 Feliz")</f>
        <v>🙂 Feliz</v>
      </c>
      <c r="I160" s="6" t="str">
        <f>IFERROR(__xludf.DUMMYFUNCTION("""COMPUTED_VALUE"""),"Proyecto: esta bien en Halliburton, se siente cómodo con el equipo y más ahora que se sumaron más patagonians. Me recalco la burocracia del cliente, que muchas veces tener tantas reuniones le quitan tiempo para poder hacer el trabajo que se necesita, pero"&amp;" entiende que es la manera de manejarse del cliente. Le suma mucho el equipo de devops que se formo, se consultan y se apoyan mutuamente. 
Empresa: siempre se sintió bien en patagonian, le costo aceptar volver porque fue raro cuando se fue, pero decidió a"&amp;"ceptar porque siempre se sintió cómodo y contento en la empresa. ")</f>
        <v>Proyecto: esta bien en Halliburton, se siente cómodo con el equipo y más ahora que se sumaron más patagonians. Me recalco la burocracia del cliente, que muchas veces tener tantas reuniones le quitan tiempo para poder hacer el trabajo que se necesita, pero entiende que es la manera de manejarse del cliente. Le suma mucho el equipo de devops que se formo, se consultan y se apoyan mutuamente. 
Empresa: siempre se sintió bien en patagonian, le costo aceptar volver porque fue raro cuando se fue, pero decidió aceptar porque siempre se sintió cómodo y contento en la empresa. </v>
      </c>
      <c r="J160" s="4" t="str">
        <f>IFERROR(__xludf.DUMMYFUNCTION("""COMPUTED_VALUE"""),"PX|Referents|RRHH")</f>
        <v>PX|Referents|RRHH</v>
      </c>
    </row>
    <row r="161" hidden="1">
      <c r="A161" s="4">
        <f>IFERROR(__xludf.DUMMYFUNCTION("""COMPUTED_VALUE"""),280.0)</f>
        <v>280</v>
      </c>
      <c r="B161" s="4" t="str">
        <f>IFERROR(__xludf.DUMMYFUNCTION("""COMPUTED_VALUE"""),"jose.flores")</f>
        <v>jose.flores</v>
      </c>
      <c r="C161" s="5">
        <f>IFERROR(__xludf.DUMMYFUNCTION("""COMPUTED_VALUE"""),45041.63675413195)</f>
        <v>45041.63675</v>
      </c>
      <c r="D161" s="5">
        <f>IFERROR(__xludf.DUMMYFUNCTION("""COMPUTED_VALUE"""),45036.0)</f>
        <v>45036</v>
      </c>
      <c r="E161" s="4" t="str">
        <f>IFERROR(__xludf.DUMMYFUNCTION("""COMPUTED_VALUE"""),"sebastian.charre@patagoniansys.com")</f>
        <v>sebastian.charre@patagoniansys.com</v>
      </c>
      <c r="F161" s="4" t="str">
        <f>IFERROR(__xludf.DUMMYFUNCTION("""COMPUTED_VALUE"""),"jose.flores@patagoniansys.com")</f>
        <v>jose.flores@patagoniansys.com</v>
      </c>
      <c r="G161" s="4" t="str">
        <f>IFERROR(__xludf.DUMMYFUNCTION("""COMPUTED_VALUE"""),"⏱ One on One")</f>
        <v>⏱ One on One</v>
      </c>
      <c r="H161" s="4" t="str">
        <f>IFERROR(__xludf.DUMMYFUNCTION("""COMPUTED_VALUE"""),"🙂 Feliz")</f>
        <v>🙂 Feliz</v>
      </c>
      <c r="I161" s="6" t="str">
        <f>IFERROR(__xludf.DUMMYFUNCTION("""COMPUTED_VALUE"""),"José logra adaptarse rapidamente al proyecto y al equipo (y cliente). Hablamos sobre los desafíos que le plantea el proyecto y lo bien que se pudo acomodar. Actualmente tomará tareas de otros recursos que serán movidos de proyecto. ")</f>
        <v>José logra adaptarse rapidamente al proyecto y al equipo (y cliente). Hablamos sobre los desafíos que le plantea el proyecto y lo bien que se pudo acomodar. Actualmente tomará tareas de otros recursos que serán movidos de proyecto. </v>
      </c>
      <c r="J161" s="4" t="str">
        <f>IFERROR(__xludf.DUMMYFUNCTION("""COMPUTED_VALUE"""),"PX|Referents|RRHH")</f>
        <v>PX|Referents|RRHH</v>
      </c>
    </row>
    <row r="162" hidden="1">
      <c r="A162" s="4">
        <f>IFERROR(__xludf.DUMMYFUNCTION("""COMPUTED_VALUE"""),183.0)</f>
        <v>183</v>
      </c>
      <c r="B162" s="4" t="str">
        <f>IFERROR(__xludf.DUMMYFUNCTION("""COMPUTED_VALUE"""),"santiago.avila")</f>
        <v>santiago.avila</v>
      </c>
      <c r="C162" s="5">
        <f>IFERROR(__xludf.DUMMYFUNCTION("""COMPUTED_VALUE"""),45037.49892050926)</f>
        <v>45037.49892</v>
      </c>
      <c r="D162" s="5">
        <f>IFERROR(__xludf.DUMMYFUNCTION("""COMPUTED_VALUE"""),45037.0)</f>
        <v>45037</v>
      </c>
      <c r="E162" s="4" t="str">
        <f>IFERROR(__xludf.DUMMYFUNCTION("""COMPUTED_VALUE"""),"diana.grajales@patagoniansys.com")</f>
        <v>diana.grajales@patagoniansys.com</v>
      </c>
      <c r="F162" s="4" t="str">
        <f>IFERROR(__xludf.DUMMYFUNCTION("""COMPUTED_VALUE"""),"santiago.avila@patagoniansys.com")</f>
        <v>santiago.avila@patagoniansys.com</v>
      </c>
      <c r="G162" s="4" t="str">
        <f>IFERROR(__xludf.DUMMYFUNCTION("""COMPUTED_VALUE"""),"👋 RRHH")</f>
        <v>👋 RRHH</v>
      </c>
      <c r="H162" s="4" t="str">
        <f>IFERROR(__xludf.DUMMYFUNCTION("""COMPUTED_VALUE"""),"🙂 Feliz")</f>
        <v>🙂 Feliz</v>
      </c>
      <c r="I162" s="6" t="str">
        <f>IFERROR(__xludf.DUMMYFUNCTION("""COMPUTED_VALUE"""),"Proyecto: Con sus momentos de mucho trabajo, pero siempre es muy tranquilo y siempre fluye de manera correcta
PM : Jessica Petraskua-  Sigue sintiendo que es un proyecto que no se le tiene que hacer mucho seguimiento, es un proyecto  tranquilo,  no ha sen"&amp;"tido que el PM tiene mucho valor agregado. No ve la claridad de la función del PM. 
TL : Con la reunion con Gonza Garro, no fue muy clara, le envio un formato por MM, y no le vio sentido. El plan de carrera aun no es claro y no es claro la reunion con el "&amp;"Tech Specialist ")</f>
        <v>Proyecto: Con sus momentos de mucho trabajo, pero siempre es muy tranquilo y siempre fluye de manera correcta
PM : Jessica Petraskua-  Sigue sintiendo que es un proyecto que no se le tiene que hacer mucho seguimiento, es un proyecto  tranquilo,  no ha sentido que el PM tiene mucho valor agregado. No ve la claridad de la función del PM. 
TL : Con la reunion con Gonza Garro, no fue muy clara, le envio un formato por MM, y no le vio sentido. El plan de carrera aun no es claro y no es claro la reunion con el Tech Specialist </v>
      </c>
      <c r="J162" s="4" t="str">
        <f>IFERROR(__xludf.DUMMYFUNCTION("""COMPUTED_VALUE"""),"PX|Referents|RRHH")</f>
        <v>PX|Referents|RRHH</v>
      </c>
    </row>
    <row r="163" hidden="1">
      <c r="A163" s="4">
        <f>IFERROR(__xludf.DUMMYFUNCTION("""COMPUTED_VALUE"""),254.0)</f>
        <v>254</v>
      </c>
      <c r="B163" s="4" t="str">
        <f>IFERROR(__xludf.DUMMYFUNCTION("""COMPUTED_VALUE"""),"ismael.cespedes")</f>
        <v>ismael.cespedes</v>
      </c>
      <c r="C163" s="5">
        <f>IFERROR(__xludf.DUMMYFUNCTION("""COMPUTED_VALUE"""),45037.64786203703)</f>
        <v>45037.64786</v>
      </c>
      <c r="D163" s="5">
        <f>IFERROR(__xludf.DUMMYFUNCTION("""COMPUTED_VALUE"""),45037.0)</f>
        <v>45037</v>
      </c>
      <c r="E163" s="4" t="str">
        <f>IFERROR(__xludf.DUMMYFUNCTION("""COMPUTED_VALUE"""),"tomas.bayley@patagoniansys.com")</f>
        <v>tomas.bayley@patagoniansys.com</v>
      </c>
      <c r="F163" s="4" t="str">
        <f>IFERROR(__xludf.DUMMYFUNCTION("""COMPUTED_VALUE"""),"ismael.cespedes@patagoniansys.com")</f>
        <v>ismael.cespedes@patagoniansys.com</v>
      </c>
      <c r="G163" s="4" t="str">
        <f>IFERROR(__xludf.DUMMYFUNCTION("""COMPUTED_VALUE"""),"⏱ One on One")</f>
        <v>⏱ One on One</v>
      </c>
      <c r="H163" s="4" t="str">
        <f>IFERROR(__xludf.DUMMYFUNCTION("""COMPUTED_VALUE"""),"🙂 Feliz")</f>
        <v>🙂 Feliz</v>
      </c>
      <c r="I163" s="6" t="str">
        <f>IFERROR(__xludf.DUMMYFUNCTION("""COMPUTED_VALUE"""),"Ismael paso a bench con algunas colaboraciones cortas como QA en otros proyectos, se siente tranquilo y se le ha hecho saber que es un proceso normal en el paso de un proyecto a otro")</f>
        <v>Ismael paso a bench con algunas colaboraciones cortas como QA en otros proyectos, se siente tranquilo y se le ha hecho saber que es un proceso normal en el paso de un proyecto a otro</v>
      </c>
      <c r="J163" s="4" t="str">
        <f>IFERROR(__xludf.DUMMYFUNCTION("""COMPUTED_VALUE"""),"PX|Referents|RRHH")</f>
        <v>PX|Referents|RRHH</v>
      </c>
    </row>
    <row r="164" hidden="1">
      <c r="A164" s="4">
        <f>IFERROR(__xludf.DUMMYFUNCTION("""COMPUTED_VALUE"""),162.0)</f>
        <v>162</v>
      </c>
      <c r="B164" s="4" t="str">
        <f>IFERROR(__xludf.DUMMYFUNCTION("""COMPUTED_VALUE"""),"cristian.cortes")</f>
        <v>cristian.cortes</v>
      </c>
      <c r="C164" s="5">
        <f>IFERROR(__xludf.DUMMYFUNCTION("""COMPUTED_VALUE"""),45037.685370706015)</f>
        <v>45037.68537</v>
      </c>
      <c r="D164" s="5">
        <f>IFERROR(__xludf.DUMMYFUNCTION("""COMPUTED_VALUE"""),45037.0)</f>
        <v>45037</v>
      </c>
      <c r="E164" s="4" t="str">
        <f>IFERROR(__xludf.DUMMYFUNCTION("""COMPUTED_VALUE"""),"diana.grajales@patagoniansys.com")</f>
        <v>diana.grajales@patagoniansys.com</v>
      </c>
      <c r="F164" s="4" t="str">
        <f>IFERROR(__xludf.DUMMYFUNCTION("""COMPUTED_VALUE"""),"cristian.cortes@patagoniansys.com")</f>
        <v>cristian.cortes@patagoniansys.com</v>
      </c>
      <c r="G164" s="4" t="str">
        <f>IFERROR(__xludf.DUMMYFUNCTION("""COMPUTED_VALUE"""),"👋 RRHH")</f>
        <v>👋 RRHH</v>
      </c>
      <c r="H164" s="4" t="str">
        <f>IFERROR(__xludf.DUMMYFUNCTION("""COMPUTED_VALUE"""),"🙂 Feliz")</f>
        <v>🙂 Feliz</v>
      </c>
      <c r="I164" s="6" t="str">
        <f>IFERROR(__xludf.DUMMYFUNCTION("""COMPUTED_VALUE"""),"Proyecto: Se entrega la primera etapa esta semana. 
PM : Viene un dinamica tranquila, seria nada cercana 
Con el equipo: Ingreso un miembro de equipo que debemos saber lidiar, venian con una Sinergia chevere, pero ha sido algo dificil de manejar por que i"&amp;"ngreso  imponiendo su forma de trabajar. 
Empresa: Se ha sentido muy bien, quiere seguir haciendo carrera aqui y le gusta el ambiente , la gente y le gusta el feedback que le ha dado para seguir trabajando. 
TL : Se reunion con Edgar Bonilla, le gusto muc"&amp;"ho la reunion fue muy informativa.
Le gusta que ya tienen muchas mas reuniones DECS en el tema mobile.")</f>
        <v>Proyecto: Se entrega la primera etapa esta semana. 
PM : Viene un dinamica tranquila, seria nada cercana 
Con el equipo: Ingreso un miembro de equipo que debemos saber lidiar, venian con una Sinergia chevere, pero ha sido algo dificil de manejar por que ingreso  imponiendo su forma de trabajar. 
Empresa: Se ha sentido muy bien, quiere seguir haciendo carrera aqui y le gusta el ambiente , la gente y le gusta el feedback que le ha dado para seguir trabajando. 
TL : Se reunion con Edgar Bonilla, le gusto mucho la reunion fue muy informativa.
Le gusta que ya tienen muchas mas reuniones DECS en el tema mobile.</v>
      </c>
      <c r="J164" s="4" t="str">
        <f>IFERROR(__xludf.DUMMYFUNCTION("""COMPUTED_VALUE"""),"PX|Referents|RRHH")</f>
        <v>PX|Referents|RRHH</v>
      </c>
    </row>
    <row r="165" hidden="1">
      <c r="A165" s="4">
        <f>IFERROR(__xludf.DUMMYFUNCTION("""COMPUTED_VALUE"""),131.0)</f>
        <v>131</v>
      </c>
      <c r="B165" s="4" t="str">
        <f>IFERROR(__xludf.DUMMYFUNCTION("""COMPUTED_VALUE"""),"luis.luna")</f>
        <v>luis.luna</v>
      </c>
      <c r="C165" s="5">
        <f>IFERROR(__xludf.DUMMYFUNCTION("""COMPUTED_VALUE"""),45040.64669922453)</f>
        <v>45040.6467</v>
      </c>
      <c r="D165" s="5">
        <f>IFERROR(__xludf.DUMMYFUNCTION("""COMPUTED_VALUE"""),45037.0)</f>
        <v>45037</v>
      </c>
      <c r="E165" s="4" t="str">
        <f>IFERROR(__xludf.DUMMYFUNCTION("""COMPUTED_VALUE"""),"micaela.zorzetto@patagoniansys.com")</f>
        <v>micaela.zorzetto@patagoniansys.com</v>
      </c>
      <c r="F165" s="4" t="str">
        <f>IFERROR(__xludf.DUMMYFUNCTION("""COMPUTED_VALUE"""),"luis.luna@patagoniansys.com")</f>
        <v>luis.luna@patagoniansys.com</v>
      </c>
      <c r="G165" s="4" t="str">
        <f>IFERROR(__xludf.DUMMYFUNCTION("""COMPUTED_VALUE"""),"⏱ One on One")</f>
        <v>⏱ One on One</v>
      </c>
      <c r="H165" s="4" t="str">
        <f>IFERROR(__xludf.DUMMYFUNCTION("""COMPUTED_VALUE"""),"🙂 Feliz")</f>
        <v>🙂 Feliz</v>
      </c>
      <c r="I165" s="6" t="str">
        <f>IFERROR(__xludf.DUMMYFUNCTION("""COMPUTED_VALUE"""),"Esta a la espera de que le comentemos sobre el proceso de recategorización, del cual estamos esperando el feedback de Leo Buret. 
Tuvo su call con Leo, donde hablaron del plan de carrera que se va armar, esta enfocado a .net (microsoft), y quiere ver si e"&amp;"s lo que esta buscando.")</f>
        <v>Esta a la espera de que le comentemos sobre el proceso de recategorización, del cual estamos esperando el feedback de Leo Buret. 
Tuvo su call con Leo, donde hablaron del plan de carrera que se va armar, esta enfocado a .net (microsoft), y quiere ver si es lo que esta buscando.</v>
      </c>
      <c r="J165" s="4" t="str">
        <f>IFERROR(__xludf.DUMMYFUNCTION("""COMPUTED_VALUE"""),"PX|Referents|RRHH")</f>
        <v>PX|Referents|RRHH</v>
      </c>
    </row>
    <row r="166" hidden="1">
      <c r="A166" s="4">
        <f>IFERROR(__xludf.DUMMYFUNCTION("""COMPUTED_VALUE"""),146.0)</f>
        <v>146</v>
      </c>
      <c r="B166" s="4" t="str">
        <f>IFERROR(__xludf.DUMMYFUNCTION("""COMPUTED_VALUE"""),"juan.martinezrios")</f>
        <v>juan.martinezrios</v>
      </c>
      <c r="C166" s="5">
        <f>IFERROR(__xludf.DUMMYFUNCTION("""COMPUTED_VALUE"""),45040.726438067126)</f>
        <v>45040.72644</v>
      </c>
      <c r="D166" s="5">
        <f>IFERROR(__xludf.DUMMYFUNCTION("""COMPUTED_VALUE"""),45037.0)</f>
        <v>45037</v>
      </c>
      <c r="E166" s="4" t="str">
        <f>IFERROR(__xludf.DUMMYFUNCTION("""COMPUTED_VALUE"""),"diana.grajales@patagoniansys.com")</f>
        <v>diana.grajales@patagoniansys.com</v>
      </c>
      <c r="F166" s="4" t="str">
        <f>IFERROR(__xludf.DUMMYFUNCTION("""COMPUTED_VALUE"""),"juan.martinezrios@patagoniansys.com")</f>
        <v>juan.martinezrios@patagoniansys.com</v>
      </c>
      <c r="G166" s="4" t="str">
        <f>IFERROR(__xludf.DUMMYFUNCTION("""COMPUTED_VALUE"""),"👋 RRHH")</f>
        <v>👋 RRHH</v>
      </c>
      <c r="H166" s="4" t="str">
        <f>IFERROR(__xludf.DUMMYFUNCTION("""COMPUTED_VALUE"""),"🙂 Feliz")</f>
        <v>🙂 Feliz</v>
      </c>
      <c r="I166" s="6" t="str">
        <f>IFERROR(__xludf.DUMMYFUNCTION("""COMPUTED_VALUE"""),"Proyecto: Tuvo unos dias muy movidos en los que
PM: Viene trabajando muy bien con
No ha aprovechado los cursos de Pata porque en estos momentos con el cliente les toca sacar 3 horas para hacer unos cursos que son definidos por parte del cliente. Tienen un"&amp;" Career Path y dependiendo del feedback del TL van asignado los cursos. 
")</f>
        <v>Proyecto: Tuvo unos dias muy movidos en los que
PM: Viene trabajando muy bien con
No ha aprovechado los cursos de Pata porque en estos momentos con el cliente les toca sacar 3 horas para hacer unos cursos que son definidos por parte del cliente. Tienen un Career Path y dependiendo del feedback del TL van asignado los cursos. 
</v>
      </c>
      <c r="J166" s="4" t="str">
        <f>IFERROR(__xludf.DUMMYFUNCTION("""COMPUTED_VALUE"""),"PX|Referents|RRHH")</f>
        <v>PX|Referents|RRHH</v>
      </c>
    </row>
    <row r="167">
      <c r="A167" s="4">
        <f>IFERROR(__xludf.DUMMYFUNCTION("""COMPUTED_VALUE"""),295.0)</f>
        <v>295</v>
      </c>
      <c r="B167" s="4" t="str">
        <f>IFERROR(__xludf.DUMMYFUNCTION("""COMPUTED_VALUE"""),"manuel.lagos")</f>
        <v>manuel.lagos</v>
      </c>
      <c r="C167" s="5">
        <f>IFERROR(__xludf.DUMMYFUNCTION("""COMPUTED_VALUE"""),45040.624697025465)</f>
        <v>45040.6247</v>
      </c>
      <c r="D167" s="5">
        <f>IFERROR(__xludf.DUMMYFUNCTION("""COMPUTED_VALUE"""),45040.0)</f>
        <v>45040</v>
      </c>
      <c r="E167" s="4" t="str">
        <f>IFERROR(__xludf.DUMMYFUNCTION("""COMPUTED_VALUE"""),"luciano.fuentes@patagoniansys.com")</f>
        <v>luciano.fuentes@patagoniansys.com</v>
      </c>
      <c r="F167" s="4" t="str">
        <f>IFERROR(__xludf.DUMMYFUNCTION("""COMPUTED_VALUE"""),"manuel.lagos@patagonian.com")</f>
        <v>manuel.lagos@patagonian.com</v>
      </c>
      <c r="G167" s="4" t="str">
        <f>IFERROR(__xludf.DUMMYFUNCTION("""COMPUTED_VALUE"""),"Referent One on One")</f>
        <v>Referent One on One</v>
      </c>
      <c r="H167" s="4"/>
      <c r="I167" s="6" t="str">
        <f>IFERROR(__xludf.DUMMYFUNCTION("""COMPUTED_VALUE"""),"- Interviewee e-Mail: manuel.lagos@patagonian.com
- Project Status Check: Primera reunión, comento algo sobre el proyecto, pocos avances y conflicto de requerimientos de clientes.
- Project Changes | Notes: No hubo cambios pero describió problemas de de"&amp;"finición con el cliente
- Project Role | Feeling: 3
- Extra Work Hours | Amount: 1 - 5 (Entre 1 y 5)
- Extra Work Hours | Reason: 😅 Malas decisiones de ejecución, retrasos
- Techs | Certifications: Azure Fundamentals
- Techs | Recomendations: https://ang"&amp;"ular.io/guide/standalone-components
- Collaborator | Seniority: 👍 No, es correcto
- Alerts: En el proyecto actualmente hay problemas de definición con el cliente y tienen mucho tiempo libre por lo que se sienten poco útil durante.
- Project Needs / Oport"&amp;"unities: Se debería revisar si se puede mejorar la relación entre el equipo de desarrollo y el cliente
- Project Techs | Learning: 2
- Techs | Research: 2
- Project Techs | Difficulty: 3
- Project Changes | Reasons: 🟰 No hubo cambios
- Project Role | Val"&amp;"ue: 3
- Project role | Notes: Hay pocas definiciones por parte del cliente. Menciono que no tienen trabajo continuo porque es muy lento el flujo de aprobar diseños por parte del cliente. Una semana trabajan y la otra están asistendio a reuniones nada mas")</f>
        <v>- Interviewee e-Mail: manuel.lagos@patagonian.com
- Project Status Check: Primera reunión, comento algo sobre el proyecto, pocos avances y conflicto de requerimientos de clientes.
- Project Changes | Notes: No hubo cambios pero describió problemas de definición con el cliente
- Project Role | Feeling: 3
- Extra Work Hours | Amount: 1 - 5 (Entre 1 y 5)
- Extra Work Hours | Reason: 😅 Malas decisiones de ejecución, retrasos
- Techs | Certifications: Azure Fundamentals
- Techs | Recomendations: https://angular.io/guide/standalone-components
- Collaborator | Seniority: 👍 No, es correcto
- Alerts: En el proyecto actualmente hay problemas de definición con el cliente y tienen mucho tiempo libre por lo que se sienten poco útil durante.
- Project Needs / Oportunities: Se debería revisar si se puede mejorar la relación entre el equipo de desarrollo y el cliente
- Project Techs | Learning: 2
- Techs | Research: 2
- Project Techs | Difficulty: 3
- Project Changes | Reasons: 🟰 No hubo cambios
- Project Role | Value: 3
- Project role | Notes: Hay pocas definiciones por parte del cliente. Menciono que no tienen trabajo continuo porque es muy lento el flujo de aprobar diseños por parte del cliente. Una semana trabajan y la otra están asistendio a reuniones nada mas</v>
      </c>
      <c r="J167" s="4" t="str">
        <f>IFERROR(__xludf.DUMMYFUNCTION("""COMPUTED_VALUE"""),"Tech Referent - OneOnOne")</f>
        <v>Tech Referent - OneOnOne</v>
      </c>
    </row>
    <row r="168">
      <c r="A168" s="4">
        <f>IFERROR(__xludf.DUMMYFUNCTION("""COMPUTED_VALUE"""),149.0)</f>
        <v>149</v>
      </c>
      <c r="B168" s="4" t="str">
        <f>IFERROR(__xludf.DUMMYFUNCTION("""COMPUTED_VALUE"""),"jonatan.ordonez")</f>
        <v>jonatan.ordonez</v>
      </c>
      <c r="C168" s="5">
        <f>IFERROR(__xludf.DUMMYFUNCTION("""COMPUTED_VALUE"""),45040.95459127315)</f>
        <v>45040.95459</v>
      </c>
      <c r="D168" s="5">
        <f>IFERROR(__xludf.DUMMYFUNCTION("""COMPUTED_VALUE"""),45040.0)</f>
        <v>45040</v>
      </c>
      <c r="E168" s="4" t="str">
        <f>IFERROR(__xludf.DUMMYFUNCTION("""COMPUTED_VALUE"""),"gonzalo.garro@patagoniansys.com")</f>
        <v>gonzalo.garro@patagoniansys.com</v>
      </c>
      <c r="F168" s="4" t="str">
        <f>IFERROR(__xludf.DUMMYFUNCTION("""COMPUTED_VALUE"""),"jonatan.ordonez@patagoniansys.com")</f>
        <v>jonatan.ordonez@patagoniansys.com</v>
      </c>
      <c r="G168" s="4" t="str">
        <f>IFERROR(__xludf.DUMMYFUNCTION("""COMPUTED_VALUE"""),"Referent One on One")</f>
        <v>Referent One on One</v>
      </c>
      <c r="H168" s="4"/>
      <c r="I168" s="6" t="str">
        <f>IFERROR(__xludf.DUMMYFUNCTION("""COMPUTED_VALUE"""),"- Interviewee e-Mail: jonatan.ordonez@patagoniansys.com
- Project Status Check: Fede peralta PM. Ahora Isa como PM.
- Project Changes | Notes: Fede Peralta ingreso como PM, llegó con cambios e implementación de metodologías que costó un poco su adaptación"&amp;". Ahora esta Isa como PM. Isa todavía no se ha sentido mucho, está analizando y adaptándose al proyecto
- Project Role | Feeling: 5
- Extra Work Hours | Amount: 1 - 5 (Entre 1 y 5)
- Extra Work Hours | Reason: 🦫 Problemas técnicos inesperados
- Techs | R"&amp;"esearch: Esta dando clases de fundamentos de programación. Para eso tuvo que estudiar mucho vanilla JS. No le interesa mucho el mundo IA, salvo por las herramientas que están saliendo últimamente.
- Techs | Certifications: AWS Cloud Practitioner
- Collabo"&amp;"rator | Seniority: 👍 No, es correcto
- Alerts: No es un alerta, pero él comentó que las tareas y ek proyecto se estaban volviendo un poco monótonos. A futuro, hacer seguimiento en éste sentido.
- Project Techs | Learning: 0
- Project Techs | Difficulty: "&amp;"4
- Project Changes | Reasons: 🔀 Cambio de roles dentro del equipo, ⏱ Cambios en la forma de planificar las tareas y tiempos
- Project Changes | Personal Impact: 4
- Project Role | Value: 5
- Project role | Notes: Le ayuda a Martín cuando el no esta. Pro"&amp;"pone implementaciones para algunas tareas.")</f>
        <v>- Interviewee e-Mail: jonatan.ordonez@patagoniansys.com
- Project Status Check: Fede peralta PM. Ahora Isa como PM.
- Project Changes | Notes: Fede Peralta ingreso como PM, llegó con cambios e implementación de metodologías que costó un poco su adaptación. Ahora esta Isa como PM. Isa todavía no se ha sentido mucho, está analizando y adaptándose al proyecto
- Project Role | Feeling: 5
- Extra Work Hours | Amount: 1 - 5 (Entre 1 y 5)
- Extra Work Hours | Reason: 🦫 Problemas técnicos inesperados
- Techs | Research: Esta dando clases de fundamentos de programación. Para eso tuvo que estudiar mucho vanilla JS. No le interesa mucho el mundo IA, salvo por las herramientas que están saliendo últimamente.
- Techs | Certifications: AWS Cloud Practitioner
- Collaborator | Seniority: 👍 No, es correcto
- Alerts: No es un alerta, pero él comentó que las tareas y ek proyecto se estaban volviendo un poco monótonos. A futuro, hacer seguimiento en éste sentido.
- Project Techs | Learning: 0
- Project Techs | Difficulty: 4
- Project Changes | Reasons: 🔀 Cambio de roles dentro del equipo, ⏱ Cambios en la forma de planificar las tareas y tiempos
- Project Changes | Personal Impact: 4
- Project Role | Value: 5
- Project role | Notes: Le ayuda a Martín cuando el no esta. Propone implementaciones para algunas tareas.</v>
      </c>
      <c r="J168" s="4" t="str">
        <f>IFERROR(__xludf.DUMMYFUNCTION("""COMPUTED_VALUE"""),"Tech Referent - OneOnOne")</f>
        <v>Tech Referent - OneOnOne</v>
      </c>
    </row>
    <row r="169" hidden="1">
      <c r="A169" s="4">
        <f>IFERROR(__xludf.DUMMYFUNCTION("""COMPUTED_VALUE"""),197.0)</f>
        <v>197</v>
      </c>
      <c r="B169" s="4" t="str">
        <f>IFERROR(__xludf.DUMMYFUNCTION("""COMPUTED_VALUE"""),"gianfranco.fois")</f>
        <v>gianfranco.fois</v>
      </c>
      <c r="C169" s="5">
        <f>IFERROR(__xludf.DUMMYFUNCTION("""COMPUTED_VALUE"""),45057.619800081025)</f>
        <v>45057.6198</v>
      </c>
      <c r="D169" s="5">
        <f>IFERROR(__xludf.DUMMYFUNCTION("""COMPUTED_VALUE"""),45040.0)</f>
        <v>45040</v>
      </c>
      <c r="E169" s="4" t="str">
        <f>IFERROR(__xludf.DUMMYFUNCTION("""COMPUTED_VALUE"""),"micaela.zorzetto@patagoniansys.com")</f>
        <v>micaela.zorzetto@patagoniansys.com</v>
      </c>
      <c r="F169" s="4" t="str">
        <f>IFERROR(__xludf.DUMMYFUNCTION("""COMPUTED_VALUE"""),"gianfranco.fois@patagoniansys.com")</f>
        <v>gianfranco.fois@patagoniansys.com</v>
      </c>
      <c r="G169" s="4" t="str">
        <f>IFERROR(__xludf.DUMMYFUNCTION("""COMPUTED_VALUE"""),"⏱ One on One")</f>
        <v>⏱ One on One</v>
      </c>
      <c r="H169" s="4" t="str">
        <f>IFERROR(__xludf.DUMMYFUNCTION("""COMPUTED_VALUE"""),"🙂 Feliz")</f>
        <v>🙂 Feliz</v>
      </c>
      <c r="I169" s="6" t="str">
        <f>IFERROR(__xludf.DUMMYFUNCTION("""COMPUTED_VALUE"""),"Proyecto: ahora esta trabajando con Santi Cendra, en el lugar de Luis Gomez. siente que es un desafío ya que entre los dos es el que más experiencia tiene. Santi se apoya mucho en él para avanzar en algunas cosas. El proyecto termina en unos meses.")</f>
        <v>Proyecto: ahora esta trabajando con Santi Cendra, en el lugar de Luis Gomez. siente que es un desafío ya que entre los dos es el que más experiencia tiene. Santi se apoya mucho en él para avanzar en algunas cosas. El proyecto termina en unos meses.</v>
      </c>
      <c r="J169" s="4" t="str">
        <f>IFERROR(__xludf.DUMMYFUNCTION("""COMPUTED_VALUE"""),"PX|Referents|RRHH")</f>
        <v>PX|Referents|RRHH</v>
      </c>
    </row>
    <row r="170" hidden="1">
      <c r="A170" s="4">
        <f>IFERROR(__xludf.DUMMYFUNCTION("""COMPUTED_VALUE"""),237.0)</f>
        <v>237</v>
      </c>
      <c r="B170" s="4" t="str">
        <f>IFERROR(__xludf.DUMMYFUNCTION("""COMPUTED_VALUE"""),"patrick.figueroa")</f>
        <v>patrick.figueroa</v>
      </c>
      <c r="C170" s="5">
        <f>IFERROR(__xludf.DUMMYFUNCTION("""COMPUTED_VALUE"""),45041.50494951389)</f>
        <v>45041.50495</v>
      </c>
      <c r="D170" s="5">
        <f>IFERROR(__xludf.DUMMYFUNCTION("""COMPUTED_VALUE"""),45041.0)</f>
        <v>45041</v>
      </c>
      <c r="E170" s="4" t="str">
        <f>IFERROR(__xludf.DUMMYFUNCTION("""COMPUTED_VALUE"""),"diana.grajales@patagoniansys.com")</f>
        <v>diana.grajales@patagoniansys.com</v>
      </c>
      <c r="F170" s="4" t="str">
        <f>IFERROR(__xludf.DUMMYFUNCTION("""COMPUTED_VALUE"""),"patrick.figueroa@patagoniansys.com")</f>
        <v>patrick.figueroa@patagoniansys.com</v>
      </c>
      <c r="G170" s="4" t="str">
        <f>IFERROR(__xludf.DUMMYFUNCTION("""COMPUTED_VALUE"""),"👋 RRHH")</f>
        <v>👋 RRHH</v>
      </c>
      <c r="H170" s="4" t="str">
        <f>IFERROR(__xludf.DUMMYFUNCTION("""COMPUTED_VALUE"""),"🙂 Feliz")</f>
        <v>🙂 Feliz</v>
      </c>
      <c r="I170" s="6" t="str">
        <f>IFERROR(__xludf.DUMMYFUNCTION("""COMPUTED_VALUE"""),"Proyecto : Esta trabajando en Snapcloud  apoyando Backend
PM : Con Hernan no tiene ningun incoveniente
Certificaciones: Por su cuenta esta cpacitandose por su cuenta. 
")</f>
        <v>Proyecto : Esta trabajando en Snapcloud  apoyando Backend
PM : Con Hernan no tiene ningun incoveniente
Certificaciones: Por su cuenta esta cpacitandose por su cuenta. 
</v>
      </c>
      <c r="J170" s="4" t="str">
        <f>IFERROR(__xludf.DUMMYFUNCTION("""COMPUTED_VALUE"""),"PX|Referents|RRHH")</f>
        <v>PX|Referents|RRHH</v>
      </c>
    </row>
    <row r="171">
      <c r="A171" s="4">
        <f>IFERROR(__xludf.DUMMYFUNCTION("""COMPUTED_VALUE"""),280.0)</f>
        <v>280</v>
      </c>
      <c r="B171" s="4" t="str">
        <f>IFERROR(__xludf.DUMMYFUNCTION("""COMPUTED_VALUE"""),"jose.flores")</f>
        <v>jose.flores</v>
      </c>
      <c r="C171" s="5">
        <f>IFERROR(__xludf.DUMMYFUNCTION("""COMPUTED_VALUE"""),45041.51417870371)</f>
        <v>45041.51418</v>
      </c>
      <c r="D171" s="5">
        <f>IFERROR(__xludf.DUMMYFUNCTION("""COMPUTED_VALUE"""),45041.0)</f>
        <v>45041</v>
      </c>
      <c r="E171" s="4" t="str">
        <f>IFERROR(__xludf.DUMMYFUNCTION("""COMPUTED_VALUE"""),"luciano.fuentes@patagoniansys.com")</f>
        <v>luciano.fuentes@patagoniansys.com</v>
      </c>
      <c r="F171" s="4" t="str">
        <f>IFERROR(__xludf.DUMMYFUNCTION("""COMPUTED_VALUE"""),"jose.flores@patagonian.com")</f>
        <v>jose.flores@patagonian.com</v>
      </c>
      <c r="G171" s="4" t="str">
        <f>IFERROR(__xludf.DUMMYFUNCTION("""COMPUTED_VALUE"""),"Referent One on One")</f>
        <v>Referent One on One</v>
      </c>
      <c r="H171" s="4"/>
      <c r="I171" s="6" t="str">
        <f>IFERROR(__xludf.DUMMYFUNCTION("""COMPUTED_VALUE"""),"- Interviewee e-Mail: jose.flores@patagonian.com
- Project Status Check: En cuanto tecnología, además de Angular empezó a implementar código en el backend en el framework spring boot.
La documentación de Angular signals
- Project Role | Feeling: 4
- Extra"&amp;" Work Hours | Amount: 0 (Ningúna)
- Techs | Research: No
- Techs | Certifications: AWS Cloud Practitioner
- Techs | Recomendations: https://t.co/F8gPW7AAHo
- Techs | Recomendations check: La documentación de Angular signals
- Collaborator | Seniority: 👍 "&amp;"No, es correcto
- Final notes: Tiene mucho interés en ganar responsabilidades del proyecto y capacitarse
- Project Techs | Learning: 2
- Techs | Research: 0
- Project Techs | Difficulty: 3
- Project Changes | Reasons: 🟰 No hubo cambios
- Project Role | V"&amp;"alue: 5
- Project role | Notes: Al estar implementado cosas nuevas lo obliga a estar capacitándose diariamente y lo prepara para diferentes desafíos")</f>
        <v>- Interviewee e-Mail: jose.flores@patagonian.com
- Project Status Check: En cuanto tecnología, además de Angular empezó a implementar código en el backend en el framework spring boot.
La documentación de Angular signals
- Project Role | Feeling: 4
- Extra Work Hours | Amount: 0 (Ningúna)
- Techs | Research: No
- Techs | Certifications: AWS Cloud Practitioner
- Techs | Recomendations: https://t.co/F8gPW7AAHo
- Techs | Recomendations check: La documentación de Angular signals
- Collaborator | Seniority: 👍 No, es correcto
- Final notes: Tiene mucho interés en ganar responsabilidades del proyecto y capacitarse
- Project Techs | Learning: 2
- Techs | Research: 0
- Project Techs | Difficulty: 3
- Project Changes | Reasons: 🟰 No hubo cambios
- Project Role | Value: 5
- Project role | Notes: Al estar implementado cosas nuevas lo obliga a estar capacitándose diariamente y lo prepara para diferentes desafíos</v>
      </c>
      <c r="J171" s="4" t="str">
        <f>IFERROR(__xludf.DUMMYFUNCTION("""COMPUTED_VALUE"""),"Tech Referent - OneOnOne")</f>
        <v>Tech Referent - OneOnOne</v>
      </c>
    </row>
    <row r="172" hidden="1">
      <c r="A172" s="4">
        <f>IFERROR(__xludf.DUMMYFUNCTION("""COMPUTED_VALUE"""),193.0)</f>
        <v>193</v>
      </c>
      <c r="B172" s="4" t="str">
        <f>IFERROR(__xludf.DUMMYFUNCTION("""COMPUTED_VALUE"""),"joan.romero")</f>
        <v>joan.romero</v>
      </c>
      <c r="C172" s="5">
        <f>IFERROR(__xludf.DUMMYFUNCTION("""COMPUTED_VALUE"""),45041.61737364583)</f>
        <v>45041.61737</v>
      </c>
      <c r="D172" s="5">
        <f>IFERROR(__xludf.DUMMYFUNCTION("""COMPUTED_VALUE"""),45041.0)</f>
        <v>45041</v>
      </c>
      <c r="E172" s="4" t="str">
        <f>IFERROR(__xludf.DUMMYFUNCTION("""COMPUTED_VALUE"""),"micaela.zorzetto@patagoniansys.com")</f>
        <v>micaela.zorzetto@patagoniansys.com</v>
      </c>
      <c r="F172" s="4" t="str">
        <f>IFERROR(__xludf.DUMMYFUNCTION("""COMPUTED_VALUE"""),"joan.romero@patagoniansys.com")</f>
        <v>joan.romero@patagoniansys.com</v>
      </c>
      <c r="G172" s="4" t="str">
        <f>IFERROR(__xludf.DUMMYFUNCTION("""COMPUTED_VALUE"""),"⏱ One on One")</f>
        <v>⏱ One on One</v>
      </c>
      <c r="H172" s="4" t="str">
        <f>IFERROR(__xludf.DUMMYFUNCTION("""COMPUTED_VALUE"""),"😀 Sumamente Feliz")</f>
        <v>😀 Sumamente Feliz</v>
      </c>
      <c r="I172" s="6" t="str">
        <f>IFERROR(__xludf.DUMMYFUNCTION("""COMPUTED_VALUE"""),"Proyecto:  esta muy contento con el proyecto, termina en estas semanas. También esta trabajando junto con Coco probando nuevos proyectos e investigando sobre machine learning. Esta muy entusiasmado porque todo este aprendizaje le permite creer e ir armand"&amp;"o una carrera. 
Empresa: esta contento y cómodo. ")</f>
        <v>Proyecto:  esta muy contento con el proyecto, termina en estas semanas. También esta trabajando junto con Coco probando nuevos proyectos e investigando sobre machine learning. Esta muy entusiasmado porque todo este aprendizaje le permite creer e ir armando una carrera. 
Empresa: esta contento y cómodo. </v>
      </c>
      <c r="J172" s="4" t="str">
        <f>IFERROR(__xludf.DUMMYFUNCTION("""COMPUTED_VALUE"""),"PX|Referents|RRHH")</f>
        <v>PX|Referents|RRHH</v>
      </c>
    </row>
    <row r="173" hidden="1">
      <c r="A173" s="4">
        <f>IFERROR(__xludf.DUMMYFUNCTION("""COMPUTED_VALUE"""),182.0)</f>
        <v>182</v>
      </c>
      <c r="B173" s="4" t="str">
        <f>IFERROR(__xludf.DUMMYFUNCTION("""COMPUTED_VALUE"""),"exequiel.soto")</f>
        <v>exequiel.soto</v>
      </c>
      <c r="C173" s="5">
        <f>IFERROR(__xludf.DUMMYFUNCTION("""COMPUTED_VALUE"""),45041.62325201389)</f>
        <v>45041.62325</v>
      </c>
      <c r="D173" s="5">
        <f>IFERROR(__xludf.DUMMYFUNCTION("""COMPUTED_VALUE"""),45041.0)</f>
        <v>45041</v>
      </c>
      <c r="E173" s="4" t="str">
        <f>IFERROR(__xludf.DUMMYFUNCTION("""COMPUTED_VALUE"""),"micaela.zorzetto@patagoniansys.com")</f>
        <v>micaela.zorzetto@patagoniansys.com</v>
      </c>
      <c r="F173" s="4" t="str">
        <f>IFERROR(__xludf.DUMMYFUNCTION("""COMPUTED_VALUE"""),"exequiel.soto@patagoniansys.com")</f>
        <v>exequiel.soto@patagoniansys.com</v>
      </c>
      <c r="G173" s="4" t="str">
        <f>IFERROR(__xludf.DUMMYFUNCTION("""COMPUTED_VALUE"""),"⏱ One on One")</f>
        <v>⏱ One on One</v>
      </c>
      <c r="H173" s="4" t="str">
        <f>IFERROR(__xludf.DUMMYFUNCTION("""COMPUTED_VALUE"""),"🙂 Feliz")</f>
        <v>🙂 Feliz</v>
      </c>
      <c r="I173" s="6" t="str">
        <f>IFERROR(__xludf.DUMMYFUNCTION("""COMPUTED_VALUE"""),"Proyecto: con el equipo y proyecto esta muy bien, el proyecto le permitió conocer y aprender nuevos lenguajes y sumar mas herramientas, al principio del proyecto se sintió un poco perdido pero luego logro acomodarse. Le gusta porque aprende cosas nuevas t"&amp;"odos los días. El viaje que realizó a Roca, le permitió conocer a su compañero Fede Matos, lo que hizo que la relación sea aún más cercana. 
Empresa: se siente cómodo y acompañado.
Capacitación: esta estudiando inglés intensivo en una academia en Bs As, e"&amp;"ste año se va a enfocar en mejorarlo. 
")</f>
        <v>Proyecto: con el equipo y proyecto esta muy bien, el proyecto le permitió conocer y aprender nuevos lenguajes y sumar mas herramientas, al principio del proyecto se sintió un poco perdido pero luego logro acomodarse. Le gusta porque aprende cosas nuevas todos los días. El viaje que realizó a Roca, le permitió conocer a su compañero Fede Matos, lo que hizo que la relación sea aún más cercana. 
Empresa: se siente cómodo y acompañado.
Capacitación: esta estudiando inglés intensivo en una academia en Bs As, este año se va a enfocar en mejorarlo. 
</v>
      </c>
      <c r="J173" s="4" t="str">
        <f>IFERROR(__xludf.DUMMYFUNCTION("""COMPUTED_VALUE"""),"PX|Referents|RRHH")</f>
        <v>PX|Referents|RRHH</v>
      </c>
    </row>
    <row r="174" hidden="1">
      <c r="A174" s="4">
        <f>IFERROR(__xludf.DUMMYFUNCTION("""COMPUTED_VALUE"""),145.0)</f>
        <v>145</v>
      </c>
      <c r="B174" s="4" t="str">
        <f>IFERROR(__xludf.DUMMYFUNCTION("""COMPUTED_VALUE"""),"victor.abitu")</f>
        <v>victor.abitu</v>
      </c>
      <c r="C174" s="5">
        <f>IFERROR(__xludf.DUMMYFUNCTION("""COMPUTED_VALUE"""),45041.625698993055)</f>
        <v>45041.6257</v>
      </c>
      <c r="D174" s="5">
        <f>IFERROR(__xludf.DUMMYFUNCTION("""COMPUTED_VALUE"""),45041.0)</f>
        <v>45041</v>
      </c>
      <c r="E174" s="4" t="str">
        <f>IFERROR(__xludf.DUMMYFUNCTION("""COMPUTED_VALUE"""),"sebastian.charre@patagoniansys.com")</f>
        <v>sebastian.charre@patagoniansys.com</v>
      </c>
      <c r="F174" s="4" t="str">
        <f>IFERROR(__xludf.DUMMYFUNCTION("""COMPUTED_VALUE"""),"victor.abitu@patagoniansys.com")</f>
        <v>victor.abitu@patagoniansys.com</v>
      </c>
      <c r="G174" s="4" t="str">
        <f>IFERROR(__xludf.DUMMYFUNCTION("""COMPUTED_VALUE"""),"⏱ One on One")</f>
        <v>⏱ One on One</v>
      </c>
      <c r="H174" s="4" t="str">
        <f>IFERROR(__xludf.DUMMYFUNCTION("""COMPUTED_VALUE"""),"😀 Sumamente Feliz")</f>
        <v>😀 Sumamente Feliz</v>
      </c>
      <c r="I174" s="6" t="str">
        <f>IFERROR(__xludf.DUMMYFUNCTION("""COMPUTED_VALUE"""),"Victor, se siente a gusto con el equipo y el cliente. En varias ocaciones remarcó que está contento en el proyecto porque sale de lo tradicional y lo desafía constantemente.")</f>
        <v>Victor, se siente a gusto con el equipo y el cliente. En varias ocaciones remarcó que está contento en el proyecto porque sale de lo tradicional y lo desafía constantemente.</v>
      </c>
      <c r="J174" s="4" t="str">
        <f>IFERROR(__xludf.DUMMYFUNCTION("""COMPUTED_VALUE"""),"PX|Referents|RRHH")</f>
        <v>PX|Referents|RRHH</v>
      </c>
    </row>
    <row r="175" hidden="1">
      <c r="A175" s="4">
        <f>IFERROR(__xludf.DUMMYFUNCTION("""COMPUTED_VALUE"""),295.0)</f>
        <v>295</v>
      </c>
      <c r="B175" s="4" t="str">
        <f>IFERROR(__xludf.DUMMYFUNCTION("""COMPUTED_VALUE"""),"manuel.lagos")</f>
        <v>manuel.lagos</v>
      </c>
      <c r="C175" s="5">
        <f>IFERROR(__xludf.DUMMYFUNCTION("""COMPUTED_VALUE"""),45041.63190747685)</f>
        <v>45041.63191</v>
      </c>
      <c r="D175" s="5">
        <f>IFERROR(__xludf.DUMMYFUNCTION("""COMPUTED_VALUE"""),45041.0)</f>
        <v>45041</v>
      </c>
      <c r="E175" s="4" t="str">
        <f>IFERROR(__xludf.DUMMYFUNCTION("""COMPUTED_VALUE"""),"sebastian.charre@patagoniansys.com")</f>
        <v>sebastian.charre@patagoniansys.com</v>
      </c>
      <c r="F175" s="4" t="str">
        <f>IFERROR(__xludf.DUMMYFUNCTION("""COMPUTED_VALUE"""),"manuel.lagos@patagoniansys.com")</f>
        <v>manuel.lagos@patagoniansys.com</v>
      </c>
      <c r="G175" s="4" t="str">
        <f>IFERROR(__xludf.DUMMYFUNCTION("""COMPUTED_VALUE"""),"⏱ One on One")</f>
        <v>⏱ One on One</v>
      </c>
      <c r="H175" s="4" t="str">
        <f>IFERROR(__xludf.DUMMYFUNCTION("""COMPUTED_VALUE"""),"🙂 Feliz")</f>
        <v>🙂 Feliz</v>
      </c>
      <c r="I175" s="6" t="str">
        <f>IFERROR(__xludf.DUMMYFUNCTION("""COMPUTED_VALUE"""),"Se lo ve satisfecho en el proyecto. En momentos que el proyecto avanza se siente util y le gusta. Sin embargo el proyecto en sí tiene momentos en los cuales se traba por cuestiones de aprobación de diseños y esto lo preocupa. Hablamos de la importancia de"&amp;" sumar ""valor agregado"" a estos momentos para poder proponer al cliente acciones para destrabar el mismo.")</f>
        <v>Se lo ve satisfecho en el proyecto. En momentos que el proyecto avanza se siente util y le gusta. Sin embargo el proyecto en sí tiene momentos en los cuales se traba por cuestiones de aprobación de diseños y esto lo preocupa. Hablamos de la importancia de sumar "valor agregado" a estos momentos para poder proponer al cliente acciones para destrabar el mismo.</v>
      </c>
      <c r="J175" s="4" t="str">
        <f>IFERROR(__xludf.DUMMYFUNCTION("""COMPUTED_VALUE"""),"PX|Referents|RRHH")</f>
        <v>PX|Referents|RRHH</v>
      </c>
    </row>
    <row r="176" hidden="1">
      <c r="A176" s="4">
        <f>IFERROR(__xludf.DUMMYFUNCTION("""COMPUTED_VALUE"""),173.0)</f>
        <v>173</v>
      </c>
      <c r="B176" s="4" t="str">
        <f>IFERROR(__xludf.DUMMYFUNCTION("""COMPUTED_VALUE"""),"elias.caram")</f>
        <v>elias.caram</v>
      </c>
      <c r="C176" s="5">
        <f>IFERROR(__xludf.DUMMYFUNCTION("""COMPUTED_VALUE"""),45041.72150680556)</f>
        <v>45041.72151</v>
      </c>
      <c r="D176" s="5">
        <f>IFERROR(__xludf.DUMMYFUNCTION("""COMPUTED_VALUE"""),45041.0)</f>
        <v>45041</v>
      </c>
      <c r="E176" s="4" t="str">
        <f>IFERROR(__xludf.DUMMYFUNCTION("""COMPUTED_VALUE"""),"micaela.zorzetto@patagoniansys.com")</f>
        <v>micaela.zorzetto@patagoniansys.com</v>
      </c>
      <c r="F176" s="4" t="str">
        <f>IFERROR(__xludf.DUMMYFUNCTION("""COMPUTED_VALUE"""),"elias.caram@patagoniansys.com")</f>
        <v>elias.caram@patagoniansys.com</v>
      </c>
      <c r="G176" s="4" t="str">
        <f>IFERROR(__xludf.DUMMYFUNCTION("""COMPUTED_VALUE"""),"⏱ One on One")</f>
        <v>⏱ One on One</v>
      </c>
      <c r="H176" s="4" t="str">
        <f>IFERROR(__xludf.DUMMYFUNCTION("""COMPUTED_VALUE"""),"😐 Indiferente")</f>
        <v>😐 Indiferente</v>
      </c>
      <c r="I176" s="6" t="str">
        <f>IFERROR(__xludf.DUMMYFUNCTION("""COMPUTED_VALUE"""),"Proyecto: viene bien ya esta terminando y van avanzando ya que a principio de Mayo lo entregan. 
Capacitación: le gustaría continuar con el desarrollo de aplicaciones, todavía no tuvo su call con el TL. ")</f>
        <v>Proyecto: viene bien ya esta terminando y van avanzando ya que a principio de Mayo lo entregan. 
Capacitación: le gustaría continuar con el desarrollo de aplicaciones, todavía no tuvo su call con el TL. </v>
      </c>
      <c r="J176" s="4" t="str">
        <f>IFERROR(__xludf.DUMMYFUNCTION("""COMPUTED_VALUE"""),"PX|Referents|RRHH")</f>
        <v>PX|Referents|RRHH</v>
      </c>
    </row>
    <row r="177" hidden="1">
      <c r="A177" s="4">
        <f>IFERROR(__xludf.DUMMYFUNCTION("""COMPUTED_VALUE"""),11.0)</f>
        <v>11</v>
      </c>
      <c r="B177" s="4" t="str">
        <f>IFERROR(__xludf.DUMMYFUNCTION("""COMPUTED_VALUE"""),"ernesto.parada")</f>
        <v>ernesto.parada</v>
      </c>
      <c r="C177" s="5">
        <f>IFERROR(__xludf.DUMMYFUNCTION("""COMPUTED_VALUE"""),45057.612930243056)</f>
        <v>45057.61293</v>
      </c>
      <c r="D177" s="5">
        <f>IFERROR(__xludf.DUMMYFUNCTION("""COMPUTED_VALUE"""),45041.0)</f>
        <v>45041</v>
      </c>
      <c r="E177" s="4" t="str">
        <f>IFERROR(__xludf.DUMMYFUNCTION("""COMPUTED_VALUE"""),"micaela.zorzetto@patagoniansys.com")</f>
        <v>micaela.zorzetto@patagoniansys.com</v>
      </c>
      <c r="F177" s="4" t="str">
        <f>IFERROR(__xludf.DUMMYFUNCTION("""COMPUTED_VALUE"""),"ernesto.parada@patagoniansys.com")</f>
        <v>ernesto.parada@patagoniansys.com</v>
      </c>
      <c r="G177" s="4" t="str">
        <f>IFERROR(__xludf.DUMMYFUNCTION("""COMPUTED_VALUE"""),"⏱ One on One")</f>
        <v>⏱ One on One</v>
      </c>
      <c r="H177" s="4" t="str">
        <f>IFERROR(__xludf.DUMMYFUNCTION("""COMPUTED_VALUE"""),"🙂 Feliz")</f>
        <v>🙂 Feliz</v>
      </c>
      <c r="I177" s="6" t="str">
        <f>IFERROR(__xludf.DUMMYFUNCTION("""COMPUTED_VALUE"""),"Proyecto: esta cómodo, ya lleva muchos años en el mismo. El equipo dice que esta muy bien. 
Empresa: quiere seguir quedandose en Patagonian, porque siempre lo acompaña y lo cuida. 
Capacitación: su objetivo es mejorar el inglés, por eso esta tomando clase"&amp;"s particulares. ")</f>
        <v>Proyecto: esta cómodo, ya lleva muchos años en el mismo. El equipo dice que esta muy bien. 
Empresa: quiere seguir quedandose en Patagonian, porque siempre lo acompaña y lo cuida. 
Capacitación: su objetivo es mejorar el inglés, por eso esta tomando clases particulares. </v>
      </c>
      <c r="J177" s="4" t="str">
        <f>IFERROR(__xludf.DUMMYFUNCTION("""COMPUTED_VALUE"""),"PX|Referents|RRHH")</f>
        <v>PX|Referents|RRHH</v>
      </c>
    </row>
    <row r="178" hidden="1">
      <c r="A178" s="4">
        <f>IFERROR(__xludf.DUMMYFUNCTION("""COMPUTED_VALUE"""),26.0)</f>
        <v>26</v>
      </c>
      <c r="B178" s="4" t="str">
        <f>IFERROR(__xludf.DUMMYFUNCTION("""COMPUTED_VALUE"""),"mariano.sckerl")</f>
        <v>mariano.sckerl</v>
      </c>
      <c r="C178" s="5">
        <f>IFERROR(__xludf.DUMMYFUNCTION("""COMPUTED_VALUE"""),45058.751314050925)</f>
        <v>45058.75131</v>
      </c>
      <c r="D178" s="5">
        <f>IFERROR(__xludf.DUMMYFUNCTION("""COMPUTED_VALUE"""),45041.0)</f>
        <v>45041</v>
      </c>
      <c r="E178" s="4" t="str">
        <f>IFERROR(__xludf.DUMMYFUNCTION("""COMPUTED_VALUE"""),"jimena.gutierrez@patagoniansys.com")</f>
        <v>jimena.gutierrez@patagoniansys.com</v>
      </c>
      <c r="F178" s="4" t="str">
        <f>IFERROR(__xludf.DUMMYFUNCTION("""COMPUTED_VALUE"""),"mariano.sckerl@patagoniansys.com")</f>
        <v>mariano.sckerl@patagoniansys.com</v>
      </c>
      <c r="G178" s="4" t="str">
        <f>IFERROR(__xludf.DUMMYFUNCTION("""COMPUTED_VALUE"""),"⏱ One on One")</f>
        <v>⏱ One on One</v>
      </c>
      <c r="H178" s="4" t="str">
        <f>IFERROR(__xludf.DUMMYFUNCTION("""COMPUTED_VALUE"""),"🙂 Feliz")</f>
        <v>🙂 Feliz</v>
      </c>
      <c r="I178" s="6" t="str">
        <f>IFERROR(__xludf.DUMMYFUNCTION("""COMPUTED_VALUE"""),"En líneas generales menciono que se encuentra bien. A veces se siente abrumado por estar cambiando de proyectos constantemente o participando de varios proyectos al mismo tiempo. Siente que se tiene que organizar mejor ya que le cuesta el switch entre pro"&amp;"yectos.")</f>
        <v>En líneas generales menciono que se encuentra bien. A veces se siente abrumado por estar cambiando de proyectos constantemente o participando de varios proyectos al mismo tiempo. Siente que se tiene que organizar mejor ya que le cuesta el switch entre proyectos.</v>
      </c>
      <c r="J178" s="4" t="str">
        <f>IFERROR(__xludf.DUMMYFUNCTION("""COMPUTED_VALUE"""),"PX|Referents|RRHH")</f>
        <v>PX|Referents|RRHH</v>
      </c>
    </row>
    <row r="179" hidden="1">
      <c r="A179" s="4">
        <f>IFERROR(__xludf.DUMMYFUNCTION("""COMPUTED_VALUE"""),69.0)</f>
        <v>69</v>
      </c>
      <c r="B179" s="4" t="str">
        <f>IFERROR(__xludf.DUMMYFUNCTION("""COMPUTED_VALUE"""),"carlos.igal")</f>
        <v>carlos.igal</v>
      </c>
      <c r="C179" s="5">
        <f>IFERROR(__xludf.DUMMYFUNCTION("""COMPUTED_VALUE"""),45042.39432528935)</f>
        <v>45042.39433</v>
      </c>
      <c r="D179" s="5">
        <f>IFERROR(__xludf.DUMMYFUNCTION("""COMPUTED_VALUE"""),45042.0)</f>
        <v>45042</v>
      </c>
      <c r="E179" s="4" t="str">
        <f>IFERROR(__xludf.DUMMYFUNCTION("""COMPUTED_VALUE"""),"sebastian.charre@patagoniansys.com")</f>
        <v>sebastian.charre@patagoniansys.com</v>
      </c>
      <c r="F179" s="4" t="str">
        <f>IFERROR(__xludf.DUMMYFUNCTION("""COMPUTED_VALUE"""),"carlos.igal@patagoniansys.com")</f>
        <v>carlos.igal@patagoniansys.com</v>
      </c>
      <c r="G179" s="4" t="str">
        <f>IFERROR(__xludf.DUMMYFUNCTION("""COMPUTED_VALUE"""),"⏱ One on One")</f>
        <v>⏱ One on One</v>
      </c>
      <c r="H179" s="4" t="str">
        <f>IFERROR(__xludf.DUMMYFUNCTION("""COMPUTED_VALUE"""),"😀 Sumamente Feliz")</f>
        <v>😀 Sumamente Feliz</v>
      </c>
      <c r="I179" s="6" t="str">
        <f>IFERROR(__xludf.DUMMYFUNCTION("""COMPUTED_VALUE"""),"Esta satisfecho en el proyecto. Lo desafía todos los días con problemas de base y situaciones de urgencia. Con el equipo ha logrado una buena relación asi como también con el cliente. Charlamos sobre la posibilidad de pasar a otro proyecto y, si bien está"&amp;" a gusto, le gustaría conocer otros proyectos.")</f>
        <v>Esta satisfecho en el proyecto. Lo desafía todos los días con problemas de base y situaciones de urgencia. Con el equipo ha logrado una buena relación asi como también con el cliente. Charlamos sobre la posibilidad de pasar a otro proyecto y, si bien está a gusto, le gustaría conocer otros proyectos.</v>
      </c>
      <c r="J179" s="4" t="str">
        <f>IFERROR(__xludf.DUMMYFUNCTION("""COMPUTED_VALUE"""),"PX|Referents|RRHH")</f>
        <v>PX|Referents|RRHH</v>
      </c>
    </row>
    <row r="180" hidden="1">
      <c r="A180" s="4">
        <f>IFERROR(__xludf.DUMMYFUNCTION("""COMPUTED_VALUE"""),273.0)</f>
        <v>273</v>
      </c>
      <c r="B180" s="4" t="str">
        <f>IFERROR(__xludf.DUMMYFUNCTION("""COMPUTED_VALUE"""),"laura.oviedo")</f>
        <v>laura.oviedo</v>
      </c>
      <c r="C180" s="5">
        <f>IFERROR(__xludf.DUMMYFUNCTION("""COMPUTED_VALUE"""),45042.456852268515)</f>
        <v>45042.45685</v>
      </c>
      <c r="D180" s="5">
        <f>IFERROR(__xludf.DUMMYFUNCTION("""COMPUTED_VALUE"""),45042.0)</f>
        <v>45042</v>
      </c>
      <c r="E180" s="4" t="str">
        <f>IFERROR(__xludf.DUMMYFUNCTION("""COMPUTED_VALUE"""),"sebastian.charre@patagoniansys.com")</f>
        <v>sebastian.charre@patagoniansys.com</v>
      </c>
      <c r="F180" s="4" t="str">
        <f>IFERROR(__xludf.DUMMYFUNCTION("""COMPUTED_VALUE"""),"laura.oviedo@patagoniansys.com")</f>
        <v>laura.oviedo@patagoniansys.com</v>
      </c>
      <c r="G180" s="4" t="str">
        <f>IFERROR(__xludf.DUMMYFUNCTION("""COMPUTED_VALUE"""),"⏱ One on One")</f>
        <v>⏱ One on One</v>
      </c>
      <c r="H180" s="4" t="str">
        <f>IFERROR(__xludf.DUMMYFUNCTION("""COMPUTED_VALUE"""),"😐 Indiferente")</f>
        <v>😐 Indiferente</v>
      </c>
      <c r="I180" s="6" t="str">
        <f>IFERROR(__xludf.DUMMYFUNCTION("""COMPUTED_VALUE"""),"Laura está contenta con el equipo de diseño asigando al proyecto. Se siente contenida y ha en contrado su rol dentro del mismo. ")</f>
        <v>Laura está contenta con el equipo de diseño asigando al proyecto. Se siente contenida y ha en contrado su rol dentro del mismo. </v>
      </c>
      <c r="J180" s="4" t="str">
        <f>IFERROR(__xludf.DUMMYFUNCTION("""COMPUTED_VALUE"""),"PX|Referents|RRHH")</f>
        <v>PX|Referents|RRHH</v>
      </c>
    </row>
    <row r="181">
      <c r="A181" s="4">
        <f>IFERROR(__xludf.DUMMYFUNCTION("""COMPUTED_VALUE"""),73.0)</f>
        <v>73</v>
      </c>
      <c r="B181" s="4" t="str">
        <f>IFERROR(__xludf.DUMMYFUNCTION("""COMPUTED_VALUE"""),"andres.attwell")</f>
        <v>andres.attwell</v>
      </c>
      <c r="C181" s="5">
        <f>IFERROR(__xludf.DUMMYFUNCTION("""COMPUTED_VALUE"""),45042.54672386574)</f>
        <v>45042.54672</v>
      </c>
      <c r="D181" s="5">
        <f>IFERROR(__xludf.DUMMYFUNCTION("""COMPUTED_VALUE"""),45042.0)</f>
        <v>45042</v>
      </c>
      <c r="E181" s="4" t="str">
        <f>IFERROR(__xludf.DUMMYFUNCTION("""COMPUTED_VALUE"""),"andres.bolocco@patagoniansys.com")</f>
        <v>andres.bolocco@patagoniansys.com</v>
      </c>
      <c r="F181" s="4" t="str">
        <f>IFERROR(__xludf.DUMMYFUNCTION("""COMPUTED_VALUE"""),"andres.attwell@patagonian.com")</f>
        <v>andres.attwell@patagonian.com</v>
      </c>
      <c r="G181" s="4" t="str">
        <f>IFERROR(__xludf.DUMMYFUNCTION("""COMPUTED_VALUE"""),"Referent One on One")</f>
        <v>Referent One on One</v>
      </c>
      <c r="H181" s="4"/>
      <c r="I181" s="6" t="str">
        <f>IFERROR(__xludf.DUMMYFUNCTION("""COMPUTED_VALUE"""),"- Interviewee e-Mail: andres.attwell@patagonian.com
- Project Status Check: integración compleja de un whitelabel en CA, retomando tareas de desarrollo
- Project Changes | Notes: hubo limpieza de los repos, sacando acceso a gente q no esta mas en el proye"&amp;"cto, y organizando con Jime la PM cómo asignar tareas y crear tickets al llegar el requerimiento
- Project Role | Feeling: 4
- Extra Work Hours | Amount: 0 (Ningúna)
- Techs | Research: Le interesa y se esta metiendo a ver sobre Playwright y frameworks de"&amp;" testing. seguis con el curso de AWS
- Techs | Recomendations: los articulos que ha pasado Edu de arquitectura
- Techs | Recomendations check: sobre los articulos que ha pasado Edu de arquitectura, le parecen un poco abstractos y prefiere aprender hands-o"&amp;"n mientras va haciendo algo
- Collaborator | Seniority: 👍 No, es correcto
- Project Needs / Oportunities: ya está siendo tratado la mayor necesidad es el upgrade de stack
- Project Techs | Learning: 0
- Techs | Research: 10
- Project Techs | Difficulty: "&amp;"4
- Project Changes | Reasons: 🟰 No hubo cambios, ⬆️ Aumento del equipo, entro una nueva chica del Nest para hacer QA Isabely, y un nuevo devops Guillermo P.
- Project Changes | Personal Impact: 4
- Project Role | Value: 4
- Project role | Notes: mas con"&amp;"fiado en su rol de TL, cada vez preguntandole menos cosas a Bruno, aliviado apoyandose en el nuevo DevOps, valora mucho al equipo")</f>
        <v>- Interviewee e-Mail: andres.attwell@patagonian.com
- Project Status Check: integración compleja de un whitelabel en CA, retomando tareas de desarrollo
- Project Changes | Notes: hubo limpieza de los repos, sacando acceso a gente q no esta mas en el proyecto, y organizando con Jime la PM cómo asignar tareas y crear tickets al llegar el requerimiento
- Project Role | Feeling: 4
- Extra Work Hours | Amount: 0 (Ningúna)
- Techs | Research: Le interesa y se esta metiendo a ver sobre Playwright y frameworks de testing. seguis con el curso de AWS
- Techs | Recomendations: los articulos que ha pasado Edu de arquitectura
- Techs | Recomendations check: sobre los articulos que ha pasado Edu de arquitectura, le parecen un poco abstractos y prefiere aprender hands-on mientras va haciendo algo
- Collaborator | Seniority: 👍 No, es correcto
- Project Needs / Oportunities: ya está siendo tratado la mayor necesidad es el upgrade de stack
- Project Techs | Learning: 0
- Techs | Research: 10
- Project Techs | Difficulty: 4
- Project Changes | Reasons: 🟰 No hubo cambios, ⬆️ Aumento del equipo, entro una nueva chica del Nest para hacer QA Isabely, y un nuevo devops Guillermo P.
- Project Changes | Personal Impact: 4
- Project Role | Value: 4
- Project role | Notes: mas confiado en su rol de TL, cada vez preguntandole menos cosas a Bruno, aliviado apoyandose en el nuevo DevOps, valora mucho al equipo</v>
      </c>
      <c r="J181" s="4" t="str">
        <f>IFERROR(__xludf.DUMMYFUNCTION("""COMPUTED_VALUE"""),"Tech Referent - OneOnOne")</f>
        <v>Tech Referent - OneOnOne</v>
      </c>
    </row>
    <row r="182" hidden="1">
      <c r="A182" s="4">
        <f>IFERROR(__xludf.DUMMYFUNCTION("""COMPUTED_VALUE"""),319.0)</f>
        <v>319</v>
      </c>
      <c r="B182" s="4" t="str">
        <f>IFERROR(__xludf.DUMMYFUNCTION("""COMPUTED_VALUE"""),"kharoly.cordova")</f>
        <v>kharoly.cordova</v>
      </c>
      <c r="C182" s="5">
        <f>IFERROR(__xludf.DUMMYFUNCTION("""COMPUTED_VALUE"""),45042.740602060185)</f>
        <v>45042.7406</v>
      </c>
      <c r="D182" s="5">
        <f>IFERROR(__xludf.DUMMYFUNCTION("""COMPUTED_VALUE"""),45042.0)</f>
        <v>45042</v>
      </c>
      <c r="E182" s="4" t="str">
        <f>IFERROR(__xludf.DUMMYFUNCTION("""COMPUTED_VALUE"""),"hernan.muras@patagoniansys.com")</f>
        <v>hernan.muras@patagoniansys.com</v>
      </c>
      <c r="F182" s="4" t="str">
        <f>IFERROR(__xludf.DUMMYFUNCTION("""COMPUTED_VALUE"""),"kharoly.cordova@patagoniansys.com")</f>
        <v>kharoly.cordova@patagoniansys.com</v>
      </c>
      <c r="G182" s="4" t="str">
        <f>IFERROR(__xludf.DUMMYFUNCTION("""COMPUTED_VALUE"""),"⏱ One on One")</f>
        <v>⏱ One on One</v>
      </c>
      <c r="H182" s="4" t="str">
        <f>IFERROR(__xludf.DUMMYFUNCTION("""COMPUTED_VALUE"""),"🙂 Feliz")</f>
        <v>🙂 Feliz</v>
      </c>
      <c r="I182" s="6" t="str">
        <f>IFERROR(__xludf.DUMMYFUNCTION("""COMPUTED_VALUE"""),"Kharo está muy a gusto en el proyecto. Estableció un vínculo laboral armonioso y colaborativo con el resto del equipo. Siente que su aporte es apreciado tanto por la empresa como por el cliente. Le comuniqué que voy a hacerla participar más de la toma de "&amp;"decisiones de planificación. También la refería Mica para que pueda coordinar su participación en las clases de inglés.")</f>
        <v>Kharo está muy a gusto en el proyecto. Estableció un vínculo laboral armonioso y colaborativo con el resto del equipo. Siente que su aporte es apreciado tanto por la empresa como por el cliente. Le comuniqué que voy a hacerla participar más de la toma de decisiones de planificación. También la refería Mica para que pueda coordinar su participación en las clases de inglés.</v>
      </c>
      <c r="J182" s="4" t="str">
        <f>IFERROR(__xludf.DUMMYFUNCTION("""COMPUTED_VALUE"""),"PX|Referents|RRHH")</f>
        <v>PX|Referents|RRHH</v>
      </c>
    </row>
    <row r="183" hidden="1">
      <c r="A183" s="4">
        <f>IFERROR(__xludf.DUMMYFUNCTION("""COMPUTED_VALUE"""),224.0)</f>
        <v>224</v>
      </c>
      <c r="B183" s="4" t="str">
        <f>IFERROR(__xludf.DUMMYFUNCTION("""COMPUTED_VALUE"""),"luciano.fuentes")</f>
        <v>luciano.fuentes</v>
      </c>
      <c r="C183" s="5">
        <f>IFERROR(__xludf.DUMMYFUNCTION("""COMPUTED_VALUE"""),45043.70996228009)</f>
        <v>45043.70996</v>
      </c>
      <c r="D183" s="5">
        <f>IFERROR(__xludf.DUMMYFUNCTION("""COMPUTED_VALUE"""),45042.0)</f>
        <v>45042</v>
      </c>
      <c r="E183" s="4" t="str">
        <f>IFERROR(__xludf.DUMMYFUNCTION("""COMPUTED_VALUE"""),"sebastian.charre@patagoniansys.com")</f>
        <v>sebastian.charre@patagoniansys.com</v>
      </c>
      <c r="F183" s="4" t="str">
        <f>IFERROR(__xludf.DUMMYFUNCTION("""COMPUTED_VALUE"""),"luciano.fuentes@patagoniansys.com")</f>
        <v>luciano.fuentes@patagoniansys.com</v>
      </c>
      <c r="G183" s="4" t="str">
        <f>IFERROR(__xludf.DUMMYFUNCTION("""COMPUTED_VALUE"""),"⏱ One on One")</f>
        <v>⏱ One on One</v>
      </c>
      <c r="H183" s="4" t="str">
        <f>IFERROR(__xludf.DUMMYFUNCTION("""COMPUTED_VALUE"""),"😀 Sumamente Feliz")</f>
        <v>😀 Sumamente Feliz</v>
      </c>
      <c r="I183" s="6" t="str">
        <f>IFERROR(__xludf.DUMMYFUNCTION("""COMPUTED_VALUE"""),"Luciano está contento en el proyecto. Se ha convertido en una pieza fundamental y el cliente lo valida cómo tal. Forma parte una consultoría para otro proyecto del mismo cliente y está latente la posibilidad de realizar un despliegue en EEUU por lo que es"&amp;"tá sumamente motivado. Se siente a gusto con sus compañeros de equipo a quienes ha sabido liderar y ellos lo respetan como tal. También está tomando el rol de Lider Técnico y también se siente cómodo con este rol.")</f>
        <v>Luciano está contento en el proyecto. Se ha convertido en una pieza fundamental y el cliente lo valida cómo tal. Forma parte una consultoría para otro proyecto del mismo cliente y está latente la posibilidad de realizar un despliegue en EEUU por lo que está sumamente motivado. Se siente a gusto con sus compañeros de equipo a quienes ha sabido liderar y ellos lo respetan como tal. También está tomando el rol de Lider Técnico y también se siente cómodo con este rol.</v>
      </c>
      <c r="J183" s="4" t="str">
        <f>IFERROR(__xludf.DUMMYFUNCTION("""COMPUTED_VALUE"""),"PX|Referents|RRHH")</f>
        <v>PX|Referents|RRHH</v>
      </c>
    </row>
    <row r="184" hidden="1">
      <c r="A184" s="4">
        <f>IFERROR(__xludf.DUMMYFUNCTION("""COMPUTED_VALUE"""),190.0)</f>
        <v>190</v>
      </c>
      <c r="B184" s="4" t="str">
        <f>IFERROR(__xludf.DUMMYFUNCTION("""COMPUTED_VALUE"""),"santiago.cendra")</f>
        <v>santiago.cendra</v>
      </c>
      <c r="C184" s="5">
        <f>IFERROR(__xludf.DUMMYFUNCTION("""COMPUTED_VALUE"""),45044.75060260416)</f>
        <v>45044.7506</v>
      </c>
      <c r="D184" s="5">
        <f>IFERROR(__xludf.DUMMYFUNCTION("""COMPUTED_VALUE"""),45042.0)</f>
        <v>45042</v>
      </c>
      <c r="E184" s="4" t="str">
        <f>IFERROR(__xludf.DUMMYFUNCTION("""COMPUTED_VALUE"""),"micaela.zorzetto@patagoniansys.com")</f>
        <v>micaela.zorzetto@patagoniansys.com</v>
      </c>
      <c r="F184" s="4" t="str">
        <f>IFERROR(__xludf.DUMMYFUNCTION("""COMPUTED_VALUE"""),"santiago.cendra@patagoniansys.com")</f>
        <v>santiago.cendra@patagoniansys.com</v>
      </c>
      <c r="G184" s="4" t="str">
        <f>IFERROR(__xludf.DUMMYFUNCTION("""COMPUTED_VALUE"""),"⏱ One on One")</f>
        <v>⏱ One on One</v>
      </c>
      <c r="H184" s="4" t="str">
        <f>IFERROR(__xludf.DUMMYFUNCTION("""COMPUTED_VALUE"""),"🙂 Feliz")</f>
        <v>🙂 Feliz</v>
      </c>
      <c r="I184" s="6" t="str">
        <f>IFERROR(__xludf.DUMMYFUNCTION("""COMPUTED_VALUE"""),"Proyecto: Entró como compañero Gian Fois, esta contento ya que se apoya mucho en él y siempre esta dispuesto ayudarlo. Ya el proyecto termina a fines de mayo, están ultimando detalles. ")</f>
        <v>Proyecto: Entró como compañero Gian Fois, esta contento ya que se apoya mucho en él y siempre esta dispuesto ayudarlo. Ya el proyecto termina a fines de mayo, están ultimando detalles. </v>
      </c>
      <c r="J184" s="4" t="str">
        <f>IFERROR(__xludf.DUMMYFUNCTION("""COMPUTED_VALUE"""),"PX|Referents|RRHH")</f>
        <v>PX|Referents|RRHH</v>
      </c>
    </row>
    <row r="185" hidden="1">
      <c r="A185" s="4">
        <f>IFERROR(__xludf.DUMMYFUNCTION("""COMPUTED_VALUE"""),149.0)</f>
        <v>149</v>
      </c>
      <c r="B185" s="4" t="str">
        <f>IFERROR(__xludf.DUMMYFUNCTION("""COMPUTED_VALUE"""),"jonatan.ordonez")</f>
        <v>jonatan.ordonez</v>
      </c>
      <c r="C185" s="5">
        <f>IFERROR(__xludf.DUMMYFUNCTION("""COMPUTED_VALUE"""),45028.49979520833)</f>
        <v>45028.4998</v>
      </c>
      <c r="D185" s="5">
        <f>IFERROR(__xludf.DUMMYFUNCTION("""COMPUTED_VALUE"""),45043.0)</f>
        <v>45043</v>
      </c>
      <c r="E185" s="4" t="str">
        <f>IFERROR(__xludf.DUMMYFUNCTION("""COMPUTED_VALUE"""),"diana.grajales@patagoniansys.com")</f>
        <v>diana.grajales@patagoniansys.com</v>
      </c>
      <c r="F185" s="4" t="str">
        <f>IFERROR(__xludf.DUMMYFUNCTION("""COMPUTED_VALUE"""),"jonatan.ordonez@patagoniansys.com")</f>
        <v>jonatan.ordonez@patagoniansys.com</v>
      </c>
      <c r="G185" s="4" t="str">
        <f>IFERROR(__xludf.DUMMYFUNCTION("""COMPUTED_VALUE"""),"👋 RRHH")</f>
        <v>👋 RRHH</v>
      </c>
      <c r="H185" s="4" t="str">
        <f>IFERROR(__xludf.DUMMYFUNCTION("""COMPUTED_VALUE"""),"😀 Sumamente Feliz")</f>
        <v>😀 Sumamente Feliz</v>
      </c>
      <c r="I185" s="6" t="str">
        <f>IFERROR(__xludf.DUMMYFUNCTION("""COMPUTED_VALUE"""),"Ya no se siente ofuscado con el proyecto, ha estado manejando el las tareas de una mas tranquila 
PM con Fede siente que ha mejorado y que el proyecto va avanzando ")</f>
        <v>Ya no se siente ofuscado con el proyecto, ha estado manejando el las tareas de una mas tranquila 
PM con Fede siente que ha mejorado y que el proyecto va avanzando </v>
      </c>
      <c r="J185" s="4" t="str">
        <f>IFERROR(__xludf.DUMMYFUNCTION("""COMPUTED_VALUE"""),"PX|Referents|RRHH")</f>
        <v>PX|Referents|RRHH</v>
      </c>
    </row>
    <row r="186">
      <c r="A186" s="4">
        <f>IFERROR(__xludf.DUMMYFUNCTION("""COMPUTED_VALUE"""),136.0)</f>
        <v>136</v>
      </c>
      <c r="B186" s="4" t="str">
        <f>IFERROR(__xludf.DUMMYFUNCTION("""COMPUTED_VALUE"""),"freddy.orozco")</f>
        <v>freddy.orozco</v>
      </c>
      <c r="C186" s="5">
        <f>IFERROR(__xludf.DUMMYFUNCTION("""COMPUTED_VALUE"""),45043.66798349537)</f>
        <v>45043.66798</v>
      </c>
      <c r="D186" s="5">
        <f>IFERROR(__xludf.DUMMYFUNCTION("""COMPUTED_VALUE"""),45043.0)</f>
        <v>45043</v>
      </c>
      <c r="E186" s="4" t="str">
        <f>IFERROR(__xludf.DUMMYFUNCTION("""COMPUTED_VALUE"""),"daniel.mansilla@patagoniansys.com")</f>
        <v>daniel.mansilla@patagoniansys.com</v>
      </c>
      <c r="F186" s="4" t="str">
        <f>IFERROR(__xludf.DUMMYFUNCTION("""COMPUTED_VALUE"""),"freddy.orozco@patagonian.com")</f>
        <v>freddy.orozco@patagonian.com</v>
      </c>
      <c r="G186" s="4" t="str">
        <f>IFERROR(__xludf.DUMMYFUNCTION("""COMPUTED_VALUE"""),"Referent One on One")</f>
        <v>Referent One on One</v>
      </c>
      <c r="H186" s="4"/>
      <c r="I186" s="6" t="str">
        <f>IFERROR(__xludf.DUMMYFUNCTION("""COMPUTED_VALUE"""),"- Interviewee e-Mail: freddy.orozco@patagonian.com
- Project Status Check: No ha cambiado nada realmente. El proyecto es muy estable. Por ahora, sin inconvenientes.
- Project Changes | Notes: No hubo cambios
- Project Role | Feeling: 4
- Extra Work Hours "&amp;"| Amount: 0 (Ningúna)
- Techs | Research: Está interesado en incursionar en temas relacionados a la IA. Tal vez después de mitad de año comience con algo de eso.
- Techs | Recomendations: Por el momento, nada.
- Techs | Recomendations check: No fue necesa"&amp;"rio por el momento.
- Collaborator | Seniority: 👍 No, es correcto
- Alerts: Por el momento, no.
- Project Needs / Oportunities: Por el momento, no.
- Final notes: El proyecto es muy estable y está bien organizado, por eso está bastante cómodo trabajando "&amp;"en él y no hay novedades que valga la pena resaltar.
- Project Techs | Learning: 0.5
- Project Techs | Difficulty: 4
- Project Changes | Reasons: No hubo cambios.
- Project Role | Value: 4
- Project role | Notes: Como el proyecto está establecido y ya tie"&amp;"ne bastante experiencia, y no es fácil incorporar nuevas personas, en este momento su impacto tiene cierta importancia.")</f>
        <v>- Interviewee e-Mail: freddy.orozco@patagonian.com
- Project Status Check: No ha cambiado nada realmente. El proyecto es muy estable. Por ahora, sin inconvenientes.
- Project Changes | Notes: No hubo cambios
- Project Role | Feeling: 4
- Extra Work Hours | Amount: 0 (Ningúna)
- Techs | Research: Está interesado en incursionar en temas relacionados a la IA. Tal vez después de mitad de año comience con algo de eso.
- Techs | Recomendations: Por el momento, nada.
- Techs | Recomendations check: No fue necesario por el momento.
- Collaborator | Seniority: 👍 No, es correcto
- Alerts: Por el momento, no.
- Project Needs / Oportunities: Por el momento, no.
- Final notes: El proyecto es muy estable y está bien organizado, por eso está bastante cómodo trabajando en él y no hay novedades que valga la pena resaltar.
- Project Techs | Learning: 0.5
- Project Techs | Difficulty: 4
- Project Changes | Reasons: No hubo cambios.
- Project Role | Value: 4
- Project role | Notes: Como el proyecto está establecido y ya tiene bastante experiencia, y no es fácil incorporar nuevas personas, en este momento su impacto tiene cierta importancia.</v>
      </c>
      <c r="J186" s="4" t="str">
        <f>IFERROR(__xludf.DUMMYFUNCTION("""COMPUTED_VALUE"""),"Tech Referent - OneOnOne")</f>
        <v>Tech Referent - OneOnOne</v>
      </c>
    </row>
    <row r="187" hidden="1">
      <c r="A187" s="4">
        <f>IFERROR(__xludf.DUMMYFUNCTION("""COMPUTED_VALUE"""),260.0)</f>
        <v>260</v>
      </c>
      <c r="B187" s="4" t="str">
        <f>IFERROR(__xludf.DUMMYFUNCTION("""COMPUTED_VALUE"""),"ivan.vasquez")</f>
        <v>ivan.vasquez</v>
      </c>
      <c r="C187" s="5">
        <f>IFERROR(__xludf.DUMMYFUNCTION("""COMPUTED_VALUE"""),45043.692059953704)</f>
        <v>45043.69206</v>
      </c>
      <c r="D187" s="5">
        <f>IFERROR(__xludf.DUMMYFUNCTION("""COMPUTED_VALUE"""),45043.0)</f>
        <v>45043</v>
      </c>
      <c r="E187" s="4" t="str">
        <f>IFERROR(__xludf.DUMMYFUNCTION("""COMPUTED_VALUE"""),"diana.grajales@patagoniansys.com")</f>
        <v>diana.grajales@patagoniansys.com</v>
      </c>
      <c r="F187" s="4" t="str">
        <f>IFERROR(__xludf.DUMMYFUNCTION("""COMPUTED_VALUE"""),"ivan.vasquez@patagoniansys.com")</f>
        <v>ivan.vasquez@patagoniansys.com</v>
      </c>
      <c r="G187" s="4" t="str">
        <f>IFERROR(__xludf.DUMMYFUNCTION("""COMPUTED_VALUE"""),"👋 RRHH")</f>
        <v>👋 RRHH</v>
      </c>
      <c r="H187" s="4" t="str">
        <f>IFERROR(__xludf.DUMMYFUNCTION("""COMPUTED_VALUE"""),"🙂 Feliz")</f>
        <v>🙂 Feliz</v>
      </c>
      <c r="I187" s="6" t="str">
        <f>IFERROR(__xludf.DUMMYFUNCTION("""COMPUTED_VALUE"""),"Ivan lleva 1 año con nosotros 
Le gusta hacer muchas actividades deportivas 
Viaje el siguiente mes hacia Argentina - Va a estar en Buenos Aires y despues a Patagonian.
Le comento a Jessica que es su PM y a Mica que estara en Buenos Aires. 
20 de Mayo - B"&amp;"uenos Aires 
+- 29 Mayo- La Patagonia 
Posiblemente va a visitar las oficina de Roca y estar en el cowork
Proyecto- Esta en Embody trabajo con 5 a 6 Dev, Jessi es su PM y hace poco tuvo su inspection y les fue bien. 
Equipo: Se lleva muy bien el equipo es"&amp;" muy pilo 
Patagonian: Examen de certificación en QA ICQB y lo esta coordinando con ISA Llanos. 
Esta bastante contento con la empresa, tiene un presupuesto para revisar. 
Esta flojo en el tema de ingles ")</f>
        <v>Ivan lleva 1 año con nosotros 
Le gusta hacer muchas actividades deportivas 
Viaje el siguiente mes hacia Argentina - Va a estar en Buenos Aires y despues a Patagonian.
Le comento a Jessica que es su PM y a Mica que estara en Buenos Aires. 
20 de Mayo - Buenos Aires 
+- 29 Mayo- La Patagonia 
Posiblemente va a visitar las oficina de Roca y estar en el cowork
Proyecto- Esta en Embody trabajo con 5 a 6 Dev, Jessi es su PM y hace poco tuvo su inspection y les fue bien. 
Equipo: Se lleva muy bien el equipo es muy pilo 
Patagonian: Examen de certificación en QA ICQB y lo esta coordinando con ISA Llanos. 
Esta bastante contento con la empresa, tiene un presupuesto para revisar. 
Esta flojo en el tema de ingles </v>
      </c>
      <c r="J187" s="4" t="str">
        <f>IFERROR(__xludf.DUMMYFUNCTION("""COMPUTED_VALUE"""),"PX|Referents|RRHH")</f>
        <v>PX|Referents|RRHH</v>
      </c>
    </row>
    <row r="188">
      <c r="A188" s="4">
        <f>IFERROR(__xludf.DUMMYFUNCTION("""COMPUTED_VALUE"""),178.0)</f>
        <v>178</v>
      </c>
      <c r="B188" s="4" t="str">
        <f>IFERROR(__xludf.DUMMYFUNCTION("""COMPUTED_VALUE"""),"julian.perez")</f>
        <v>julian.perez</v>
      </c>
      <c r="C188" s="5">
        <f>IFERROR(__xludf.DUMMYFUNCTION("""COMPUTED_VALUE"""),45043.72582134259)</f>
        <v>45043.72582</v>
      </c>
      <c r="D188" s="5">
        <f>IFERROR(__xludf.DUMMYFUNCTION("""COMPUTED_VALUE"""),45043.0)</f>
        <v>45043</v>
      </c>
      <c r="E188" s="4" t="str">
        <f>IFERROR(__xludf.DUMMYFUNCTION("""COMPUTED_VALUE"""),"martin.castro@patagoniansys.com")</f>
        <v>martin.castro@patagoniansys.com</v>
      </c>
      <c r="F188" s="4" t="str">
        <f>IFERROR(__xludf.DUMMYFUNCTION("""COMPUTED_VALUE"""),"julian.perez@patagonian.com")</f>
        <v>julian.perez@patagonian.com</v>
      </c>
      <c r="G188" s="4" t="str">
        <f>IFERROR(__xludf.DUMMYFUNCTION("""COMPUTED_VALUE"""),"Referent One on One")</f>
        <v>Referent One on One</v>
      </c>
      <c r="H188" s="4"/>
      <c r="I188" s="6" t="str">
        <f>IFERROR(__xludf.DUMMYFUNCTION("""COMPUTED_VALUE"""),"- Interviewee e-Mail: julian.perez@patagonian.com
- Project Status Check: Terminaron el médulo de ""Search Orders"" - Integraron Microsoft Graph API - No necesita ayuda
- Project Role | Feeling: 5
- Extra Work Hours | Amount: 0 (Ningúna)
- Techs | Researc"&amp;"h: prompt engineering
- Techs | Recomendations: Capacitaciones de ""prompt engineering"" de platzi
- Collaborator | Seniority: 👍 No, es correcto
- Project Techs | Learning: 3
- Techs | Research: 8
- Project Techs | Difficulty: 5
- Project Changes | Reaso"&amp;"ns: 🟰 No hubo cambios
- Project Role | Value: 5
- Project role | Notes: Se siente productivo para crear el producto rapidamente")</f>
        <v>- Interviewee e-Mail: julian.perez@patagonian.com
- Project Status Check: Terminaron el médulo de "Search Orders" - Integraron Microsoft Graph API - No necesita ayuda
- Project Role | Feeling: 5
- Extra Work Hours | Amount: 0 (Ningúna)
- Techs | Research: prompt engineering
- Techs | Recomendations: Capacitaciones de "prompt engineering" de platzi
- Collaborator | Seniority: 👍 No, es correcto
- Project Techs | Learning: 3
- Techs | Research: 8
- Project Techs | Difficulty: 5
- Project Changes | Reasons: 🟰 No hubo cambios
- Project Role | Value: 5
- Project role | Notes: Se siente productivo para crear el producto rapidamente</v>
      </c>
      <c r="J188" s="4" t="str">
        <f>IFERROR(__xludf.DUMMYFUNCTION("""COMPUTED_VALUE"""),"Tech Referent - OneOnOne")</f>
        <v>Tech Referent - OneOnOne</v>
      </c>
    </row>
    <row r="189" hidden="1">
      <c r="A189" s="4">
        <f>IFERROR(__xludf.DUMMYFUNCTION("""COMPUTED_VALUE"""),297.0)</f>
        <v>297</v>
      </c>
      <c r="B189" s="4" t="str">
        <f>IFERROR(__xludf.DUMMYFUNCTION("""COMPUTED_VALUE"""),"charly.palencia")</f>
        <v>charly.palencia</v>
      </c>
      <c r="C189" s="5">
        <f>IFERROR(__xludf.DUMMYFUNCTION("""COMPUTED_VALUE"""),45050.513103564816)</f>
        <v>45050.5131</v>
      </c>
      <c r="D189" s="5">
        <f>IFERROR(__xludf.DUMMYFUNCTION("""COMPUTED_VALUE"""),45043.0)</f>
        <v>45043</v>
      </c>
      <c r="E189" s="4" t="str">
        <f>IFERROR(__xludf.DUMMYFUNCTION("""COMPUTED_VALUE"""),"marcela.benavides@patagoniansys.com")</f>
        <v>marcela.benavides@patagoniansys.com</v>
      </c>
      <c r="F189" s="4" t="str">
        <f>IFERROR(__xludf.DUMMYFUNCTION("""COMPUTED_VALUE"""),"charly.palencia@patagoniansys.com")</f>
        <v>charly.palencia@patagoniansys.com</v>
      </c>
      <c r="G189" s="4" t="str">
        <f>IFERROR(__xludf.DUMMYFUNCTION("""COMPUTED_VALUE"""),"⏱ One on One")</f>
        <v>⏱ One on One</v>
      </c>
      <c r="H189" s="4" t="str">
        <f>IFERROR(__xludf.DUMMYFUNCTION("""COMPUTED_VALUE"""),"😀 Sumamente Feliz")</f>
        <v>😀 Sumamente Feliz</v>
      </c>
      <c r="I189" s="6" t="str">
        <f>IFERROR(__xludf.DUMMYFUNCTION("""COMPUTED_VALUE"""),"Expresó que está llevando bien el estar solo medio tiempo en el proyecto, han reducido las llamadas así que el tiempo en el que esta se dedica al proyecto como tal. Los horarios medio tiempo en los que se encuentra trabajando son de 11:00 am a 3:00 pm Col"&amp;". 
En su proyecto a veces no hay tareas de backend por lo solicito pasarse a tareas de typescript y así involucrarse más en la parte de frontend que muchas veces cuenta con más tareas.")</f>
        <v>Expresó que está llevando bien el estar solo medio tiempo en el proyecto, han reducido las llamadas así que el tiempo en el que esta se dedica al proyecto como tal. Los horarios medio tiempo en los que se encuentra trabajando son de 11:00 am a 3:00 pm Col. 
En su proyecto a veces no hay tareas de backend por lo solicito pasarse a tareas de typescript y así involucrarse más en la parte de frontend que muchas veces cuenta con más tareas.</v>
      </c>
      <c r="J189" s="4" t="str">
        <f>IFERROR(__xludf.DUMMYFUNCTION("""COMPUTED_VALUE"""),"PX|Referents|RRHH")</f>
        <v>PX|Referents|RRHH</v>
      </c>
    </row>
    <row r="190">
      <c r="A190" s="4">
        <f>IFERROR(__xludf.DUMMYFUNCTION("""COMPUTED_VALUE"""),284.0)</f>
        <v>284</v>
      </c>
      <c r="B190" s="4" t="str">
        <f>IFERROR(__xludf.DUMMYFUNCTION("""COMPUTED_VALUE"""),"emmanuel.trassani")</f>
        <v>emmanuel.trassani</v>
      </c>
      <c r="C190" s="5">
        <f>IFERROR(__xludf.DUMMYFUNCTION("""COMPUTED_VALUE"""),45044.435273310184)</f>
        <v>45044.43527</v>
      </c>
      <c r="D190" s="5">
        <f>IFERROR(__xludf.DUMMYFUNCTION("""COMPUTED_VALUE"""),45044.0)</f>
        <v>45044</v>
      </c>
      <c r="E190" s="4" t="str">
        <f>IFERROR(__xludf.DUMMYFUNCTION("""COMPUTED_VALUE"""),"juan.calou@patagoniansys.com")</f>
        <v>juan.calou@patagoniansys.com</v>
      </c>
      <c r="F190" s="4" t="str">
        <f>IFERROR(__xludf.DUMMYFUNCTION("""COMPUTED_VALUE"""),"emmanuel.trassani@patagoniansys.com")</f>
        <v>emmanuel.trassani@patagoniansys.com</v>
      </c>
      <c r="G190" s="4" t="str">
        <f>IFERROR(__xludf.DUMMYFUNCTION("""COMPUTED_VALUE"""),"Initial gathering")</f>
        <v>Initial gathering</v>
      </c>
      <c r="H190" s="4"/>
      <c r="I190" s="6" t="str">
        <f>IFERROR(__xludf.DUMMYFUNCTION("""COMPUTED_VALUE"""),"- Interviewee e-Mail: emmanuel.trassani@patagoniansys.com
- Project name: Rhebus
- Project | Role: Frontend Developer
- Project | Description: Es una pagina de stream donde los users pueden cargar su contenido y eso lo reproducimos en distintos dispositiv"&amp;"os. En roku y ahora en amazon prime tv.
- Project | technologies: vue, nodejs, mongoose
- Happiness in project technology: 🙂 Feliz
- Happiness in project technology | Description: pug no le gusta tanto
- Project | The best/coolest thing: equipo de trabaj"&amp;"o, comunicacion
- Project | The worst thing: usan pug
- Project | Improvements: Me gustaria poder migrar de pug a html. Hay codigo viejo. Algunas tecnologias deprecadas.
- Team | TL: Mauri Lahitte
- Team | PX: Hernan Muras
- Team | QA: 1
- Team | QA Autom"&amp;"ation: 👍 Si
- Team | QA | Notes: Gero Cornu
- Team | UI/UX: 0
- Team | DevOps: 0
- Team | Data Engineer: 0")</f>
        <v>- Interviewee e-Mail: emmanuel.trassani@patagoniansys.com
- Project name: Rhebus
- Project | Role: Frontend Developer
- Project | Description: Es una pagina de stream donde los users pueden cargar su contenido y eso lo reproducimos en distintos dispositivos. En roku y ahora en amazon prime tv.
- Project | technologies: vue, nodejs, mongoose
- Happiness in project technology: 🙂 Feliz
- Happiness in project technology | Description: pug no le gusta tanto
- Project | The best/coolest thing: equipo de trabajo, comunicacion
- Project | The worst thing: usan pug
- Project | Improvements: Me gustaria poder migrar de pug a html. Hay codigo viejo. Algunas tecnologias deprecadas.
- Team | TL: Mauri Lahitte
- Team | PX: Hernan Muras
- Team | QA: 1
- Team | QA Automation: 👍 Si
- Team | QA | Notes: Gero Cornu
- Team | UI/UX: 0
- Team | DevOps: 0
- Team | Data Engineer: 0</v>
      </c>
      <c r="J190" s="4" t="str">
        <f>IFERROR(__xludf.DUMMYFUNCTION("""COMPUTED_VALUE"""),"Tech Referent - Initial gathering")</f>
        <v>Tech Referent - Initial gathering</v>
      </c>
    </row>
    <row r="191">
      <c r="A191" s="4">
        <f>IFERROR(__xludf.DUMMYFUNCTION("""COMPUTED_VALUE"""),204.0)</f>
        <v>204</v>
      </c>
      <c r="B191" s="4" t="str">
        <f>IFERROR(__xludf.DUMMYFUNCTION("""COMPUTED_VALUE"""),"luisa.fernandez")</f>
        <v>luisa.fernandez</v>
      </c>
      <c r="C191" s="5">
        <f>IFERROR(__xludf.DUMMYFUNCTION("""COMPUTED_VALUE"""),45044.46993208333)</f>
        <v>45044.46993</v>
      </c>
      <c r="D191" s="5">
        <f>IFERROR(__xludf.DUMMYFUNCTION("""COMPUTED_VALUE"""),45044.0)</f>
        <v>45044</v>
      </c>
      <c r="E191" s="4" t="str">
        <f>IFERROR(__xludf.DUMMYFUNCTION("""COMPUTED_VALUE"""),"martin.infante@patagoniansys.com")</f>
        <v>martin.infante@patagoniansys.com</v>
      </c>
      <c r="F191" s="4" t="str">
        <f>IFERROR(__xludf.DUMMYFUNCTION("""COMPUTED_VALUE"""),"luisa.fernandez@patagoniansys.com")</f>
        <v>luisa.fernandez@patagoniansys.com</v>
      </c>
      <c r="G191" s="4" t="str">
        <f>IFERROR(__xludf.DUMMYFUNCTION("""COMPUTED_VALUE"""),"Referent One on One")</f>
        <v>Referent One on One</v>
      </c>
      <c r="H191" s="4"/>
      <c r="I191" s="6" t="str">
        <f>IFERROR(__xludf.DUMMYFUNCTION("""COMPUTED_VALUE"""),"- Interviewee e-Mail: luisa.fernandez@patagoniansys.com
- Project Status Check: El proyecto se enfocaba en la exploracion y no habia realmente exigencias tecnicas o dead lines. Un breve comentario es que el proyecto termino el dia previo a esta reunion.
-"&amp;" Project Changes | Notes: Le hubiera gustado que el proyecto sea un poco mas largo. Esta a la espera de un nuevo proyecto en bench.
- Project Role | Feeling: 5
- Extra Work Hours | Amount: 0 (Ningúna)
- Techs | Research: Tiene interes en realizar un posgr"&amp;"ado sobre inteligencia artificial.
- Techs | Recomendations: Snowflake Hands on Essential
- Collaborator | Seniority: 👍 No, es correcto
- Project Techs | Learning: 8
- Project Techs | Difficulty: 3
- Project Changes | Reasons: El proyecto finalizo el dia"&amp;" previo a esta reunion.
- Project Role | Value: 5
- Project role | Notes: Noto mucho crecimiento en nuevas tecnologias y mejoras en sus habilidades en Python.")</f>
        <v>- Interviewee e-Mail: luisa.fernandez@patagoniansys.com
- Project Status Check: El proyecto se enfocaba en la exploracion y no habia realmente exigencias tecnicas o dead lines. Un breve comentario es que el proyecto termino el dia previo a esta reunion.
- Project Changes | Notes: Le hubiera gustado que el proyecto sea un poco mas largo. Esta a la espera de un nuevo proyecto en bench.
- Project Role | Feeling: 5
- Extra Work Hours | Amount: 0 (Ningúna)
- Techs | Research: Tiene interes en realizar un posgrado sobre inteligencia artificial.
- Techs | Recomendations: Snowflake Hands on Essential
- Collaborator | Seniority: 👍 No, es correcto
- Project Techs | Learning: 8
- Project Techs | Difficulty: 3
- Project Changes | Reasons: El proyecto finalizo el dia previo a esta reunion.
- Project Role | Value: 5
- Project role | Notes: Noto mucho crecimiento en nuevas tecnologias y mejoras en sus habilidades en Python.</v>
      </c>
      <c r="J191" s="4" t="str">
        <f>IFERROR(__xludf.DUMMYFUNCTION("""COMPUTED_VALUE"""),"Tech Referent - OneOnOne")</f>
        <v>Tech Referent - OneOnOne</v>
      </c>
    </row>
    <row r="192">
      <c r="A192" s="4">
        <f>IFERROR(__xludf.DUMMYFUNCTION("""COMPUTED_VALUE"""),201.0)</f>
        <v>201</v>
      </c>
      <c r="B192" s="4" t="str">
        <f>IFERROR(__xludf.DUMMYFUNCTION("""COMPUTED_VALUE"""),"daniel.cardenas")</f>
        <v>daniel.cardenas</v>
      </c>
      <c r="C192" s="5">
        <f>IFERROR(__xludf.DUMMYFUNCTION("""COMPUTED_VALUE"""),45044.70854726852)</f>
        <v>45044.70855</v>
      </c>
      <c r="D192" s="5">
        <f>IFERROR(__xludf.DUMMYFUNCTION("""COMPUTED_VALUE"""),45044.0)</f>
        <v>45044</v>
      </c>
      <c r="E192" s="4" t="str">
        <f>IFERROR(__xludf.DUMMYFUNCTION("""COMPUTED_VALUE"""),"edgar.bonilla@patagoniansys.com")</f>
        <v>edgar.bonilla@patagoniansys.com</v>
      </c>
      <c r="F192" s="4" t="str">
        <f>IFERROR(__xludf.DUMMYFUNCTION("""COMPUTED_VALUE"""),"daniel.cardenas@patagoniansys.com")</f>
        <v>daniel.cardenas@patagoniansys.com</v>
      </c>
      <c r="G192" s="4" t="str">
        <f>IFERROR(__xludf.DUMMYFUNCTION("""COMPUTED_VALUE"""),"Referent One on One")</f>
        <v>Referent One on One</v>
      </c>
      <c r="H192" s="4"/>
      <c r="I192" s="6" t="str">
        <f>IFERROR(__xludf.DUMMYFUNCTION("""COMPUTED_VALUE"""),"- Interviewee e-Mail: daniel.cardenas@patagoniansys.com
- Project Status Check: Front-end con Angular. Si bien ha ideo aprendiendo, siente que no puede afrontar tareas muy complejas ya que es una tecnología totalmente nueva para él, pero que por las circu"&amp;"nstancias del proyecto ha empezado a manejar.
- Project Changes | Notes: Dado que la aplicación movil ya la van a dar de baja completamente, su rol en el proyecto dejó de ser de desarrollador mobile a apoyar ciertos requerimientos en la parte front-end we"&amp;"b. Por un lado sintió un bajón de ánimo con esa decisión, pero también valoró y le gustó que del lado del cliente no prescindieran de él sino que le encontraron un lugar donde pudiera seguir aportando. Así mismo, se siente muy bien en Patagonian y esa es "&amp;"la motivación principal de seguir aportando al proyecto.
Por el lado específico del cliente ha notado como algunas personas claves se han ido (sin saber la razón, no sabe si renunciaron o los echaron) y hay mucho know-how de la plataforma que se ha ido c"&amp;"on esas personas.
- Project Role | Feeling: 2
- Extra Work Hours | Amount: 0 (Ningúna)
- Techs | Research: Tiene interés en el área de Inteligencia Artificial y en continuar su carrera bien sea con React Native, React.js o incluso Android nativo.
- Collab"&amp;"orator | Seniority: 👍 No, es correcto
- Alerts: Angular es una tecnología con la que no disfruta mucho trabajando y en la cual no piensa especializarse en un futuro, por lo cual manifiesta que la viene aprendiendo para resolver los requerimientos del pro"&amp;"yecto pero que en un futuro quisiera trabajar en otro proyecto o tecnología como React Native, React.js o incluso Android nativo.
En cuanto a Motivación respecto al proyecto y el cliente, es neutral, está en un estado plano. Sin embargo, cabe resaltar qu"&amp;"e en cuanto a Patagonian sigue estando muy contento en la empresa. Y esa es la principal razón que lo mantiene con interés en seguir contribuyendo con sus conocimientos y habilidades al proyecto, y también no siente la necesidad urgente de querer un cambi"&amp;"o de proyecto o tecnología, pero sí manifiesta que lo quisiera en un futuro si el proyecto sigue así.
- Project Needs / Oportunities: La empresa podría proveer desarrolladores con expertise en Angular teniendo en cuenta las nuevas necesidades del proyecto"&amp;". Así mismo encontrar un lugar para Daniel en otro proyecto con alguna de las tecnologías que prefiere y cubrir su posición con un desarrollador Angular.
- Project Techs | Learning: 40
- Techs | Research: 2
- Project Techs | Difficulty: 2
- Project Change"&amp;"s | Reasons: ⬇️ Reducción del equipo, 🔀 Cambio de roles dentro del equipo, 🏁 Cambios en los objetivos
- Project Changes | Personal Impact: 3
- Project Role | Value: 2
- Project role | Notes: Como Angular es una tecnología totalmente nueva para él, sient"&amp;"e que ha sido complicado agregar valor al proyecto pero ha encontrado la manera de hacerlo y siente que su trabajo dentro del proyecto está siendo valorado. De todos modos, Angular es una tecnología con la que no disfruta mucho trabajando y en la cual no "&amp;"piensa especializarse en un futuro, por lo cual manifiesta que la viene aprendiendo para resolver los requerimientos del proyecto pero que en un futuro quisiera trabajar en otro proyecto o tecnología.")</f>
        <v>- Interviewee e-Mail: daniel.cardenas@patagoniansys.com
- Project Status Check: Front-end con Angular. Si bien ha ideo aprendiendo, siente que no puede afrontar tareas muy complejas ya que es una tecnología totalmente nueva para él, pero que por las circunstancias del proyecto ha empezado a manejar.
- Project Changes | Notes: Dado que la aplicación movil ya la van a dar de baja completamente, su rol en el proyecto dejó de ser de desarrollador mobile a apoyar ciertos requerimientos en la parte front-end web. Por un lado sintió un bajón de ánimo con esa decisión, pero también valoró y le gustó que del lado del cliente no prescindieran de él sino que le encontraron un lugar donde pudiera seguir aportando. Así mismo, se siente muy bien en Patagonian y esa es la motivación principal de seguir aportando al proyecto.
Por el lado específico del cliente ha notado como algunas personas claves se han ido (sin saber la razón, no sabe si renunciaron o los echaron) y hay mucho know-how de la plataforma que se ha ido con esas personas.
- Project Role | Feeling: 2
- Extra Work Hours | Amount: 0 (Ningúna)
- Techs | Research: Tiene interés en el área de Inteligencia Artificial y en continuar su carrera bien sea con React Native, React.js o incluso Android nativo.
- Collaborator | Seniority: 👍 No, es correcto
- Alerts: Angular es una tecnología con la que no disfruta mucho trabajando y en la cual no piensa especializarse en un futuro, por lo cual manifiesta que la viene aprendiendo para resolver los requerimientos del proyecto pero que en un futuro quisiera trabajar en otro proyecto o tecnología como React Native, React.js o incluso Android nativo.
En cuanto a Motivación respecto al proyecto y el cliente, es neutral, está en un estado plano. Sin embargo, cabe resaltar que en cuanto a Patagonian sigue estando muy contento en la empresa. Y esa es la principal razón que lo mantiene con interés en seguir contribuyendo con sus conocimientos y habilidades al proyecto, y también no siente la necesidad urgente de querer un cambio de proyecto o tecnología, pero sí manifiesta que lo quisiera en un futuro si el proyecto sigue así.
- Project Needs / Oportunities: La empresa podría proveer desarrolladores con expertise en Angular teniendo en cuenta las nuevas necesidades del proyecto. Así mismo encontrar un lugar para Daniel en otro proyecto con alguna de las tecnologías que prefiere y cubrir su posición con un desarrollador Angular.
- Project Techs | Learning: 40
- Techs | Research: 2
- Project Techs | Difficulty: 2
- Project Changes | Reasons: ⬇️ Reducción del equipo, 🔀 Cambio de roles dentro del equipo, 🏁 Cambios en los objetivos
- Project Changes | Personal Impact: 3
- Project Role | Value: 2
- Project role | Notes: Como Angular es una tecnología totalmente nueva para él, siente que ha sido complicado agregar valor al proyecto pero ha encontrado la manera de hacerlo y siente que su trabajo dentro del proyecto está siendo valorado. De todos modos, Angular es una tecnología con la que no disfruta mucho trabajando y en la cual no piensa especializarse en un futuro, por lo cual manifiesta que la viene aprendiendo para resolver los requerimientos del proyecto pero que en un futuro quisiera trabajar en otro proyecto o tecnología.</v>
      </c>
      <c r="J192" s="4" t="str">
        <f>IFERROR(__xludf.DUMMYFUNCTION("""COMPUTED_VALUE"""),"Tech Referent - OneOnOne")</f>
        <v>Tech Referent - OneOnOne</v>
      </c>
    </row>
    <row r="193" hidden="1">
      <c r="A193" s="4">
        <f>IFERROR(__xludf.DUMMYFUNCTION("""COMPUTED_VALUE"""),39.0)</f>
        <v>39</v>
      </c>
      <c r="B193" s="4" t="str">
        <f>IFERROR(__xludf.DUMMYFUNCTION("""COMPUTED_VALUE"""),"cristian.nadj")</f>
        <v>cristian.nadj</v>
      </c>
      <c r="C193" s="5">
        <f>IFERROR(__xludf.DUMMYFUNCTION("""COMPUTED_VALUE"""),45044.73290164352)</f>
        <v>45044.7329</v>
      </c>
      <c r="D193" s="5">
        <f>IFERROR(__xludf.DUMMYFUNCTION("""COMPUTED_VALUE"""),45044.0)</f>
        <v>45044</v>
      </c>
      <c r="E193" s="4" t="str">
        <f>IFERROR(__xludf.DUMMYFUNCTION("""COMPUTED_VALUE"""),"micaela.zorzetto@patagoniansys.com")</f>
        <v>micaela.zorzetto@patagoniansys.com</v>
      </c>
      <c r="F193" s="4" t="str">
        <f>IFERROR(__xludf.DUMMYFUNCTION("""COMPUTED_VALUE"""),"cristian.nadj@patagoniansys.com")</f>
        <v>cristian.nadj@patagoniansys.com</v>
      </c>
      <c r="G193" s="4" t="str">
        <f>IFERROR(__xludf.DUMMYFUNCTION("""COMPUTED_VALUE"""),"⏱ One on One")</f>
        <v>⏱ One on One</v>
      </c>
      <c r="H193" s="4" t="str">
        <f>IFERROR(__xludf.DUMMYFUNCTION("""COMPUTED_VALUE"""),"🙂 Feliz")</f>
        <v>🙂 Feliz</v>
      </c>
      <c r="I193" s="6" t="str">
        <f>IFERROR(__xludf.DUMMYFUNCTION("""COMPUTED_VALUE"""),"
Proyecto: esta bien, ahora en una semana termina el proyecto donde está (Ntopology). 
Empresa: se siente bien, siempre se sintió acompañado y contenido, 
Capacitación: esta siempre realizando cursos en udemy o platzi. 
Me comentó que le gustaría tener e"&amp;"l panorama más claro de como va a ser su futuro en la empresa, siente que no tiene seguridad a donde va cada vez que un proyecto finaliza. ")</f>
        <v>
Proyecto: esta bien, ahora en una semana termina el proyecto donde está (Ntopology). 
Empresa: se siente bien, siempre se sintió acompañado y contenido, 
Capacitación: esta siempre realizando cursos en udemy o platzi. 
Me comentó que le gustaría tener el panorama más claro de como va a ser su futuro en la empresa, siente que no tiene seguridad a donde va cada vez que un proyecto finaliza. </v>
      </c>
      <c r="J193" s="4" t="str">
        <f>IFERROR(__xludf.DUMMYFUNCTION("""COMPUTED_VALUE"""),"PX|Referents|RRHH")</f>
        <v>PX|Referents|RRHH</v>
      </c>
    </row>
    <row r="194" hidden="1">
      <c r="A194" s="4">
        <f>IFERROR(__xludf.DUMMYFUNCTION("""COMPUTED_VALUE"""),272.0)</f>
        <v>272</v>
      </c>
      <c r="B194" s="4" t="str">
        <f>IFERROR(__xludf.DUMMYFUNCTION("""COMPUTED_VALUE"""),"santiago.grossi")</f>
        <v>santiago.grossi</v>
      </c>
      <c r="C194" s="5">
        <f>IFERROR(__xludf.DUMMYFUNCTION("""COMPUTED_VALUE"""),45058.76139667824)</f>
        <v>45058.7614</v>
      </c>
      <c r="D194" s="5">
        <f>IFERROR(__xludf.DUMMYFUNCTION("""COMPUTED_VALUE"""),45044.0)</f>
        <v>45044</v>
      </c>
      <c r="E194" s="4" t="str">
        <f>IFERROR(__xludf.DUMMYFUNCTION("""COMPUTED_VALUE"""),"jimena.gutierrez@patagoniansys.com")</f>
        <v>jimena.gutierrez@patagoniansys.com</v>
      </c>
      <c r="F194" s="4" t="str">
        <f>IFERROR(__xludf.DUMMYFUNCTION("""COMPUTED_VALUE"""),"santiago.grossi@patagoniansys.com")</f>
        <v>santiago.grossi@patagoniansys.com</v>
      </c>
      <c r="G194" s="4" t="str">
        <f>IFERROR(__xludf.DUMMYFUNCTION("""COMPUTED_VALUE"""),"⏱ One on One")</f>
        <v>⏱ One on One</v>
      </c>
      <c r="H194" s="4" t="str">
        <f>IFERROR(__xludf.DUMMYFUNCTION("""COMPUTED_VALUE"""),"🙁 Poco Feliz")</f>
        <v>🙁 Poco Feliz</v>
      </c>
      <c r="I194" s="6" t="str">
        <f>IFERROR(__xludf.DUMMYFUNCTION("""COMPUTED_VALUE"""),"Esta cómodo con el equipo de trabajo y quiere seguir el proyecto mucho más tiempo.
Mencionó que considera que su sueldo es bajo en el mercado y que espera que los próximos ajustes de sueldos alcancen sus expectativas.")</f>
        <v>Esta cómodo con el equipo de trabajo y quiere seguir el proyecto mucho más tiempo.
Mencionó que considera que su sueldo es bajo en el mercado y que espera que los próximos ajustes de sueldos alcancen sus expectativas.</v>
      </c>
      <c r="J194" s="4" t="str">
        <f>IFERROR(__xludf.DUMMYFUNCTION("""COMPUTED_VALUE"""),"PX|Referents|RRHH")</f>
        <v>PX|Referents|RRHH</v>
      </c>
    </row>
    <row r="195" hidden="1">
      <c r="A195" s="4">
        <f>IFERROR(__xludf.DUMMYFUNCTION("""COMPUTED_VALUE"""),73.0)</f>
        <v>73</v>
      </c>
      <c r="B195" s="4" t="str">
        <f>IFERROR(__xludf.DUMMYFUNCTION("""COMPUTED_VALUE"""),"andres.attwell")</f>
        <v>andres.attwell</v>
      </c>
      <c r="C195" s="5">
        <f>IFERROR(__xludf.DUMMYFUNCTION("""COMPUTED_VALUE"""),45058.76739337963)</f>
        <v>45058.76739</v>
      </c>
      <c r="D195" s="5">
        <f>IFERROR(__xludf.DUMMYFUNCTION("""COMPUTED_VALUE"""),45044.0)</f>
        <v>45044</v>
      </c>
      <c r="E195" s="4" t="str">
        <f>IFERROR(__xludf.DUMMYFUNCTION("""COMPUTED_VALUE"""),"jimena.gutierrez@patagoniansys.com")</f>
        <v>jimena.gutierrez@patagoniansys.com</v>
      </c>
      <c r="F195" s="4" t="str">
        <f>IFERROR(__xludf.DUMMYFUNCTION("""COMPUTED_VALUE"""),"andres.attwell@patagoniansys.com")</f>
        <v>andres.attwell@patagoniansys.com</v>
      </c>
      <c r="G195" s="4" t="str">
        <f>IFERROR(__xludf.DUMMYFUNCTION("""COMPUTED_VALUE"""),"⏱ One on One")</f>
        <v>⏱ One on One</v>
      </c>
      <c r="H195" s="4" t="str">
        <f>IFERROR(__xludf.DUMMYFUNCTION("""COMPUTED_VALUE"""),"🙂 Feliz")</f>
        <v>🙂 Feliz</v>
      </c>
      <c r="I195" s="6" t="str">
        <f>IFERROR(__xludf.DUMMYFUNCTION("""COMPUTED_VALUE"""),"Con el proyecto y el equipo esta contento. Se siente desorganizado en cosas de TL
y que le falta conocimiento. Ayuda a los chicos y soluciona y  destraba cosas.")</f>
        <v>Con el proyecto y el equipo esta contento. Se siente desorganizado en cosas de TL
y que le falta conocimiento. Ayuda a los chicos y soluciona y  destraba cosas.</v>
      </c>
      <c r="J195" s="4" t="str">
        <f>IFERROR(__xludf.DUMMYFUNCTION("""COMPUTED_VALUE"""),"PX|Referents|RRHH")</f>
        <v>PX|Referents|RRHH</v>
      </c>
    </row>
    <row r="196" hidden="1">
      <c r="A196" s="4">
        <f>IFERROR(__xludf.DUMMYFUNCTION("""COMPUTED_VALUE"""),248.0)</f>
        <v>248</v>
      </c>
      <c r="B196" s="4" t="str">
        <f>IFERROR(__xludf.DUMMYFUNCTION("""COMPUTED_VALUE"""),"geronimo.cornou")</f>
        <v>geronimo.cornou</v>
      </c>
      <c r="C196" s="5">
        <f>IFERROR(__xludf.DUMMYFUNCTION("""COMPUTED_VALUE"""),45048.69301181713)</f>
        <v>45048.69301</v>
      </c>
      <c r="D196" s="5">
        <f>IFERROR(__xludf.DUMMYFUNCTION("""COMPUTED_VALUE"""),45048.0)</f>
        <v>45048</v>
      </c>
      <c r="E196" s="4" t="str">
        <f>IFERROR(__xludf.DUMMYFUNCTION("""COMPUTED_VALUE"""),"micaela.zorzetto@patagoniansys.com")</f>
        <v>micaela.zorzetto@patagoniansys.com</v>
      </c>
      <c r="F196" s="4" t="str">
        <f>IFERROR(__xludf.DUMMYFUNCTION("""COMPUTED_VALUE"""),"geronimo.cornou@patagoniansys.com")</f>
        <v>geronimo.cornou@patagoniansys.com</v>
      </c>
      <c r="G196" s="4" t="str">
        <f>IFERROR(__xludf.DUMMYFUNCTION("""COMPUTED_VALUE"""),"⏱ One on One")</f>
        <v>⏱ One on One</v>
      </c>
      <c r="H196" s="4" t="str">
        <f>IFERROR(__xludf.DUMMYFUNCTION("""COMPUTED_VALUE"""),"🙂 Feliz")</f>
        <v>🙂 Feliz</v>
      </c>
      <c r="I196" s="6" t="str">
        <f>IFERROR(__xludf.DUMMYFUNCTION("""COMPUTED_VALUE"""),"Esta muy conento en el proyecto, y con el equipo. Ahora estan avanzando en ampliaciones que solicito el cliente. 
Se siente muy bien en la empresa.")</f>
        <v>Esta muy conento en el proyecto, y con el equipo. Ahora estan avanzando en ampliaciones que solicito el cliente. 
Se siente muy bien en la empresa.</v>
      </c>
      <c r="J196" s="4" t="str">
        <f>IFERROR(__xludf.DUMMYFUNCTION("""COMPUTED_VALUE"""),"PX|Referents|RRHH")</f>
        <v>PX|Referents|RRHH</v>
      </c>
    </row>
    <row r="197" hidden="1">
      <c r="A197" s="4">
        <f>IFERROR(__xludf.DUMMYFUNCTION("""COMPUTED_VALUE"""),224.0)</f>
        <v>224</v>
      </c>
      <c r="B197" s="4" t="str">
        <f>IFERROR(__xludf.DUMMYFUNCTION("""COMPUTED_VALUE"""),"luciano.fuentes")</f>
        <v>luciano.fuentes</v>
      </c>
      <c r="C197" s="5">
        <f>IFERROR(__xludf.DUMMYFUNCTION("""COMPUTED_VALUE"""),45049.7311600463)</f>
        <v>45049.73116</v>
      </c>
      <c r="D197" s="5">
        <f>IFERROR(__xludf.DUMMYFUNCTION("""COMPUTED_VALUE"""),45049.0)</f>
        <v>45049</v>
      </c>
      <c r="E197" s="4" t="str">
        <f>IFERROR(__xludf.DUMMYFUNCTION("""COMPUTED_VALUE"""),"micaela.zorzetto@patagoniansys.com")</f>
        <v>micaela.zorzetto@patagoniansys.com</v>
      </c>
      <c r="F197" s="4" t="str">
        <f>IFERROR(__xludf.DUMMYFUNCTION("""COMPUTED_VALUE"""),"luciano.fuentes@patagoniansys.com")</f>
        <v>luciano.fuentes@patagoniansys.com</v>
      </c>
      <c r="G197" s="4" t="str">
        <f>IFERROR(__xludf.DUMMYFUNCTION("""COMPUTED_VALUE"""),"⏱ One on One")</f>
        <v>⏱ One on One</v>
      </c>
      <c r="H197" s="4" t="str">
        <f>IFERROR(__xludf.DUMMYFUNCTION("""COMPUTED_VALUE"""),"🙂 Feliz")</f>
        <v>🙂 Feliz</v>
      </c>
      <c r="I197" s="6" t="str">
        <f>IFERROR(__xludf.DUMMYFUNCTION("""COMPUTED_VALUE"""),"Esta muy contento en el proyecto, ahora el cliente le solicito que tome también el liderazgo de un equipo de Halli México. 
Tiene que realizarse la visa porque es muy probable que  deba viajar a EEUU en septiembre por pedido del cliente para programar una"&amp;" programa que desarrollaron en los sistemas que tiene en ese pais.")</f>
        <v>Esta muy contento en el proyecto, ahora el cliente le solicito que tome también el liderazgo de un equipo de Halli México. 
Tiene que realizarse la visa porque es muy probable que  deba viajar a EEUU en septiembre por pedido del cliente para programar una programa que desarrollaron en los sistemas que tiene en ese pais.</v>
      </c>
      <c r="J197" s="4" t="str">
        <f>IFERROR(__xludf.DUMMYFUNCTION("""COMPUTED_VALUE"""),"PX|Referents|RRHH")</f>
        <v>PX|Referents|RRHH</v>
      </c>
    </row>
    <row r="198" hidden="1">
      <c r="A198" s="4">
        <f>IFERROR(__xludf.DUMMYFUNCTION("""COMPUTED_VALUE"""),177.0)</f>
        <v>177</v>
      </c>
      <c r="B198" s="4" t="str">
        <f>IFERROR(__xludf.DUMMYFUNCTION("""COMPUTED_VALUE"""),"juan.marin")</f>
        <v>juan.marin</v>
      </c>
      <c r="C198" s="5">
        <f>IFERROR(__xludf.DUMMYFUNCTION("""COMPUTED_VALUE"""),45049.759984629636)</f>
        <v>45049.75998</v>
      </c>
      <c r="D198" s="5">
        <f>IFERROR(__xludf.DUMMYFUNCTION("""COMPUTED_VALUE"""),45049.0)</f>
        <v>45049</v>
      </c>
      <c r="E198" s="4" t="str">
        <f>IFERROR(__xludf.DUMMYFUNCTION("""COMPUTED_VALUE"""),"juan.villamizar@patagoniansys.com")</f>
        <v>juan.villamizar@patagoniansys.com</v>
      </c>
      <c r="F198" s="4" t="str">
        <f>IFERROR(__xludf.DUMMYFUNCTION("""COMPUTED_VALUE"""),"juan.marin@patagoniansys.com")</f>
        <v>juan.marin@patagoniansys.com</v>
      </c>
      <c r="G198" s="4" t="str">
        <f>IFERROR(__xludf.DUMMYFUNCTION("""COMPUTED_VALUE"""),"⏱ One on One")</f>
        <v>⏱ One on One</v>
      </c>
      <c r="H198" s="4" t="str">
        <f>IFERROR(__xludf.DUMMYFUNCTION("""COMPUTED_VALUE"""),"😐 Indiferente")</f>
        <v>😐 Indiferente</v>
      </c>
      <c r="I198" s="6" t="str">
        <f>IFERROR(__xludf.DUMMYFUNCTION("""COMPUTED_VALUE"""),"En general bien, no ha tenido bloqueos. A la espera de horarios de disponibilidad del cliente para poder ir haciendo. Solamente tienen que ejecutar el plan con Jian porque el plan ya se le entregó al cliente, solamente hizo unos comentarios pero se realiz"&amp;"aron. No siente que la parte técnica no hubo aporte al proyecto por las tareas relacionadas en la parte técnica, que eran más de soporte. Razón por estar indiferente, por las asignaciones de las tareas con el cliente. Se sintió decepcionado porque le vend"&amp;"ieron el proyecto de una forma y finalmente fue otra. La pm era Flor Costas. Nunca tuvo un job description, hizo reunion técnica y le gustó por que era un cliente en ingles pero nunca supo que era lo que iba a hacer, también lo motivó el hecho de que hubi"&amp;"era un Devop senior. Técnicamente Juan David ha tenido buenos feedbacks del cliente como parte fundamental del equipo.")</f>
        <v>En general bien, no ha tenido bloqueos. A la espera de horarios de disponibilidad del cliente para poder ir haciendo. Solamente tienen que ejecutar el plan con Jian porque el plan ya se le entregó al cliente, solamente hizo unos comentarios pero se realizaron. No siente que la parte técnica no hubo aporte al proyecto por las tareas relacionadas en la parte técnica, que eran más de soporte. Razón por estar indiferente, por las asignaciones de las tareas con el cliente. Se sintió decepcionado porque le vendieron el proyecto de una forma y finalmente fue otra. La pm era Flor Costas. Nunca tuvo un job description, hizo reunion técnica y le gustó por que era un cliente en ingles pero nunca supo que era lo que iba a hacer, también lo motivó el hecho de que hubiera un Devop senior. Técnicamente Juan David ha tenido buenos feedbacks del cliente como parte fundamental del equipo.</v>
      </c>
      <c r="J198" s="4" t="str">
        <f>IFERROR(__xludf.DUMMYFUNCTION("""COMPUTED_VALUE"""),"PX|Referents|RRHH")</f>
        <v>PX|Referents|RRHH</v>
      </c>
    </row>
    <row r="199" hidden="1">
      <c r="A199" s="4">
        <f>IFERROR(__xludf.DUMMYFUNCTION("""COMPUTED_VALUE"""),224.0)</f>
        <v>224</v>
      </c>
      <c r="B199" s="4" t="str">
        <f>IFERROR(__xludf.DUMMYFUNCTION("""COMPUTED_VALUE"""),"luciano.fuentes")</f>
        <v>luciano.fuentes</v>
      </c>
      <c r="C199" s="5">
        <f>IFERROR(__xludf.DUMMYFUNCTION("""COMPUTED_VALUE"""),45057.67703914352)</f>
        <v>45057.67704</v>
      </c>
      <c r="D199" s="5">
        <f>IFERROR(__xludf.DUMMYFUNCTION("""COMPUTED_VALUE"""),45049.0)</f>
        <v>45049</v>
      </c>
      <c r="E199" s="4" t="str">
        <f>IFERROR(__xludf.DUMMYFUNCTION("""COMPUTED_VALUE"""),"micaela.zorzetto@patagoniansys.com")</f>
        <v>micaela.zorzetto@patagoniansys.com</v>
      </c>
      <c r="F199" s="4" t="str">
        <f>IFERROR(__xludf.DUMMYFUNCTION("""COMPUTED_VALUE"""),"luciano.fuentes@patagoniansys.com")</f>
        <v>luciano.fuentes@patagoniansys.com</v>
      </c>
      <c r="G199" s="4" t="str">
        <f>IFERROR(__xludf.DUMMYFUNCTION("""COMPUTED_VALUE"""),"⏱ One on One")</f>
        <v>⏱ One on One</v>
      </c>
      <c r="H199" s="4" t="str">
        <f>IFERROR(__xludf.DUMMYFUNCTION("""COMPUTED_VALUE"""),"🙂 Feliz")</f>
        <v>🙂 Feliz</v>
      </c>
      <c r="I199" s="6" t="str">
        <f>IFERROR(__xludf.DUMMYFUNCTION("""COMPUTED_VALUE"""),"En el proyecto esta muy contento, Halli le ofreció ser el lider de un equipo de México, y decidió aceptar pero sin dejar de estar en el proyecto actual. 
Esta por sacar la visa ya que el cliente le solicitó que viaje a EEUU a instalar un programa que se h"&amp;"izo en sus sistemas de ese pais. ")</f>
        <v>En el proyecto esta muy contento, Halli le ofreció ser el lider de un equipo de México, y decidió aceptar pero sin dejar de estar en el proyecto actual. 
Esta por sacar la visa ya que el cliente le solicitó que viaje a EEUU a instalar un programa que se hizo en sus sistemas de ese pais. </v>
      </c>
      <c r="J199" s="4" t="str">
        <f>IFERROR(__xludf.DUMMYFUNCTION("""COMPUTED_VALUE"""),"PX|Referents|RRHH")</f>
        <v>PX|Referents|RRHH</v>
      </c>
    </row>
    <row r="200" hidden="1">
      <c r="A200" s="4">
        <f>IFERROR(__xludf.DUMMYFUNCTION("""COMPUTED_VALUE"""),205.0)</f>
        <v>205</v>
      </c>
      <c r="B200" s="4" t="str">
        <f>IFERROR(__xludf.DUMMYFUNCTION("""COMPUTED_VALUE"""),"manuel.abruzzo")</f>
        <v>manuel.abruzzo</v>
      </c>
      <c r="C200" s="5">
        <f>IFERROR(__xludf.DUMMYFUNCTION("""COMPUTED_VALUE"""),45062.65999231482)</f>
        <v>45062.65999</v>
      </c>
      <c r="D200" s="5">
        <f>IFERROR(__xludf.DUMMYFUNCTION("""COMPUTED_VALUE"""),45049.0)</f>
        <v>45049</v>
      </c>
      <c r="E200" s="4" t="str">
        <f>IFERROR(__xludf.DUMMYFUNCTION("""COMPUTED_VALUE"""),"micaela.zorzetto@patagoniansys.com")</f>
        <v>micaela.zorzetto@patagoniansys.com</v>
      </c>
      <c r="F200" s="4" t="str">
        <f>IFERROR(__xludf.DUMMYFUNCTION("""COMPUTED_VALUE"""),"manuel.abruzzo@patagoniansys.com")</f>
        <v>manuel.abruzzo@patagoniansys.com</v>
      </c>
      <c r="G200" s="4" t="str">
        <f>IFERROR(__xludf.DUMMYFUNCTION("""COMPUTED_VALUE"""),"⏱ One on One")</f>
        <v>⏱ One on One</v>
      </c>
      <c r="H200" s="4" t="str">
        <f>IFERROR(__xludf.DUMMYFUNCTION("""COMPUTED_VALUE"""),"🙂 Feliz")</f>
        <v>🙂 Feliz</v>
      </c>
      <c r="I200" s="6" t="str">
        <f>IFERROR(__xludf.DUMMYFUNCTION("""COMPUTED_VALUE"""),"Proyecto: actualmente su pm es Isa Llano, le gustaría empezar aplicar cosas que viene aprendiendo en el proyecto, tomar un enfoque nuevo. 
Esta estudiando para rendir la certifiación de QA. 
")</f>
        <v>Proyecto: actualmente su pm es Isa Llano, le gustaría empezar aplicar cosas que viene aprendiendo en el proyecto, tomar un enfoque nuevo. 
Esta estudiando para rendir la certifiación de QA. 
</v>
      </c>
      <c r="J200" s="4" t="str">
        <f>IFERROR(__xludf.DUMMYFUNCTION("""COMPUTED_VALUE"""),"PX|Referents|RRHH")</f>
        <v>PX|Referents|RRHH</v>
      </c>
    </row>
    <row r="201" hidden="1">
      <c r="A201" s="4">
        <f>IFERROR(__xludf.DUMMYFUNCTION("""COMPUTED_VALUE"""),272.0)</f>
        <v>272</v>
      </c>
      <c r="B201" s="4" t="str">
        <f>IFERROR(__xludf.DUMMYFUNCTION("""COMPUTED_VALUE"""),"santiago.grossi")</f>
        <v>santiago.grossi</v>
      </c>
      <c r="C201" s="5">
        <f>IFERROR(__xludf.DUMMYFUNCTION("""COMPUTED_VALUE"""),45062.69419136574)</f>
        <v>45062.69419</v>
      </c>
      <c r="D201" s="5">
        <f>IFERROR(__xludf.DUMMYFUNCTION("""COMPUTED_VALUE"""),45049.0)</f>
        <v>45049</v>
      </c>
      <c r="E201" s="4" t="str">
        <f>IFERROR(__xludf.DUMMYFUNCTION("""COMPUTED_VALUE"""),"micaela.zorzetto@patagoniansys.com")</f>
        <v>micaela.zorzetto@patagoniansys.com</v>
      </c>
      <c r="F201" s="4" t="str">
        <f>IFERROR(__xludf.DUMMYFUNCTION("""COMPUTED_VALUE"""),"santiago.grossi@patagoniansys.com")</f>
        <v>santiago.grossi@patagoniansys.com</v>
      </c>
      <c r="G201" s="4" t="str">
        <f>IFERROR(__xludf.DUMMYFUNCTION("""COMPUTED_VALUE"""),"⏱ One on One")</f>
        <v>⏱ One on One</v>
      </c>
      <c r="H201" s="4" t="str">
        <f>IFERROR(__xludf.DUMMYFUNCTION("""COMPUTED_VALUE"""),"🙂 Feliz")</f>
        <v>🙂 Feliz</v>
      </c>
      <c r="I201" s="6" t="str">
        <f>IFERROR(__xludf.DUMMYFUNCTION("""COMPUTED_VALUE"""),"Muy contento de seguir en el proyecto. 
Se siente muy contento en Patagonian. ")</f>
        <v>Muy contento de seguir en el proyecto. 
Se siente muy contento en Patagonian. </v>
      </c>
      <c r="J201" s="4" t="str">
        <f>IFERROR(__xludf.DUMMYFUNCTION("""COMPUTED_VALUE"""),"PX|Referents|RRHH")</f>
        <v>PX|Referents|RRHH</v>
      </c>
    </row>
    <row r="202" hidden="1">
      <c r="A202" s="4">
        <f>IFERROR(__xludf.DUMMYFUNCTION("""COMPUTED_VALUE"""),162.0)</f>
        <v>162</v>
      </c>
      <c r="B202" s="4" t="str">
        <f>IFERROR(__xludf.DUMMYFUNCTION("""COMPUTED_VALUE"""),"cristian.cortes")</f>
        <v>cristian.cortes</v>
      </c>
      <c r="C202" s="5">
        <f>IFERROR(__xludf.DUMMYFUNCTION("""COMPUTED_VALUE"""),45050.460367974534)</f>
        <v>45050.46037</v>
      </c>
      <c r="D202" s="5">
        <f>IFERROR(__xludf.DUMMYFUNCTION("""COMPUTED_VALUE"""),45050.0)</f>
        <v>45050</v>
      </c>
      <c r="E202" s="4" t="str">
        <f>IFERROR(__xludf.DUMMYFUNCTION("""COMPUTED_VALUE"""),"jesica.petrauskas@patagoniansys.com")</f>
        <v>jesica.petrauskas@patagoniansys.com</v>
      </c>
      <c r="F202" s="4" t="str">
        <f>IFERROR(__xludf.DUMMYFUNCTION("""COMPUTED_VALUE"""),"cristian.cortes@patagoniansys.com")</f>
        <v>cristian.cortes@patagoniansys.com</v>
      </c>
      <c r="G202" s="4" t="str">
        <f>IFERROR(__xludf.DUMMYFUNCTION("""COMPUTED_VALUE"""),"⏱ One on One")</f>
        <v>⏱ One on One</v>
      </c>
      <c r="H202" s="4" t="str">
        <f>IFERROR(__xludf.DUMMYFUNCTION("""COMPUTED_VALUE"""),"😐 Indiferente")</f>
        <v>😐 Indiferente</v>
      </c>
      <c r="I202" s="6" t="str">
        <f>IFERROR(__xludf.DUMMYFUNCTION("""COMPUTED_VALUE"""),"Un poco perdido a la hora de trabajar en un proyecto como único dev. Entiende que hay cosas en Pata que se están formalizando y el dec mobile le parece una buena herramienta. Tiene en agenda hacer algunos cursos de React Native y le interesa seguir en esa"&amp;" tecnología. Incertidumbre sobre nuevos proyectos. No toma clases de inglés pero quiere retomar.")</f>
        <v>Un poco perdido a la hora de trabajar en un proyecto como único dev. Entiende que hay cosas en Pata que se están formalizando y el dec mobile le parece una buena herramienta. Tiene en agenda hacer algunos cursos de React Native y le interesa seguir en esa tecnología. Incertidumbre sobre nuevos proyectos. No toma clases de inglés pero quiere retomar.</v>
      </c>
      <c r="J202" s="4" t="str">
        <f>IFERROR(__xludf.DUMMYFUNCTION("""COMPUTED_VALUE"""),"PX|Referents|RRHH")</f>
        <v>PX|Referents|RRHH</v>
      </c>
    </row>
    <row r="203" hidden="1">
      <c r="A203" s="4">
        <f>IFERROR(__xludf.DUMMYFUNCTION("""COMPUTED_VALUE"""),105.0)</f>
        <v>105</v>
      </c>
      <c r="B203" s="4" t="str">
        <f>IFERROR(__xludf.DUMMYFUNCTION("""COMPUTED_VALUE"""),"henry.tong")</f>
        <v>henry.tong</v>
      </c>
      <c r="C203" s="5">
        <f>IFERROR(__xludf.DUMMYFUNCTION("""COMPUTED_VALUE"""),45050.48078618055)</f>
        <v>45050.48079</v>
      </c>
      <c r="D203" s="5">
        <f>IFERROR(__xludf.DUMMYFUNCTION("""COMPUTED_VALUE"""),45050.0)</f>
        <v>45050</v>
      </c>
      <c r="E203" s="4" t="str">
        <f>IFERROR(__xludf.DUMMYFUNCTION("""COMPUTED_VALUE"""),"micaela.zorzetto@patagoniansys.com")</f>
        <v>micaela.zorzetto@patagoniansys.com</v>
      </c>
      <c r="F203" s="4" t="str">
        <f>IFERROR(__xludf.DUMMYFUNCTION("""COMPUTED_VALUE"""),"henry.tong@patagoniansys.com")</f>
        <v>henry.tong@patagoniansys.com</v>
      </c>
      <c r="G203" s="4" t="str">
        <f>IFERROR(__xludf.DUMMYFUNCTION("""COMPUTED_VALUE"""),"⏱ One on One")</f>
        <v>⏱ One on One</v>
      </c>
      <c r="H203" s="4" t="str">
        <f>IFERROR(__xludf.DUMMYFUNCTION("""COMPUTED_VALUE"""),"🙂 Feliz")</f>
        <v>🙂 Feliz</v>
      </c>
      <c r="I203" s="6" t="str">
        <f>IFERROR(__xludf.DUMMYFUNCTION("""COMPUTED_VALUE"""),"El el proyecto esta contento, aprendiendo un montón. Tienen un gran equipo, donde el tabajo esta bien distribuido.")</f>
        <v>El el proyecto esta contento, aprendiendo un montón. Tienen un gran equipo, donde el tabajo esta bien distribuido.</v>
      </c>
      <c r="J203" s="4" t="str">
        <f>IFERROR(__xludf.DUMMYFUNCTION("""COMPUTED_VALUE"""),"PX|Referents|RRHH")</f>
        <v>PX|Referents|RRHH</v>
      </c>
    </row>
    <row r="204" hidden="1">
      <c r="A204" s="4">
        <f>IFERROR(__xludf.DUMMYFUNCTION("""COMPUTED_VALUE"""),234.0)</f>
        <v>234</v>
      </c>
      <c r="B204" s="4" t="str">
        <f>IFERROR(__xludf.DUMMYFUNCTION("""COMPUTED_VALUE"""),"matias.gudar")</f>
        <v>matias.gudar</v>
      </c>
      <c r="C204" s="5">
        <f>IFERROR(__xludf.DUMMYFUNCTION("""COMPUTED_VALUE"""),45050.508488043975)</f>
        <v>45050.50849</v>
      </c>
      <c r="D204" s="5">
        <f>IFERROR(__xludf.DUMMYFUNCTION("""COMPUTED_VALUE"""),45050.0)</f>
        <v>45050</v>
      </c>
      <c r="E204" s="4" t="str">
        <f>IFERROR(__xludf.DUMMYFUNCTION("""COMPUTED_VALUE"""),"marcela.benavides@patagoniansys.com")</f>
        <v>marcela.benavides@patagoniansys.com</v>
      </c>
      <c r="F204" s="4" t="str">
        <f>IFERROR(__xludf.DUMMYFUNCTION("""COMPUTED_VALUE"""),"matias.gudar@patagoniansys.com")</f>
        <v>matias.gudar@patagoniansys.com</v>
      </c>
      <c r="G204" s="4" t="str">
        <f>IFERROR(__xludf.DUMMYFUNCTION("""COMPUTED_VALUE"""),"⏱ One on One")</f>
        <v>⏱ One on One</v>
      </c>
      <c r="H204" s="4" t="str">
        <f>IFERROR(__xludf.DUMMYFUNCTION("""COMPUTED_VALUE"""),"🙂 Feliz")</f>
        <v>🙂 Feliz</v>
      </c>
      <c r="I204" s="6" t="str">
        <f>IFERROR(__xludf.DUMMYFUNCTION("""COMPUTED_VALUE"""),"Matías está contento con el proyecto, el team, el cliente y lo que viene realizando. Ahora tiene menos calls y les queda más tiempo para laburar en el proyecto. Va a solicitar pronto un curso en AWS para comenzar. ")</f>
        <v>Matías está contento con el proyecto, el team, el cliente y lo que viene realizando. Ahora tiene menos calls y les queda más tiempo para laburar en el proyecto. Va a solicitar pronto un curso en AWS para comenzar. </v>
      </c>
      <c r="J204" s="4" t="str">
        <f>IFERROR(__xludf.DUMMYFUNCTION("""COMPUTED_VALUE"""),"PX|Referents|RRHH")</f>
        <v>PX|Referents|RRHH</v>
      </c>
    </row>
    <row r="205">
      <c r="A205" s="4">
        <f>IFERROR(__xludf.DUMMYFUNCTION("""COMPUTED_VALUE"""),41.0)</f>
        <v>41</v>
      </c>
      <c r="B205" s="4" t="str">
        <f>IFERROR(__xludf.DUMMYFUNCTION("""COMPUTED_VALUE"""),"ezequiel.cortes")</f>
        <v>ezequiel.cortes</v>
      </c>
      <c r="C205" s="5">
        <f>IFERROR(__xludf.DUMMYFUNCTION("""COMPUTED_VALUE"""),45050.63471658565)</f>
        <v>45050.63472</v>
      </c>
      <c r="D205" s="5">
        <f>IFERROR(__xludf.DUMMYFUNCTION("""COMPUTED_VALUE"""),45050.0)</f>
        <v>45050</v>
      </c>
      <c r="E205" s="4" t="str">
        <f>IFERROR(__xludf.DUMMYFUNCTION("""COMPUTED_VALUE"""),"jorge.contreras@patagoniansys.com")</f>
        <v>jorge.contreras@patagoniansys.com</v>
      </c>
      <c r="F205" s="4" t="str">
        <f>IFERROR(__xludf.DUMMYFUNCTION("""COMPUTED_VALUE"""),"ezequiel.cortes@patagoniansys.com")</f>
        <v>ezequiel.cortes@patagoniansys.com</v>
      </c>
      <c r="G205" s="4" t="str">
        <f>IFERROR(__xludf.DUMMYFUNCTION("""COMPUTED_VALUE"""),"Referent One on One")</f>
        <v>Referent One on One</v>
      </c>
      <c r="H205" s="4"/>
      <c r="I205" s="6" t="str">
        <f>IFERROR(__xludf.DUMMYFUNCTION("""COMPUTED_VALUE"""),"- Interviewee e-Mail: ezequiel.cortes@patagoniansys.com
- Project Status Check: Sigue en Overplay, por ahora todo bien. Resuelto lo de DevOps
- Project Changes | Notes: Nico se dedica mejor a lo de DevOps
- Project Role | Feeling: 5
- Extra Work Hours | A"&amp;"mount: 0 (Ningúna)
- Techs | Research: Si, creciendo con AdminJS
- Techs | Certifications: AWS Cloud Practitioner
- Techs | Recomendations: Deja r comentado el de Como manejar billones de mensajes por Discord
- Techs | Recomendations check: Lo de DevOps s"&amp;"e resolvió
- Collaborator | Seniority: 👍 No, es correcto
- Alerts: Ninguna, pero le gusta mucho lo de arquitectura
- Final notes: Podría crecer hacia el lado de arquitectura ya que está siguiendo el curso con Brayan de arquitectura
- Project Techs | Lear"&amp;"ning: 2
- Techs | Research: 10
- Project Techs | Difficulty: 5
- Project Changes | Reasons: 🟰 No hubo cambios, 💻 Cambios en la manera de desarrollar
- Project Changes | Personal Impact: 5
- Project Role | Value: 5
- Project role | Notes: Todo bien, nuev"&amp;"as solicitudes, todo creciendo.")</f>
        <v>- Interviewee e-Mail: ezequiel.cortes@patagoniansys.com
- Project Status Check: Sigue en Overplay, por ahora todo bien. Resuelto lo de DevOps
- Project Changes | Notes: Nico se dedica mejor a lo de DevOps
- Project Role | Feeling: 5
- Extra Work Hours | Amount: 0 (Ningúna)
- Techs | Research: Si, creciendo con AdminJS
- Techs | Certifications: AWS Cloud Practitioner
- Techs | Recomendations: Deja r comentado el de Como manejar billones de mensajes por Discord
- Techs | Recomendations check: Lo de DevOps se resolvió
- Collaborator | Seniority: 👍 No, es correcto
- Alerts: Ninguna, pero le gusta mucho lo de arquitectura
- Final notes: Podría crecer hacia el lado de arquitectura ya que está siguiendo el curso con Brayan de arquitectura
- Project Techs | Learning: 2
- Techs | Research: 10
- Project Techs | Difficulty: 5
- Project Changes | Reasons: 🟰 No hubo cambios, 💻 Cambios en la manera de desarrollar
- Project Changes | Personal Impact: 5
- Project Role | Value: 5
- Project role | Notes: Todo bien, nuevas solicitudes, todo creciendo.</v>
      </c>
      <c r="J205" s="4" t="str">
        <f>IFERROR(__xludf.DUMMYFUNCTION("""COMPUTED_VALUE"""),"Tech Referent - OneOnOne")</f>
        <v>Tech Referent - OneOnOne</v>
      </c>
    </row>
    <row r="206">
      <c r="A206" s="4">
        <f>IFERROR(__xludf.DUMMYFUNCTION("""COMPUTED_VALUE"""),145.0)</f>
        <v>145</v>
      </c>
      <c r="B206" s="4" t="str">
        <f>IFERROR(__xludf.DUMMYFUNCTION("""COMPUTED_VALUE"""),"victor.abitu")</f>
        <v>victor.abitu</v>
      </c>
      <c r="C206" s="5">
        <f>IFERROR(__xludf.DUMMYFUNCTION("""COMPUTED_VALUE"""),45050.646742013894)</f>
        <v>45050.64674</v>
      </c>
      <c r="D206" s="5">
        <f>IFERROR(__xludf.DUMMYFUNCTION("""COMPUTED_VALUE"""),45050.0)</f>
        <v>45050</v>
      </c>
      <c r="E206" s="4" t="str">
        <f>IFERROR(__xludf.DUMMYFUNCTION("""COMPUTED_VALUE"""),"rodrigo.cibils@patagoniansys.com")</f>
        <v>rodrigo.cibils@patagoniansys.com</v>
      </c>
      <c r="F206" s="4" t="str">
        <f>IFERROR(__xludf.DUMMYFUNCTION("""COMPUTED_VALUE"""),"victor.abitu@patagoniansys.com")</f>
        <v>victor.abitu@patagoniansys.com</v>
      </c>
      <c r="G206" s="4" t="str">
        <f>IFERROR(__xludf.DUMMYFUNCTION("""COMPUTED_VALUE"""),"Initial gathering")</f>
        <v>Initial gathering</v>
      </c>
      <c r="H206" s="4"/>
      <c r="I206" s="6" t="str">
        <f>IFERROR(__xludf.DUMMYFUNCTION("""COMPUTED_VALUE"""),"- Interviewee e-Mail: victor.abitu@patagoniansys.com
- Project name: Halliburton
- Project | Role: Backend Developer
- Project | Description: El proyecto es de IOT. Consiste en generar alertas de equipos de extraccion de petroleo que esta en el campo y qu"&amp;"e estan conectado con servers enviando informacion acerca del funcionamiento de los mismos. Victor esta trabajando en un microservicio para procesar esos datos y enviarlos a la nube para poder realizar analisis de datos. Oportunidades: hay muchos proyecto"&amp;"s satelite y posibilidades de nuevos puestos surgiendo alrededor de esto. Fortalezas: industria fuerte, uso de tecnologias modernas.
- Project | technologies: NodeJS, NestJS, Typescript, Git, Docker, Gitlab, Azure, Kubernetes, IOT, Java, Angular, PostgreS"&amp;"QL, InfluxDB, SQL Server.
- Happiness in project technology: 😀 Sumamente Feliz
- Happiness in project technology | Description: Se lo nota motivado por aprender y desafiado por las tareas diarias que tiene que afrontar. No se lo nota desmotivado sino al "&amp;"contrario.
- Project | The best/coolest thing: La arquitectura de microservicios que se esta aplicando le parece lo mejor/mas interesante del proyecto.
- Project | The worst thing: Hay algunas soluciones que estan implementadas dentro del proyecto que son"&amp;" medio incomodas en su arquitectura para agregar cosas nuevas o estan mal parametrizadas como para generalizarlas y hacer mas facil agregar y sacar cosas. Hay ciertas infraestructuras de redes que podrian mejorarse tambien. Hay veces que por seguridad inf"&amp;"ormatica tienen que trabajar usando maquinas virtuales que son muy lentas/molestas de utilizar.
- Project | Improvements: Lo mencionado en la pregunta anterior.
- Team | TL: No hay un TL definido
- Team | PX: Hay un PM, Sebastian Charre de Patagonian. Tam"&amp;"bien estan los de Halliburton que son los que estan en el dia a dia del proyecto.
- Team | QA: 0
- Team | QA Automation: 👎 No
- Team | QA | Notes: Menciona que vendria bien un QA para mejorar ciertos procesos.
- Team | UI/UX: 1
- Team | UI/UX | Notes: No"&amp;" es de Patagonian, era de otra empresa con la que Halliburton estaba trabajando. Cree que Halliburton esta evaluando agregar mas diseñadores al proyecto.
- Team | DevOps: 1
- Team | DevOps | Notes: Es de Patagonian. No hay de otras empresas.
- Team | Data"&amp;" Engineer: 1")</f>
        <v>- Interviewee e-Mail: victor.abitu@patagoniansys.com
- Project name: Halliburton
- Project | Role: Backend Developer
- Project | Description: El proyecto es de IOT. Consiste en generar alertas de equipos de extraccion de petroleo que esta en el campo y que estan conectado con servers enviando informacion acerca del funcionamiento de los mismos. Victor esta trabajando en un microservicio para procesar esos datos y enviarlos a la nube para poder realizar analisis de datos. Oportunidades: hay muchos proyectos satelite y posibilidades de nuevos puestos surgiendo alrededor de esto. Fortalezas: industria fuerte, uso de tecnologias modernas.
- Project | technologies: NodeJS, NestJS, Typescript, Git, Docker, Gitlab, Azure, Kubernetes, IOT, Java, Angular, PostgreSQL, InfluxDB, SQL Server.
- Happiness in project technology: 😀 Sumamente Feliz
- Happiness in project technology | Description: Se lo nota motivado por aprender y desafiado por las tareas diarias que tiene que afrontar. No se lo nota desmotivado sino al contrario.
- Project | The best/coolest thing: La arquitectura de microservicios que se esta aplicando le parece lo mejor/mas interesante del proyecto.
- Project | The worst thing: Hay algunas soluciones que estan implementadas dentro del proyecto que son medio incomodas en su arquitectura para agregar cosas nuevas o estan mal parametrizadas como para generalizarlas y hacer mas facil agregar y sacar cosas. Hay ciertas infraestructuras de redes que podrian mejorarse tambien. Hay veces que por seguridad informatica tienen que trabajar usando maquinas virtuales que son muy lentas/molestas de utilizar.
- Project | Improvements: Lo mencionado en la pregunta anterior.
- Team | TL: No hay un TL definido
- Team | PX: Hay un PM, Sebastian Charre de Patagonian. Tambien estan los de Halliburton que son los que estan en el dia a dia del proyecto.
- Team | QA: 0
- Team | QA Automation: 👎 No
- Team | QA | Notes: Menciona que vendria bien un QA para mejorar ciertos procesos.
- Team | UI/UX: 1
- Team | UI/UX | Notes: No es de Patagonian, era de otra empresa con la que Halliburton estaba trabajando. Cree que Halliburton esta evaluando agregar mas diseñadores al proyecto.
- Team | DevOps: 1
- Team | DevOps | Notes: Es de Patagonian. No hay de otras empresas.
- Team | Data Engineer: 1</v>
      </c>
      <c r="J206" s="4" t="str">
        <f>IFERROR(__xludf.DUMMYFUNCTION("""COMPUTED_VALUE"""),"Tech Referent - Initial gathering")</f>
        <v>Tech Referent - Initial gathering</v>
      </c>
    </row>
    <row r="207">
      <c r="A207" s="4">
        <f>IFERROR(__xludf.DUMMYFUNCTION("""COMPUTED_VALUE"""),254.0)</f>
        <v>254</v>
      </c>
      <c r="B207" s="4" t="str">
        <f>IFERROR(__xludf.DUMMYFUNCTION("""COMPUTED_VALUE"""),"ismael.cespedes")</f>
        <v>ismael.cespedes</v>
      </c>
      <c r="C207" s="5">
        <f>IFERROR(__xludf.DUMMYFUNCTION("""COMPUTED_VALUE"""),45050.67379631944)</f>
        <v>45050.6738</v>
      </c>
      <c r="D207" s="5">
        <f>IFERROR(__xludf.DUMMYFUNCTION("""COMPUTED_VALUE"""),45050.0)</f>
        <v>45050</v>
      </c>
      <c r="E207" s="4" t="str">
        <f>IFERROR(__xludf.DUMMYFUNCTION("""COMPUTED_VALUE"""),"juan.calou@patagoniansys.com")</f>
        <v>juan.calou@patagoniansys.com</v>
      </c>
      <c r="F207" s="4" t="str">
        <f>IFERROR(__xludf.DUMMYFUNCTION("""COMPUTED_VALUE"""),"ismael.cespedes@patagoniansys.com")</f>
        <v>ismael.cespedes@patagoniansys.com</v>
      </c>
      <c r="G207" s="4" t="str">
        <f>IFERROR(__xludf.DUMMYFUNCTION("""COMPUTED_VALUE"""),"Referent One on One")</f>
        <v>Referent One on One</v>
      </c>
      <c r="H207" s="4"/>
      <c r="I207" s="6" t="str">
        <f>IFERROR(__xludf.DUMMYFUNCTION("""COMPUTED_VALUE"""),"- Interviewee e-Mail: ismael.cespedes@patagoniansys.com
- Project Status Check: Bench
- Project Role | Feeling: 3
- Extra Work Hours | Amount: 0 (Ningúna)
- Collaborator | Seniority: 👍 No, es correcto
- Alerts: Esta en bench, o sea que no esta muy motiva"&amp;"do en cuanto a lo laboral, aunque si lo note con una muy buena actitud
- Final notes: Creo que hay que acompañarlo un poco mientras este en bench asi no pierde tanto el ritmo. Voy a tratar de mover el tema de los career path asi nos puede dar una mano con"&amp;" eso.
- Project Techs | Learning: 0
- Project Techs | Difficulty: 3
- Project Changes | Reasons: Lo sacaron del proyecto en el que estaba
- Project Role | Value: 3
- Project role | Notes: bench")</f>
        <v>- Interviewee e-Mail: ismael.cespedes@patagoniansys.com
- Project Status Check: Bench
- Project Role | Feeling: 3
- Extra Work Hours | Amount: 0 (Ningúna)
- Collaborator | Seniority: 👍 No, es correcto
- Alerts: Esta en bench, o sea que no esta muy motivado en cuanto a lo laboral, aunque si lo note con una muy buena actitud
- Final notes: Creo que hay que acompañarlo un poco mientras este en bench asi no pierde tanto el ritmo. Voy a tratar de mover el tema de los career path asi nos puede dar una mano con eso.
- Project Techs | Learning: 0
- Project Techs | Difficulty: 3
- Project Changes | Reasons: Lo sacaron del proyecto en el que estaba
- Project Role | Value: 3
- Project role | Notes: bench</v>
      </c>
      <c r="J207" s="4" t="str">
        <f>IFERROR(__xludf.DUMMYFUNCTION("""COMPUTED_VALUE"""),"Tech Referent - OneOnOne")</f>
        <v>Tech Referent - OneOnOne</v>
      </c>
    </row>
    <row r="208" hidden="1">
      <c r="A208" s="4">
        <f>IFERROR(__xludf.DUMMYFUNCTION("""COMPUTED_VALUE"""),146.0)</f>
        <v>146</v>
      </c>
      <c r="B208" s="4" t="str">
        <f>IFERROR(__xludf.DUMMYFUNCTION("""COMPUTED_VALUE"""),"juan.martinezrios")</f>
        <v>juan.martinezrios</v>
      </c>
      <c r="C208" s="5">
        <f>IFERROR(__xludf.DUMMYFUNCTION("""COMPUTED_VALUE"""),45058.76968690972)</f>
        <v>45058.76969</v>
      </c>
      <c r="D208" s="5">
        <f>IFERROR(__xludf.DUMMYFUNCTION("""COMPUTED_VALUE"""),45050.0)</f>
        <v>45050</v>
      </c>
      <c r="E208" s="4" t="str">
        <f>IFERROR(__xludf.DUMMYFUNCTION("""COMPUTED_VALUE"""),"jimena.gutierrez@patagoniansys.com")</f>
        <v>jimena.gutierrez@patagoniansys.com</v>
      </c>
      <c r="F208" s="4" t="str">
        <f>IFERROR(__xludf.DUMMYFUNCTION("""COMPUTED_VALUE"""),"juan.martinezrios@patagoniansys.com")</f>
        <v>juan.martinezrios@patagoniansys.com</v>
      </c>
      <c r="G208" s="4" t="str">
        <f>IFERROR(__xludf.DUMMYFUNCTION("""COMPUTED_VALUE"""),"⏱ One on One")</f>
        <v>⏱ One on One</v>
      </c>
      <c r="H208" s="4" t="str">
        <f>IFERROR(__xludf.DUMMYFUNCTION("""COMPUTED_VALUE"""),"😀 Sumamente Feliz")</f>
        <v>😀 Sumamente Feliz</v>
      </c>
      <c r="I208" s="6" t="str">
        <f>IFERROR(__xludf.DUMMYFUNCTION("""COMPUTED_VALUE"""),"Tiene sobrecarga en el proyecto. Esta trabajando con un DEV con poco conocimiento técnico lo cual le genera la sobrecarga. Esta ayudando a mejorar el performance.")</f>
        <v>Tiene sobrecarga en el proyecto. Esta trabajando con un DEV con poco conocimiento técnico lo cual le genera la sobrecarga. Esta ayudando a mejorar el performance.</v>
      </c>
      <c r="J208" s="4" t="str">
        <f>IFERROR(__xludf.DUMMYFUNCTION("""COMPUTED_VALUE"""),"PX|Referents|RRHH")</f>
        <v>PX|Referents|RRHH</v>
      </c>
    </row>
    <row r="209">
      <c r="A209" s="4">
        <f>IFERROR(__xludf.DUMMYFUNCTION("""COMPUTED_VALUE"""),297.0)</f>
        <v>297</v>
      </c>
      <c r="B209" s="4" t="str">
        <f>IFERROR(__xludf.DUMMYFUNCTION("""COMPUTED_VALUE"""),"charly.palencia")</f>
        <v>charly.palencia</v>
      </c>
      <c r="C209" s="5">
        <f>IFERROR(__xludf.DUMMYFUNCTION("""COMPUTED_VALUE"""),45055.53937994213)</f>
        <v>45055.53938</v>
      </c>
      <c r="D209" s="5">
        <f>IFERROR(__xludf.DUMMYFUNCTION("""COMPUTED_VALUE"""),45055.0)</f>
        <v>45055</v>
      </c>
      <c r="E209" s="4" t="str">
        <f>IFERROR(__xludf.DUMMYFUNCTION("""COMPUTED_VALUE"""),"pablo.gomez@patagoniansys.com")</f>
        <v>pablo.gomez@patagoniansys.com</v>
      </c>
      <c r="F209" s="4" t="str">
        <f>IFERROR(__xludf.DUMMYFUNCTION("""COMPUTED_VALUE"""),"charly.palencia@patagoniansys.com")</f>
        <v>charly.palencia@patagoniansys.com</v>
      </c>
      <c r="G209" s="4" t="str">
        <f>IFERROR(__xludf.DUMMYFUNCTION("""COMPUTED_VALUE"""),"Referent One on One")</f>
        <v>Referent One on One</v>
      </c>
      <c r="H209" s="4"/>
      <c r="I209" s="6" t="str">
        <f>IFERROR(__xludf.DUMMYFUNCTION("""COMPUTED_VALUE"""),"- Interviewee e-Mail: charly.palencia@patagoniansys.com
- Project Status Check: Sigue en el mismo proyecto. Desde ahora part-time.
- Project Changes | Notes: Esta medio tiempo, le vino muy bien.
- Project Role | Feeling: 5
- Extra Work Hours | Amount: 0 ("&amp;"Ningúna)
- Extra Work Hours | Reason: -
- Techs | Research: Typescript
- Collaborator | Seniority: 👍 No, es correcto
- Alerts: Lo veo motivado y conforme con su trabajo.
- Final notes: Se solucionó el tema del horario con lo cual Charly esta contento.
- "&amp;"Project Techs | Learning: 1
- Project Techs | Difficulty: 4
- Project Changes | Reasons: ⏱ Cambios en la forma de planificar las tareas y tiempos
- Project Changes | Personal Impact: 5
- Project Role | Value: 5
- Project role | Notes: La cantidad de reuni"&amp;"ones bajaron lo cual es positivo.")</f>
        <v>- Interviewee e-Mail: charly.palencia@patagoniansys.com
- Project Status Check: Sigue en el mismo proyecto. Desde ahora part-time.
- Project Changes | Notes: Esta medio tiempo, le vino muy bien.
- Project Role | Feeling: 5
- Extra Work Hours | Amount: 0 (Ningúna)
- Extra Work Hours | Reason: -
- Techs | Research: Typescript
- Collaborator | Seniority: 👍 No, es correcto
- Alerts: Lo veo motivado y conforme con su trabajo.
- Final notes: Se solucionó el tema del horario con lo cual Charly esta contento.
- Project Techs | Learning: 1
- Project Techs | Difficulty: 4
- Project Changes | Reasons: ⏱ Cambios en la forma de planificar las tareas y tiempos
- Project Changes | Personal Impact: 5
- Project Role | Value: 5
- Project role | Notes: La cantidad de reuniones bajaron lo cual es positivo.</v>
      </c>
      <c r="J209" s="4" t="str">
        <f>IFERROR(__xludf.DUMMYFUNCTION("""COMPUTED_VALUE"""),"Tech Referent - OneOnOne")</f>
        <v>Tech Referent - OneOnOne</v>
      </c>
    </row>
    <row r="210">
      <c r="A210" s="4">
        <f>IFERROR(__xludf.DUMMYFUNCTION("""COMPUTED_VALUE"""),185.0)</f>
        <v>185</v>
      </c>
      <c r="B210" s="4" t="str">
        <f>IFERROR(__xludf.DUMMYFUNCTION("""COMPUTED_VALUE"""),"carla.castiglia")</f>
        <v>carla.castiglia</v>
      </c>
      <c r="C210" s="5">
        <f>IFERROR(__xludf.DUMMYFUNCTION("""COMPUTED_VALUE"""),45055.59299180555)</f>
        <v>45055.59299</v>
      </c>
      <c r="D210" s="5">
        <f>IFERROR(__xludf.DUMMYFUNCTION("""COMPUTED_VALUE"""),45055.0)</f>
        <v>45055</v>
      </c>
      <c r="E210" s="4" t="str">
        <f>IFERROR(__xludf.DUMMYFUNCTION("""COMPUTED_VALUE"""),"juan.calou@patagoniansys.com")</f>
        <v>juan.calou@patagoniansys.com</v>
      </c>
      <c r="F210" s="4" t="str">
        <f>IFERROR(__xludf.DUMMYFUNCTION("""COMPUTED_VALUE"""),"carla.castiglia@patagoniansys.com")</f>
        <v>carla.castiglia@patagoniansys.com</v>
      </c>
      <c r="G210" s="4" t="str">
        <f>IFERROR(__xludf.DUMMYFUNCTION("""COMPUTED_VALUE"""),"Referent One on One")</f>
        <v>Referent One on One</v>
      </c>
      <c r="H210" s="4"/>
      <c r="I210" s="6" t="str">
        <f>IFERROR(__xludf.DUMMYFUNCTION("""COMPUTED_VALUE"""),"- Interviewee e-Mail: carla.castiglia@patagoniansys.com
- Project Status Check: Hubo un problema como una confusion que dijeron que se iba pero ella no sabia nada asi que la paso un poco mal con eso.
- Project Changes | Notes: Todo igual
- Project Role | "&amp;"Feeling: 3
- Extra Work Hours | Amount: 0 (Ningúna)
- Collaborator | Seniority: 👍 No, es correcto
- Alerts: Creo que por todo lo que le paso con esa confusion de que se iba, ahora esta un poco incomoda y esperando que termine el contrato.
- Final notes: "&amp;"Tuvo algunos problemas en los ultimos meses de falta de comunicacion, y ella nota que por parte del cliente hay como algo raro, como que a veces no andan cosas y no le dan mucha bola. Y quedo medio en el medio y no siente que este del todo apoyada, entonc"&amp;"es trabaja un poco esperando que termine el contrato.
- Project Techs | Learning: 4
- Project Techs | Difficulty: 4
- Project Changes | Reasons: ⬇️ Reducción del equipo, 🔧 Cambios de infraestructura, Despues de que dijeron que se iba siente como que es u"&amp;"n ciclo cumplido
- Project Changes | Personal Impact: 3
- Project Role | Value: 4
- Project role | Notes: Su trabajo sigue profesionalmente bien.")</f>
        <v>- Interviewee e-Mail: carla.castiglia@patagoniansys.com
- Project Status Check: Hubo un problema como una confusion que dijeron que se iba pero ella no sabia nada asi que la paso un poco mal con eso.
- Project Changes | Notes: Todo igual
- Project Role | Feeling: 3
- Extra Work Hours | Amount: 0 (Ningúna)
- Collaborator | Seniority: 👍 No, es correcto
- Alerts: Creo que por todo lo que le paso con esa confusion de que se iba, ahora esta un poco incomoda y esperando que termine el contrato.
- Final notes: Tuvo algunos problemas en los ultimos meses de falta de comunicacion, y ella nota que por parte del cliente hay como algo raro, como que a veces no andan cosas y no le dan mucha bola. Y quedo medio en el medio y no siente que este del todo apoyada, entonces trabaja un poco esperando que termine el contrato.
- Project Techs | Learning: 4
- Project Techs | Difficulty: 4
- Project Changes | Reasons: ⬇️ Reducción del equipo, 🔧 Cambios de infraestructura, Despues de que dijeron que se iba siente como que es un ciclo cumplido
- Project Changes | Personal Impact: 3
- Project Role | Value: 4
- Project role | Notes: Su trabajo sigue profesionalmente bien.</v>
      </c>
      <c r="J210" s="4" t="str">
        <f>IFERROR(__xludf.DUMMYFUNCTION("""COMPUTED_VALUE"""),"Tech Referent - OneOnOne")</f>
        <v>Tech Referent - OneOnOne</v>
      </c>
    </row>
    <row r="211" hidden="1">
      <c r="A211" s="4">
        <f>IFERROR(__xludf.DUMMYFUNCTION("""COMPUTED_VALUE"""),185.0)</f>
        <v>185</v>
      </c>
      <c r="B211" s="4" t="str">
        <f>IFERROR(__xludf.DUMMYFUNCTION("""COMPUTED_VALUE"""),"carla.castiglia")</f>
        <v>carla.castiglia</v>
      </c>
      <c r="C211" s="5">
        <f>IFERROR(__xludf.DUMMYFUNCTION("""COMPUTED_VALUE"""),45055.59528094908)</f>
        <v>45055.59528</v>
      </c>
      <c r="D211" s="5">
        <f>IFERROR(__xludf.DUMMYFUNCTION("""COMPUTED_VALUE"""),45055.0)</f>
        <v>45055</v>
      </c>
      <c r="E211" s="4" t="str">
        <f>IFERROR(__xludf.DUMMYFUNCTION("""COMPUTED_VALUE"""),"tomas.bayley@patagoniansys.com")</f>
        <v>tomas.bayley@patagoniansys.com</v>
      </c>
      <c r="F211" s="4" t="str">
        <f>IFERROR(__xludf.DUMMYFUNCTION("""COMPUTED_VALUE"""),"carla.castiglia@patagoniansys.com")</f>
        <v>carla.castiglia@patagoniansys.com</v>
      </c>
      <c r="G211" s="4" t="str">
        <f>IFERROR(__xludf.DUMMYFUNCTION("""COMPUTED_VALUE"""),"⏱ One on One")</f>
        <v>⏱ One on One</v>
      </c>
      <c r="H211" s="4" t="str">
        <f>IFERROR(__xludf.DUMMYFUNCTION("""COMPUTED_VALUE"""),"🙂 Feliz")</f>
        <v>🙂 Feliz</v>
      </c>
      <c r="I211" s="6" t="str">
        <f>IFERROR(__xludf.DUMMYFUNCTION("""COMPUTED_VALUE"""),"Carla esta motivada con el trabajo, pero le gustaria eventualmente trabajar en otro proyecto. Posiblemente ser sobrevendida. No lo veo como algo urgente, esta muy contenta con pata")</f>
        <v>Carla esta motivada con el trabajo, pero le gustaria eventualmente trabajar en otro proyecto. Posiblemente ser sobrevendida. No lo veo como algo urgente, esta muy contenta con pata</v>
      </c>
      <c r="J211" s="4" t="str">
        <f>IFERROR(__xludf.DUMMYFUNCTION("""COMPUTED_VALUE"""),"PX|Referents|RRHH")</f>
        <v>PX|Referents|RRHH</v>
      </c>
    </row>
    <row r="212">
      <c r="A212" s="4">
        <f>IFERROR(__xludf.DUMMYFUNCTION("""COMPUTED_VALUE"""),136.0)</f>
        <v>136</v>
      </c>
      <c r="B212" s="4" t="str">
        <f>IFERROR(__xludf.DUMMYFUNCTION("""COMPUTED_VALUE"""),"freddy.orozco")</f>
        <v>freddy.orozco</v>
      </c>
      <c r="C212" s="5">
        <f>IFERROR(__xludf.DUMMYFUNCTION("""COMPUTED_VALUE"""),45086.67451369212)</f>
        <v>45086.67451</v>
      </c>
      <c r="D212" s="5">
        <f>IFERROR(__xludf.DUMMYFUNCTION("""COMPUTED_VALUE"""),45055.0)</f>
        <v>45055</v>
      </c>
      <c r="E212" s="4" t="str">
        <f>IFERROR(__xludf.DUMMYFUNCTION("""COMPUTED_VALUE"""),"daniel.mansilla@patagoniansys.com")</f>
        <v>daniel.mansilla@patagoniansys.com</v>
      </c>
      <c r="F212" s="4" t="str">
        <f>IFERROR(__xludf.DUMMYFUNCTION("""COMPUTED_VALUE"""),"freddy.orozco@patagoniansys.com")</f>
        <v>freddy.orozco@patagoniansys.com</v>
      </c>
      <c r="G212" s="4" t="str">
        <f>IFERROR(__xludf.DUMMYFUNCTION("""COMPUTED_VALUE"""),"Referent One on One")</f>
        <v>Referent One on One</v>
      </c>
      <c r="H212" s="4"/>
      <c r="I212" s="6" t="str">
        <f>IFERROR(__xludf.DUMMYFUNCTION("""COMPUTED_VALUE"""),"- Interviewee e-Mail: freddy.orozco@patagoniansys.com
- Project Status Check: Resolución de problemas que surgieron en los test end-to-end. Estabilización de la aplicación.
- Project Role | Feeling: 4
- Extra Work Hours | Amount: 0 (Ningúna)
- Techs | Res"&amp;"earch: Se ha enfocado en reforzar conceptos de Javascript.
- Techs | Recomendations: Dado que tiene la intención de hacer la certificación AWS Cloud Practitioner, se mencionó el curso de Udemy que ayuda a prepararse para el examen. Igualmente aún no lo ha"&amp;" hecho y depeden un poco de los tiempos de la nueva asignación que aún no comenzó.
- Collaborator | Seniority: 👍 No, es correcto
- Alerts: Nada para destacar.
- Project Needs / Oportunities: Debido a que la asignación al proyecto finalizó, no hay nada pa"&amp;"ra mencionar. 
- Final notes: Solo que ha finalizado la asignación al proyecto. El proceso para cerrar con las tareas pendientes ha sido tranquilo. Está a la espera de comenzar en el nuevo proyecto.
No hay ningún problema para mencionar.
- Project Techs |"&amp;" Learning: 0
- Techs | Research: 6
- Project Techs | Difficulty: 4
- Project Changes | Reasons: 🟰 No hubo cambios, Algo a destacar es que acabó la asignación el proyecto.
- Project Role | Value: 3
- Project role | Notes: Considerando que la asignación fi"&amp;"nalizó. El impacto de su trabajao no ha sido determinante en el último mes pero tampoco podemos decir que no haya sido importante.")</f>
        <v>- Interviewee e-Mail: freddy.orozco@patagoniansys.com
- Project Status Check: Resolución de problemas que surgieron en los test end-to-end. Estabilización de la aplicación.
- Project Role | Feeling: 4
- Extra Work Hours | Amount: 0 (Ningúna)
- Techs | Research: Se ha enfocado en reforzar conceptos de Javascript.
- Techs | Recomendations: Dado que tiene la intención de hacer la certificación AWS Cloud Practitioner, se mencionó el curso de Udemy que ayuda a prepararse para el examen. Igualmente aún no lo ha hecho y depeden un poco de los tiempos de la nueva asignación que aún no comenzó.
- Collaborator | Seniority: 👍 No, es correcto
- Alerts: Nada para destacar.
- Project Needs / Oportunities: Debido a que la asignación al proyecto finalizó, no hay nada para mencionar. 
- Final notes: Solo que ha finalizado la asignación al proyecto. El proceso para cerrar con las tareas pendientes ha sido tranquilo. Está a la espera de comenzar en el nuevo proyecto.
No hay ningún problema para mencionar.
- Project Techs | Learning: 0
- Techs | Research: 6
- Project Techs | Difficulty: 4
- Project Changes | Reasons: 🟰 No hubo cambios, Algo a destacar es que acabó la asignación el proyecto.
- Project Role | Value: 3
- Project role | Notes: Considerando que la asignación finalizó. El impacto de su trabajao no ha sido determinante en el último mes pero tampoco podemos decir que no haya sido importante.</v>
      </c>
      <c r="J212" s="4" t="str">
        <f>IFERROR(__xludf.DUMMYFUNCTION("""COMPUTED_VALUE"""),"Tech Referent - OneOnOne")</f>
        <v>Tech Referent - OneOnOne</v>
      </c>
    </row>
    <row r="213" hidden="1">
      <c r="A213" s="4">
        <f>IFERROR(__xludf.DUMMYFUNCTION("""COMPUTED_VALUE"""),167.0)</f>
        <v>167</v>
      </c>
      <c r="B213" s="4" t="str">
        <f>IFERROR(__xludf.DUMMYFUNCTION("""COMPUTED_VALUE"""),"rodrigo.cibils")</f>
        <v>rodrigo.cibils</v>
      </c>
      <c r="C213" s="5">
        <f>IFERROR(__xludf.DUMMYFUNCTION("""COMPUTED_VALUE"""),45056.4571586574)</f>
        <v>45056.45716</v>
      </c>
      <c r="D213" s="5">
        <f>IFERROR(__xludf.DUMMYFUNCTION("""COMPUTED_VALUE"""),45056.0)</f>
        <v>45056</v>
      </c>
      <c r="E213" s="4" t="str">
        <f>IFERROR(__xludf.DUMMYFUNCTION("""COMPUTED_VALUE"""),"jesica.petrauskas@patagoniansys.com")</f>
        <v>jesica.petrauskas@patagoniansys.com</v>
      </c>
      <c r="F213" s="4" t="str">
        <f>IFERROR(__xludf.DUMMYFUNCTION("""COMPUTED_VALUE"""),"rodrigo.cibils@patagoniansys.com")</f>
        <v>rodrigo.cibils@patagoniansys.com</v>
      </c>
      <c r="G213" s="4" t="str">
        <f>IFERROR(__xludf.DUMMYFUNCTION("""COMPUTED_VALUE"""),"⏱ One on One")</f>
        <v>⏱ One on One</v>
      </c>
      <c r="H213" s="4" t="str">
        <f>IFERROR(__xludf.DUMMYFUNCTION("""COMPUTED_VALUE"""),"🙂 Feliz")</f>
        <v>🙂 Feliz</v>
      </c>
      <c r="I213" s="6" t="str">
        <f>IFERROR(__xludf.DUMMYFUNCTION("""COMPUTED_VALUE"""),"Conversamos respecto a su recategorización y también le di feedback de performance con puntos de mejora y posibilidades de crecimiento. Le interesa seguir en lo que es mobile independientemente de la tecnología pero énfasis en react native. Contento con h"&amp;"aber podido participar en eyethena y lo que aprendió en el proy. Como career path le interesa inclinarse hacia TL.")</f>
        <v>Conversamos respecto a su recategorización y también le di feedback de performance con puntos de mejora y posibilidades de crecimiento. Le interesa seguir en lo que es mobile independientemente de la tecnología pero énfasis en react native. Contento con haber podido participar en eyethena y lo que aprendió en el proy. Como career path le interesa inclinarse hacia TL.</v>
      </c>
      <c r="J213" s="4" t="str">
        <f>IFERROR(__xludf.DUMMYFUNCTION("""COMPUTED_VALUE"""),"PX|Referents|RRHH")</f>
        <v>PX|Referents|RRHH</v>
      </c>
    </row>
    <row r="214" hidden="1">
      <c r="A214" s="4">
        <f>IFERROR(__xludf.DUMMYFUNCTION("""COMPUTED_VALUE"""),11.0)</f>
        <v>11</v>
      </c>
      <c r="B214" s="4" t="str">
        <f>IFERROR(__xludf.DUMMYFUNCTION("""COMPUTED_VALUE"""),"ernesto.parada")</f>
        <v>ernesto.parada</v>
      </c>
      <c r="C214" s="5">
        <f>IFERROR(__xludf.DUMMYFUNCTION("""COMPUTED_VALUE"""),45056.503884224534)</f>
        <v>45056.50388</v>
      </c>
      <c r="D214" s="5">
        <f>IFERROR(__xludf.DUMMYFUNCTION("""COMPUTED_VALUE"""),45056.0)</f>
        <v>45056</v>
      </c>
      <c r="E214" s="4" t="str">
        <f>IFERROR(__xludf.DUMMYFUNCTION("""COMPUTED_VALUE"""),"jesica.petrauskas@patagoniansys.com")</f>
        <v>jesica.petrauskas@patagoniansys.com</v>
      </c>
      <c r="F214" s="4" t="str">
        <f>IFERROR(__xludf.DUMMYFUNCTION("""COMPUTED_VALUE"""),"ernesto.parada@patagoniansys.com")</f>
        <v>ernesto.parada@patagoniansys.com</v>
      </c>
      <c r="G214" s="4" t="str">
        <f>IFERROR(__xludf.DUMMYFUNCTION("""COMPUTED_VALUE"""),"⏱ One on One")</f>
        <v>⏱ One on One</v>
      </c>
      <c r="H214" s="4" t="str">
        <f>IFERROR(__xludf.DUMMYFUNCTION("""COMPUTED_VALUE"""),"🙂 Feliz")</f>
        <v>🙂 Feliz</v>
      </c>
      <c r="I214" s="6" t="str">
        <f>IFERROR(__xludf.DUMMYFUNCTION("""COMPUTED_VALUE"""),"Quiere terminar la certificación de AWS pero no ha tenido tiempo, cuando finalice el proyecto de Eyethena va a dedicarle tiempo a eso. Además su foco sería el backend por lo que el referente técnico tendría que ser alguien de backend ( si bien no tuvo cal"&amp;"ls con el referente, ahora figura Edgard ). Le parece que los DEC están buenos pero que no tienen un objetivo claro. Inglés mejoró mucho. Y las 1:1 le parece que son muy seguidas.")</f>
        <v>Quiere terminar la certificación de AWS pero no ha tenido tiempo, cuando finalice el proyecto de Eyethena va a dedicarle tiempo a eso. Además su foco sería el backend por lo que el referente técnico tendría que ser alguien de backend ( si bien no tuvo calls con el referente, ahora figura Edgard ). Le parece que los DEC están buenos pero que no tienen un objetivo claro. Inglés mejoró mucho. Y las 1:1 le parece que son muy seguidas.</v>
      </c>
      <c r="J214" s="4" t="str">
        <f>IFERROR(__xludf.DUMMYFUNCTION("""COMPUTED_VALUE"""),"PX|Referents|RRHH")</f>
        <v>PX|Referents|RRHH</v>
      </c>
    </row>
    <row r="215" hidden="1">
      <c r="A215" s="4">
        <f>IFERROR(__xludf.DUMMYFUNCTION("""COMPUTED_VALUE"""),227.0)</f>
        <v>227</v>
      </c>
      <c r="B215" s="4" t="str">
        <f>IFERROR(__xludf.DUMMYFUNCTION("""COMPUTED_VALUE"""),"martin.infante")</f>
        <v>martin.infante</v>
      </c>
      <c r="C215" s="5">
        <f>IFERROR(__xludf.DUMMYFUNCTION("""COMPUTED_VALUE"""),45057.67511704861)</f>
        <v>45057.67512</v>
      </c>
      <c r="D215" s="5">
        <f>IFERROR(__xludf.DUMMYFUNCTION("""COMPUTED_VALUE"""),45057.0)</f>
        <v>45057</v>
      </c>
      <c r="E215" s="4" t="str">
        <f>IFERROR(__xludf.DUMMYFUNCTION("""COMPUTED_VALUE"""),"marcela.benavides@patagoniansys.com")</f>
        <v>marcela.benavides@patagoniansys.com</v>
      </c>
      <c r="F215" s="4" t="str">
        <f>IFERROR(__xludf.DUMMYFUNCTION("""COMPUTED_VALUE"""),"martin.infante@patagoniansys.com")</f>
        <v>martin.infante@patagoniansys.com</v>
      </c>
      <c r="G215" s="4" t="str">
        <f>IFERROR(__xludf.DUMMYFUNCTION("""COMPUTED_VALUE"""),"⏱ One on One")</f>
        <v>⏱ One on One</v>
      </c>
      <c r="H215" s="4" t="str">
        <f>IFERROR(__xludf.DUMMYFUNCTION("""COMPUTED_VALUE"""),"🙂 Feliz")</f>
        <v>🙂 Feliz</v>
      </c>
      <c r="I215" s="6" t="str">
        <f>IFERROR(__xludf.DUMMYFUNCTION("""COMPUTED_VALUE"""),"En este momento está por presentar el examen para completar su certificación de Airflow. Esta él y el team de Data un poco bloqueados ya que no tienen accesos a Snowflake impidiéndoles trabajar en esta plataforma y tener un crosslearning en varias activid"&amp;"ades que esta realizando el team. Ya estamos trabajando en algunas opciones para plantearle al cliente. Solicitó un aumento salarial ya que considera que sus responsabilidades laborales han cambiado adquiriendo mayor liderazgo en el equipo de Forge y para"&amp;" Patagonian. Lo ideal es que este ajuste se realice aparte de cuando se realizan los ajustes por inflación de Argentina. ")</f>
        <v>En este momento está por presentar el examen para completar su certificación de Airflow. Esta él y el team de Data un poco bloqueados ya que no tienen accesos a Snowflake impidiéndoles trabajar en esta plataforma y tener un crosslearning en varias actividades que esta realizando el team. Ya estamos trabajando en algunas opciones para plantearle al cliente. Solicitó un aumento salarial ya que considera que sus responsabilidades laborales han cambiado adquiriendo mayor liderazgo en el equipo de Forge y para Patagonian. Lo ideal es que este ajuste se realice aparte de cuando se realizan los ajustes por inflación de Argentina. </v>
      </c>
      <c r="J215" s="4" t="str">
        <f>IFERROR(__xludf.DUMMYFUNCTION("""COMPUTED_VALUE"""),"PX|Referents|RRHH")</f>
        <v>PX|Referents|RRHH</v>
      </c>
    </row>
    <row r="216" hidden="1">
      <c r="A216" s="4">
        <f>IFERROR(__xludf.DUMMYFUNCTION("""COMPUTED_VALUE"""),177.0)</f>
        <v>177</v>
      </c>
      <c r="B216" s="4" t="str">
        <f>IFERROR(__xludf.DUMMYFUNCTION("""COMPUTED_VALUE"""),"juan.marin")</f>
        <v>juan.marin</v>
      </c>
      <c r="C216" s="5">
        <f>IFERROR(__xludf.DUMMYFUNCTION("""COMPUTED_VALUE"""),45057.72151520834)</f>
        <v>45057.72152</v>
      </c>
      <c r="D216" s="5">
        <f>IFERROR(__xludf.DUMMYFUNCTION("""COMPUTED_VALUE"""),45057.0)</f>
        <v>45057</v>
      </c>
      <c r="E216" s="4" t="str">
        <f>IFERROR(__xludf.DUMMYFUNCTION("""COMPUTED_VALUE"""),"diana.grajales@patagoniansys.com")</f>
        <v>diana.grajales@patagoniansys.com</v>
      </c>
      <c r="F216" s="4" t="str">
        <f>IFERROR(__xludf.DUMMYFUNCTION("""COMPUTED_VALUE"""),"juan.marin@patagoniansys.com")</f>
        <v>juan.marin@patagoniansys.com</v>
      </c>
      <c r="G216" s="4" t="str">
        <f>IFERROR(__xludf.DUMMYFUNCTION("""COMPUTED_VALUE"""),"👋 RRHH")</f>
        <v>👋 RRHH</v>
      </c>
      <c r="H216" s="4" t="str">
        <f>IFERROR(__xludf.DUMMYFUNCTION("""COMPUTED_VALUE"""),"🙂 Feliz")</f>
        <v>🙂 Feliz</v>
      </c>
      <c r="I216" s="6" t="str">
        <f>IFERROR(__xludf.DUMMYFUNCTION("""COMPUTED_VALUE"""),"Proyectos: PWC la cuenta se puede caer porque no tiene mas clientes 
Nivel Compañeros: Esta trabajando con Andres Escorcia se ha entendido bien. 
A veces siento que se hacen comentarios machistas, en las reuniones de After Office, y ver como esto incomoda"&amp;" a las mujeres del equipo 
Patagonian : Estamos sufriendo algunos cambios, roles del comite de convivencia y va de la mano de esta transformacion.
Formalizar el tema. 
")</f>
        <v>Proyectos: PWC la cuenta se puede caer porque no tiene mas clientes 
Nivel Compañeros: Esta trabajando con Andres Escorcia se ha entendido bien. 
A veces siento que se hacen comentarios machistas, en las reuniones de After Office, y ver como esto incomoda a las mujeres del equipo 
Patagonian : Estamos sufriendo algunos cambios, roles del comite de convivencia y va de la mano de esta transformacion.
Formalizar el tema. 
</v>
      </c>
      <c r="J216" s="4" t="str">
        <f>IFERROR(__xludf.DUMMYFUNCTION("""COMPUTED_VALUE"""),"PX|Referents|RRHH")</f>
        <v>PX|Referents|RRHH</v>
      </c>
    </row>
    <row r="217">
      <c r="A217" s="4">
        <f>IFERROR(__xludf.DUMMYFUNCTION("""COMPUTED_VALUE"""),249.0)</f>
        <v>249</v>
      </c>
      <c r="B217" s="4" t="str">
        <f>IFERROR(__xludf.DUMMYFUNCTION("""COMPUTED_VALUE"""),"nahuel.diaz")</f>
        <v>nahuel.diaz</v>
      </c>
      <c r="C217" s="5">
        <f>IFERROR(__xludf.DUMMYFUNCTION("""COMPUTED_VALUE"""),45057.73670043982)</f>
        <v>45057.7367</v>
      </c>
      <c r="D217" s="5">
        <f>IFERROR(__xludf.DUMMYFUNCTION("""COMPUTED_VALUE"""),45057.0)</f>
        <v>45057</v>
      </c>
      <c r="E217" s="4" t="str">
        <f>IFERROR(__xludf.DUMMYFUNCTION("""COMPUTED_VALUE"""),"henry.tong@patagoniansys.com")</f>
        <v>henry.tong@patagoniansys.com</v>
      </c>
      <c r="F217" s="4" t="str">
        <f>IFERROR(__xludf.DUMMYFUNCTION("""COMPUTED_VALUE"""),"nahuel.diaz@patagoniansys.com")</f>
        <v>nahuel.diaz@patagoniansys.com</v>
      </c>
      <c r="G217" s="4" t="str">
        <f>IFERROR(__xludf.DUMMYFUNCTION("""COMPUTED_VALUE"""),"Referent One on One")</f>
        <v>Referent One on One</v>
      </c>
      <c r="H217" s="4"/>
      <c r="I217" s="6" t="str">
        <f>IFERROR(__xludf.DUMMYFUNCTION("""COMPUTED_VALUE"""),"- Interviewee e-Mail: nahuel.diaz@patagoniansys.com
- Project Status Check: Projecto Sentiment terminó, pasó por Bench 1 semana, ahora está en American Bird
- Project Changes | Notes: Cambios por temas de proyectos. Sin problemas. Además son tecnologías q"&amp;"ue conoce como java y react
- Project Role | Feeling: 5
- Extra Work Hours | Amount: 0 (Ningúna)
- Techs | Research: Si, NodeJS
- Techs | Recomendations: Desea profundizar con temas de lenguajes de backend y yo le recomendé además de lenguajes revisar tip"&amp;"os de comunicación con backend también (rest, graphql, websockets...)
- Techs | Recomendations check: Si. Le recomendé la charla que hice sobre cloud providers y le sirvió para ubicarse mejor en por donde empezar con las nubes y quiere enfocarse en AWS
- "&amp;"Collaborator | Seniority: 👍 No, es correcto
- Project Needs / Oportunities: Si, a pesar de que es un backend developer también muestra interés por aprender frontend
- Project Techs | Learning: 0
- Techs | Research: 15
- Project Techs | Difficulty: 4
- Pr"&amp;"oject Changes | Reasons: Solamente cambio de proyectos
- Project Changes | Personal Impact: 5
- Project Role | Value: 5
- Project role | Notes: Los proyectos en los que está involucrado utilizan lo que le gusta (backend con java)")</f>
        <v>- Interviewee e-Mail: nahuel.diaz@patagoniansys.com
- Project Status Check: Projecto Sentiment terminó, pasó por Bench 1 semana, ahora está en American Bird
- Project Changes | Notes: Cambios por temas de proyectos. Sin problemas. Además son tecnologías que conoce como java y react
- Project Role | Feeling: 5
- Extra Work Hours | Amount: 0 (Ningúna)
- Techs | Research: Si, NodeJS
- Techs | Recomendations: Desea profundizar con temas de lenguajes de backend y yo le recomendé además de lenguajes revisar tipos de comunicación con backend también (rest, graphql, websockets...)
- Techs | Recomendations check: Si. Le recomendé la charla que hice sobre cloud providers y le sirvió para ubicarse mejor en por donde empezar con las nubes y quiere enfocarse en AWS
- Collaborator | Seniority: 👍 No, es correcto
- Project Needs / Oportunities: Si, a pesar de que es un backend developer también muestra interés por aprender frontend
- Project Techs | Learning: 0
- Techs | Research: 15
- Project Techs | Difficulty: 4
- Project Changes | Reasons: Solamente cambio de proyectos
- Project Changes | Personal Impact: 5
- Project Role | Value: 5
- Project role | Notes: Los proyectos en los que está involucrado utilizan lo que le gusta (backend con java)</v>
      </c>
      <c r="J217" s="4" t="str">
        <f>IFERROR(__xludf.DUMMYFUNCTION("""COMPUTED_VALUE"""),"Tech Referent - OneOnOne")</f>
        <v>Tech Referent - OneOnOne</v>
      </c>
    </row>
    <row r="218">
      <c r="A218" s="4">
        <f>IFERROR(__xludf.DUMMYFUNCTION("""COMPUTED_VALUE"""),197.0)</f>
        <v>197</v>
      </c>
      <c r="B218" s="4" t="str">
        <f>IFERROR(__xludf.DUMMYFUNCTION("""COMPUTED_VALUE"""),"gianfranco.fois")</f>
        <v>gianfranco.fois</v>
      </c>
      <c r="C218" s="5">
        <f>IFERROR(__xludf.DUMMYFUNCTION("""COMPUTED_VALUE"""),45061.488334548616)</f>
        <v>45061.48833</v>
      </c>
      <c r="D218" s="5">
        <f>IFERROR(__xludf.DUMMYFUNCTION("""COMPUTED_VALUE"""),45057.0)</f>
        <v>45057</v>
      </c>
      <c r="E218" s="4" t="str">
        <f>IFERROR(__xludf.DUMMYFUNCTION("""COMPUTED_VALUE"""),"jmartinez@patagoniansys.com")</f>
        <v>jmartinez@patagoniansys.com</v>
      </c>
      <c r="F218" s="4" t="str">
        <f>IFERROR(__xludf.DUMMYFUNCTION("""COMPUTED_VALUE"""),"gianfranco.fois@patagonian.com")</f>
        <v>gianfranco.fois@patagonian.com</v>
      </c>
      <c r="G218" s="4" t="str">
        <f>IFERROR(__xludf.DUMMYFUNCTION("""COMPUTED_VALUE"""),"Referent One on One")</f>
        <v>Referent One on One</v>
      </c>
      <c r="H218" s="4"/>
      <c r="I218" s="6" t="str">
        <f>IFERROR(__xludf.DUMMYFUNCTION("""COMPUTED_VALUE"""),"- Interviewee e-Mail: gianfranco.fois@patagonian.com
- Project Status Check: Desde la última reunión Gian cambió de proyecto, entró a reemplazar a alguien en el backend.
- Project Role | Feeling: 4
- Extra Work Hours | Amount: 0 (Ningúna)
- Techs | Recome"&amp;"ndations: Gian está muy interesado en aprender Android nativo para complementar el conocimiento que tiene de React Native, como no le gusta mucho hacer cursos largos le recomendé los codelabs de Google que parecen más actualizados: https://developer.andro"&amp;"id.com/courses/android-basics-compose/course
- Collaborator | Seniority: 👍 No, es correcto
- Project Techs | Learning: 0
- Project Techs | Difficulty: 3
- Project Changes | Reasons: 🟰 No hubo cambios
- Project Role | Value: 4
- Project role | Notes: Lo "&amp;"que más le gustó del proyecto nuevo es usar una tecnología nueva para el (Strapi) y que empezó a servir de mentor/referencia para un compañero con menos experiencia.")</f>
        <v>- Interviewee e-Mail: gianfranco.fois@patagonian.com
- Project Status Check: Desde la última reunión Gian cambió de proyecto, entró a reemplazar a alguien en el backend.
- Project Role | Feeling: 4
- Extra Work Hours | Amount: 0 (Ningúna)
- Techs | Recomendations: Gian está muy interesado en aprender Android nativo para complementar el conocimiento que tiene de React Native, como no le gusta mucho hacer cursos largos le recomendé los codelabs de Google que parecen más actualizados: https://developer.android.com/courses/android-basics-compose/course
- Collaborator | Seniority: 👍 No, es correcto
- Project Techs | Learning: 0
- Project Techs | Difficulty: 3
- Project Changes | Reasons: 🟰 No hubo cambios
- Project Role | Value: 4
- Project role | Notes: Lo que más le gustó del proyecto nuevo es usar una tecnología nueva para el (Strapi) y que empezó a servir de mentor/referencia para un compañero con menos experiencia.</v>
      </c>
      <c r="J218" s="4" t="str">
        <f>IFERROR(__xludf.DUMMYFUNCTION("""COMPUTED_VALUE"""),"Tech Referent - OneOnOne")</f>
        <v>Tech Referent - OneOnOne</v>
      </c>
    </row>
    <row r="219" hidden="1">
      <c r="A219" s="4">
        <f>IFERROR(__xludf.DUMMYFUNCTION("""COMPUTED_VALUE"""),106.0)</f>
        <v>106</v>
      </c>
      <c r="B219" s="4" t="str">
        <f>IFERROR(__xludf.DUMMYFUNCTION("""COMPUTED_VALUE"""),"natalia.martinez")</f>
        <v>natalia.martinez</v>
      </c>
      <c r="C219" s="5">
        <f>IFERROR(__xludf.DUMMYFUNCTION("""COMPUTED_VALUE"""),45075.45252037037)</f>
        <v>45075.45252</v>
      </c>
      <c r="D219" s="5">
        <f>IFERROR(__xludf.DUMMYFUNCTION("""COMPUTED_VALUE"""),45057.0)</f>
        <v>45057</v>
      </c>
      <c r="E219" s="4" t="str">
        <f>IFERROR(__xludf.DUMMYFUNCTION("""COMPUTED_VALUE"""),"maria.llano@patagoniansys.com")</f>
        <v>maria.llano@patagoniansys.com</v>
      </c>
      <c r="F219" s="4" t="str">
        <f>IFERROR(__xludf.DUMMYFUNCTION("""COMPUTED_VALUE"""),"natalia.martinez@patagoniansys.com")</f>
        <v>natalia.martinez@patagoniansys.com</v>
      </c>
      <c r="G219" s="4" t="str">
        <f>IFERROR(__xludf.DUMMYFUNCTION("""COMPUTED_VALUE"""),"⏱ One on One")</f>
        <v>⏱ One on One</v>
      </c>
      <c r="H219" s="4" t="str">
        <f>IFERROR(__xludf.DUMMYFUNCTION("""COMPUTED_VALUE"""),"🙂 Feliz")</f>
        <v>🙂 Feliz</v>
      </c>
      <c r="I219" s="6" t="str">
        <f>IFERROR(__xludf.DUMMYFUNCTION("""COMPUTED_VALUE"""),"Esta muy contenta con el proyecto y la empresa, tiene conocimiento profundo sobre el proyecto ya que ha trabajado ya varios años, el cliente y el equipo confia mucho en ella. Se siente a gusto y le gustaria desempeñarse como PO sin dejar de lado QA ")</f>
        <v>Esta muy contenta con el proyecto y la empresa, tiene conocimiento profundo sobre el proyecto ya que ha trabajado ya varios años, el cliente y el equipo confia mucho en ella. Se siente a gusto y le gustaria desempeñarse como PO sin dejar de lado QA </v>
      </c>
      <c r="J219" s="4" t="str">
        <f>IFERROR(__xludf.DUMMYFUNCTION("""COMPUTED_VALUE"""),"PX|Referents|RRHH")</f>
        <v>PX|Referents|RRHH</v>
      </c>
    </row>
    <row r="220" hidden="1">
      <c r="A220" s="4">
        <f>IFERROR(__xludf.DUMMYFUNCTION("""COMPUTED_VALUE"""),149.0)</f>
        <v>149</v>
      </c>
      <c r="B220" s="4" t="str">
        <f>IFERROR(__xludf.DUMMYFUNCTION("""COMPUTED_VALUE"""),"jonatan.ordonez")</f>
        <v>jonatan.ordonez</v>
      </c>
      <c r="C220" s="5">
        <f>IFERROR(__xludf.DUMMYFUNCTION("""COMPUTED_VALUE"""),45075.456756712956)</f>
        <v>45075.45676</v>
      </c>
      <c r="D220" s="5">
        <f>IFERROR(__xludf.DUMMYFUNCTION("""COMPUTED_VALUE"""),45057.0)</f>
        <v>45057</v>
      </c>
      <c r="E220" s="4" t="str">
        <f>IFERROR(__xludf.DUMMYFUNCTION("""COMPUTED_VALUE"""),"maria.llano@patagoniansys.com")</f>
        <v>maria.llano@patagoniansys.com</v>
      </c>
      <c r="F220" s="4" t="str">
        <f>IFERROR(__xludf.DUMMYFUNCTION("""COMPUTED_VALUE"""),"jonatan.ordonez@patagoniansys.com")</f>
        <v>jonatan.ordonez@patagoniansys.com</v>
      </c>
      <c r="G220" s="4" t="str">
        <f>IFERROR(__xludf.DUMMYFUNCTION("""COMPUTED_VALUE"""),"⏱ One on One")</f>
        <v>⏱ One on One</v>
      </c>
      <c r="H220" s="4" t="str">
        <f>IFERROR(__xludf.DUMMYFUNCTION("""COMPUTED_VALUE"""),"🙂 Feliz")</f>
        <v>🙂 Feliz</v>
      </c>
      <c r="I220" s="6" t="str">
        <f>IFERROR(__xludf.DUMMYFUNCTION("""COMPUTED_VALUE"""),"Le gusta mucho el proyecto, ahora tiene mas responsabilidades porque esta trbajando de la mano con el TL, ha aprendido bastante a veces le cuesta sentirse desafiado, piensa que necesita nuevos retos. ")</f>
        <v>Le gusta mucho el proyecto, ahora tiene mas responsabilidades porque esta trbajando de la mano con el TL, ha aprendido bastante a veces le cuesta sentirse desafiado, piensa que necesita nuevos retos. </v>
      </c>
      <c r="J220" s="4" t="str">
        <f>IFERROR(__xludf.DUMMYFUNCTION("""COMPUTED_VALUE"""),"PX|Referents|RRHH")</f>
        <v>PX|Referents|RRHH</v>
      </c>
    </row>
    <row r="221" hidden="1">
      <c r="A221" s="4">
        <f>IFERROR(__xludf.DUMMYFUNCTION("""COMPUTED_VALUE"""),282.0)</f>
        <v>282</v>
      </c>
      <c r="B221" s="4" t="str">
        <f>IFERROR(__xludf.DUMMYFUNCTION("""COMPUTED_VALUE"""),"julian.zambroni")</f>
        <v>julian.zambroni</v>
      </c>
      <c r="C221" s="5">
        <f>IFERROR(__xludf.DUMMYFUNCTION("""COMPUTED_VALUE"""),45075.45935513889)</f>
        <v>45075.45936</v>
      </c>
      <c r="D221" s="5">
        <f>IFERROR(__xludf.DUMMYFUNCTION("""COMPUTED_VALUE"""),45057.0)</f>
        <v>45057</v>
      </c>
      <c r="E221" s="4" t="str">
        <f>IFERROR(__xludf.DUMMYFUNCTION("""COMPUTED_VALUE"""),"maria.llano@patagoniansys.com")</f>
        <v>maria.llano@patagoniansys.com</v>
      </c>
      <c r="F221" s="4" t="str">
        <f>IFERROR(__xludf.DUMMYFUNCTION("""COMPUTED_VALUE"""),"julian.zambroni@patagoniansys.com")</f>
        <v>julian.zambroni@patagoniansys.com</v>
      </c>
      <c r="G221" s="4" t="str">
        <f>IFERROR(__xludf.DUMMYFUNCTION("""COMPUTED_VALUE"""),"⏱ One on One")</f>
        <v>⏱ One on One</v>
      </c>
      <c r="H221" s="4" t="str">
        <f>IFERROR(__xludf.DUMMYFUNCTION("""COMPUTED_VALUE"""),"🙂 Feliz")</f>
        <v>🙂 Feliz</v>
      </c>
      <c r="I221" s="6" t="str">
        <f>IFERROR(__xludf.DUMMYFUNCTION("""COMPUTED_VALUE"""),"Se siente muy contento, ha mejorado notablemnte, es muy bueno y el equipo lo sabe y lo apoya para darle responsabilidades, se siente en constante aprendizaje ")</f>
        <v>Se siente muy contento, ha mejorado notablemnte, es muy bueno y el equipo lo sabe y lo apoya para darle responsabilidades, se siente en constante aprendizaje </v>
      </c>
      <c r="J221" s="4" t="str">
        <f>IFERROR(__xludf.DUMMYFUNCTION("""COMPUTED_VALUE"""),"PX|Referents|RRHH")</f>
        <v>PX|Referents|RRHH</v>
      </c>
    </row>
    <row r="222" hidden="1">
      <c r="A222" s="4">
        <f>IFERROR(__xludf.DUMMYFUNCTION("""COMPUTED_VALUE"""),130.0)</f>
        <v>130</v>
      </c>
      <c r="B222" s="4" t="str">
        <f>IFERROR(__xludf.DUMMYFUNCTION("""COMPUTED_VALUE"""),"edgar.bonilla")</f>
        <v>edgar.bonilla</v>
      </c>
      <c r="C222" s="5">
        <f>IFERROR(__xludf.DUMMYFUNCTION("""COMPUTED_VALUE"""),45075.49067196759)</f>
        <v>45075.49067</v>
      </c>
      <c r="D222" s="5">
        <f>IFERROR(__xludf.DUMMYFUNCTION("""COMPUTED_VALUE"""),45057.0)</f>
        <v>45057</v>
      </c>
      <c r="E222" s="4" t="str">
        <f>IFERROR(__xludf.DUMMYFUNCTION("""COMPUTED_VALUE"""),"gonzalo.garro@patagoniansys.com")</f>
        <v>gonzalo.garro@patagoniansys.com</v>
      </c>
      <c r="F222" s="4" t="str">
        <f>IFERROR(__xludf.DUMMYFUNCTION("""COMPUTED_VALUE"""),"edgar.bonilla@patagoniansys.com")</f>
        <v>edgar.bonilla@patagoniansys.com</v>
      </c>
      <c r="G222" s="4" t="str">
        <f>IFERROR(__xludf.DUMMYFUNCTION("""COMPUTED_VALUE"""),"Leader - Specialist - One on one")</f>
        <v>Leader - Specialist - One on one</v>
      </c>
      <c r="H222" s="4" t="str">
        <f>IFERROR(__xludf.DUMMYFUNCTION("""COMPUTED_VALUE"""),"🙂 Feliz")</f>
        <v>🙂 Feliz</v>
      </c>
      <c r="I222" s="6" t="str">
        <f>IFERROR(__xludf.DUMMYFUNCTION("""COMPUTED_VALUE"""),"El programa de specialists le parece útil y está contento participando en él. La carga horaria no le parece grande.
Los tiempos estimados para las meets la parecieron muy poco. Generalmente la initial le toma 1 hora y media para las siguientes.
intenta qu"&amp;"e la meet sea más como una charla y no hacerla parecer una entrevista guionada.
Problemas/Alertas:
- Cristian Cortez problema con el proyecto. Pero ya lo están controlando. Le asignan techs que no son propias, por que mataron la app mobile. Tiene que apr"&amp;"ender techs que no domina o no le interesan.
- Proyectos quedan con la firma del desarrollador y no de Patagonian. No hay estándares o manuales de buenas prácticas. Cada desarrollador hace lo que le parece y no hay una bajada de línea desde Patagonian com"&amp;"o para el producto tenga el sello Patagonian.")</f>
        <v>El programa de specialists le parece útil y está contento participando en él. La carga horaria no le parece grande.
Los tiempos estimados para las meets la parecieron muy poco. Generalmente la initial le toma 1 hora y media para las siguientes.
intenta que la meet sea más como una charla y no hacerla parecer una entrevista guionada.
Problemas/Alertas:
- Cristian Cortez problema con el proyecto. Pero ya lo están controlando. Le asignan techs que no son propias, por que mataron la app mobile. Tiene que aprender techs que no domina o no le interesan.
- Proyectos quedan con la firma del desarrollador y no de Patagonian. No hay estándares o manuales de buenas prácticas. Cada desarrollador hace lo que le parece y no hay una bajada de línea desde Patagonian como para el producto tenga el sello Patagonian.</v>
      </c>
      <c r="J222" s="4" t="str">
        <f>IFERROR(__xludf.DUMMYFUNCTION("""COMPUTED_VALUE"""),"PX|Referents|RRHH")</f>
        <v>PX|Referents|RRHH</v>
      </c>
    </row>
    <row r="223" hidden="1">
      <c r="A223" s="4">
        <f>IFERROR(__xludf.DUMMYFUNCTION("""COMPUTED_VALUE"""),204.0)</f>
        <v>204</v>
      </c>
      <c r="B223" s="4" t="str">
        <f>IFERROR(__xludf.DUMMYFUNCTION("""COMPUTED_VALUE"""),"luisa.fernandez")</f>
        <v>luisa.fernandez</v>
      </c>
      <c r="C223" s="5">
        <f>IFERROR(__xludf.DUMMYFUNCTION("""COMPUTED_VALUE"""),45058.655537199076)</f>
        <v>45058.65554</v>
      </c>
      <c r="D223" s="5">
        <f>IFERROR(__xludf.DUMMYFUNCTION("""COMPUTED_VALUE"""),45058.0)</f>
        <v>45058</v>
      </c>
      <c r="E223" s="4" t="str">
        <f>IFERROR(__xludf.DUMMYFUNCTION("""COMPUTED_VALUE"""),"diana.grajales@patagoniansys.com")</f>
        <v>diana.grajales@patagoniansys.com</v>
      </c>
      <c r="F223" s="4" t="str">
        <f>IFERROR(__xludf.DUMMYFUNCTION("""COMPUTED_VALUE"""),"luisa.fernandez@patagoniansys.com")</f>
        <v>luisa.fernandez@patagoniansys.com</v>
      </c>
      <c r="G223" s="4" t="str">
        <f>IFERROR(__xludf.DUMMYFUNCTION("""COMPUTED_VALUE"""),"👋 RRHH")</f>
        <v>👋 RRHH</v>
      </c>
      <c r="H223" s="4" t="str">
        <f>IFERROR(__xludf.DUMMYFUNCTION("""COMPUTED_VALUE"""),"🙂 Feliz")</f>
        <v>🙂 Feliz</v>
      </c>
      <c r="I223" s="6" t="str">
        <f>IFERROR(__xludf.DUMMYFUNCTION("""COMPUTED_VALUE"""),"Proyecto : 1 semana en Bench y esta semana esta asignada a un proyecto interno.
Evaluando el engagement de los usuarios, tienen muchos mas datos y ella esta hay ayudando. 
Con el equipo interno: Tomas, esta muy ocupado y debe ir avanzando debido a que no"&amp;" tiene tareas. 
Extraña la interaccion dia a dia
Pata Compañia:  Se siente bien, no se siente intranquilo, le dio mucha tranquilidad con la presentacion que hizo Fede. 
Colombia : Super bien los ama forever 
AWS : Solo necesita agendarla para tomar el ex"&amp;"amen de Certificado ")</f>
        <v>Proyecto : 1 semana en Bench y esta semana esta asignada a un proyecto interno.
Evaluando el engagement de los usuarios, tienen muchos mas datos y ella esta hay ayudando. 
Con el equipo interno: Tomas, esta muy ocupado y debe ir avanzando debido a que no tiene tareas. 
Extraña la interaccion dia a dia
Pata Compañia:  Se siente bien, no se siente intranquilo, le dio mucha tranquilidad con la presentacion que hizo Fede. 
Colombia : Super bien los ama forever 
AWS : Solo necesita agendarla para tomar el examen de Certificado </v>
      </c>
      <c r="J223" s="4" t="str">
        <f>IFERROR(__xludf.DUMMYFUNCTION("""COMPUTED_VALUE"""),"PX|Referents|RRHH")</f>
        <v>PX|Referents|RRHH</v>
      </c>
    </row>
    <row r="224" hidden="1">
      <c r="A224" s="4">
        <f>IFERROR(__xludf.DUMMYFUNCTION("""COMPUTED_VALUE"""),201.0)</f>
        <v>201</v>
      </c>
      <c r="B224" s="4" t="str">
        <f>IFERROR(__xludf.DUMMYFUNCTION("""COMPUTED_VALUE"""),"daniel.cardenas")</f>
        <v>daniel.cardenas</v>
      </c>
      <c r="C224" s="5">
        <f>IFERROR(__xludf.DUMMYFUNCTION("""COMPUTED_VALUE"""),45058.68182766204)</f>
        <v>45058.68183</v>
      </c>
      <c r="D224" s="5">
        <f>IFERROR(__xludf.DUMMYFUNCTION("""COMPUTED_VALUE"""),45058.0)</f>
        <v>45058</v>
      </c>
      <c r="E224" s="4" t="str">
        <f>IFERROR(__xludf.DUMMYFUNCTION("""COMPUTED_VALUE"""),"diana.grajales@patagoniansys.com")</f>
        <v>diana.grajales@patagoniansys.com</v>
      </c>
      <c r="F224" s="4" t="str">
        <f>IFERROR(__xludf.DUMMYFUNCTION("""COMPUTED_VALUE"""),"daniel.cardenas@patagoniansys.com")</f>
        <v>daniel.cardenas@patagoniansys.com</v>
      </c>
      <c r="G224" s="4" t="str">
        <f>IFERROR(__xludf.DUMMYFUNCTION("""COMPUTED_VALUE"""),"👋 RRHH")</f>
        <v>👋 RRHH</v>
      </c>
      <c r="H224" s="4" t="str">
        <f>IFERROR(__xludf.DUMMYFUNCTION("""COMPUTED_VALUE"""),"🙂 Feliz")</f>
        <v>🙂 Feliz</v>
      </c>
      <c r="I224" s="6" t="str">
        <f>IFERROR(__xludf.DUMMYFUNCTION("""COMPUTED_VALUE"""),"
Esta aprendido angular
Sigue en Al Mundo y le comento al PM  que no esta tan contento realizando Angular 
Sigue Feliz con Al Mundo 
Se esta apoyando mucho en ChatGPT y AI para sacar adelante procesos. 
Bloque del proyecto puede ser del Know How de la Emp"&amp;"resa, que las librerias son muy viejas.
Su nuevo equipo le parece divertido. 
Pata : Me encanta estoy muy contento, desde que vino Fede aca la compañia me da mucha seguridad. 
Equipo de Col: Necesitamos interacturar mucho mas
la pasa muy bien, un aura de "&amp;"amistad super chevere
Se siente tranquilo con  Tomas Bayley como PM, se comunica muy rapido, y no detecta ninguna red flag con respecto a el PM.
 ")</f>
        <v>
Esta aprendido angular
Sigue en Al Mundo y le comento al PM  que no esta tan contento realizando Angular 
Sigue Feliz con Al Mundo 
Se esta apoyando mucho en ChatGPT y AI para sacar adelante procesos. 
Bloque del proyecto puede ser del Know How de la Empresa, que las librerias son muy viejas.
Su nuevo equipo le parece divertido. 
Pata : Me encanta estoy muy contento, desde que vino Fede aca la compañia me da mucha seguridad. 
Equipo de Col: Necesitamos interacturar mucho mas
la pasa muy bien, un aura de amistad super chevere
Se siente tranquilo con  Tomas Bayley como PM, se comunica muy rapido, y no detecta ninguna red flag con respecto a el PM.
 </v>
      </c>
      <c r="J224" s="4" t="str">
        <f>IFERROR(__xludf.DUMMYFUNCTION("""COMPUTED_VALUE"""),"PX|Referents|RRHH")</f>
        <v>PX|Referents|RRHH</v>
      </c>
    </row>
    <row r="225" hidden="1">
      <c r="A225" s="4">
        <f>IFERROR(__xludf.DUMMYFUNCTION("""COMPUTED_VALUE"""),152.0)</f>
        <v>152</v>
      </c>
      <c r="B225" s="4" t="str">
        <f>IFERROR(__xludf.DUMMYFUNCTION("""COMPUTED_VALUE"""),"omar.fandino")</f>
        <v>omar.fandino</v>
      </c>
      <c r="C225" s="5">
        <f>IFERROR(__xludf.DUMMYFUNCTION("""COMPUTED_VALUE"""),45075.4825093287)</f>
        <v>45075.48251</v>
      </c>
      <c r="D225" s="5">
        <f>IFERROR(__xludf.DUMMYFUNCTION("""COMPUTED_VALUE"""),45058.0)</f>
        <v>45058</v>
      </c>
      <c r="E225" s="4" t="str">
        <f>IFERROR(__xludf.DUMMYFUNCTION("""COMPUTED_VALUE"""),"maria.llano@patagoniansys.com")</f>
        <v>maria.llano@patagoniansys.com</v>
      </c>
      <c r="F225" s="4" t="str">
        <f>IFERROR(__xludf.DUMMYFUNCTION("""COMPUTED_VALUE"""),"omar.fandino@patagoniansys.com")</f>
        <v>omar.fandino@patagoniansys.com</v>
      </c>
      <c r="G225" s="4" t="str">
        <f>IFERROR(__xludf.DUMMYFUNCTION("""COMPUTED_VALUE"""),"⏱ One on One")</f>
        <v>⏱ One on One</v>
      </c>
      <c r="H225" s="4" t="str">
        <f>IFERROR(__xludf.DUMMYFUNCTION("""COMPUTED_VALUE"""),"🙂 Feliz")</f>
        <v>🙂 Feliz</v>
      </c>
      <c r="I225" s="6" t="str">
        <f>IFERROR(__xludf.DUMMYFUNCTION("""COMPUTED_VALUE"""),"Esta contento por estar en un proyecto en ingles, ha mejorado muchisimo el idioma, esto lo hace sentir bien, esta preparado y consciente de que en cualquier momento pasa a otro proyecto. A veces siente que no puede aportar mucho por las dificultadoes del "&amp;"idioma 
")</f>
        <v>Esta contento por estar en un proyecto en ingles, ha mejorado muchisimo el idioma, esto lo hace sentir bien, esta preparado y consciente de que en cualquier momento pasa a otro proyecto. A veces siente que no puede aportar mucho por las dificultadoes del idioma 
</v>
      </c>
      <c r="J225" s="4" t="str">
        <f>IFERROR(__xludf.DUMMYFUNCTION("""COMPUTED_VALUE"""),"PX|Referents|RRHH")</f>
        <v>PX|Referents|RRHH</v>
      </c>
    </row>
    <row r="226" hidden="1">
      <c r="A226" s="4">
        <f>IFERROR(__xludf.DUMMYFUNCTION("""COMPUTED_VALUE"""),283.0)</f>
        <v>283</v>
      </c>
      <c r="B226" s="4" t="str">
        <f>IFERROR(__xludf.DUMMYFUNCTION("""COMPUTED_VALUE"""),"benjamin.bascary")</f>
        <v>benjamin.bascary</v>
      </c>
      <c r="C226" s="5">
        <f>IFERROR(__xludf.DUMMYFUNCTION("""COMPUTED_VALUE"""),45061.64500375)</f>
        <v>45061.645</v>
      </c>
      <c r="D226" s="5">
        <f>IFERROR(__xludf.DUMMYFUNCTION("""COMPUTED_VALUE"""),45061.0)</f>
        <v>45061</v>
      </c>
      <c r="E226" s="4" t="str">
        <f>IFERROR(__xludf.DUMMYFUNCTION("""COMPUTED_VALUE"""),"federico.peralta@patagoniansys.com")</f>
        <v>federico.peralta@patagoniansys.com</v>
      </c>
      <c r="F226" s="4" t="str">
        <f>IFERROR(__xludf.DUMMYFUNCTION("""COMPUTED_VALUE"""),"benjamin.bascary@patagoniansys.com")</f>
        <v>benjamin.bascary@patagoniansys.com</v>
      </c>
      <c r="G226" s="4" t="str">
        <f>IFERROR(__xludf.DUMMYFUNCTION("""COMPUTED_VALUE"""),"⏱ One on One")</f>
        <v>⏱ One on One</v>
      </c>
      <c r="H226" s="4" t="str">
        <f>IFERROR(__xludf.DUMMYFUNCTION("""COMPUTED_VALUE"""),"😀 Sumamente Feliz")</f>
        <v>😀 Sumamente Feliz</v>
      </c>
      <c r="I226" s="6" t="str">
        <f>IFERROR(__xludf.DUMMYFUNCTION("""COMPUTED_VALUE"""),"Benjamin esta muy contento con patagonian, manifesto que esta muy contento con el pm y dijo ""si me sacan el pm me voy de pata"" entiendo que lo dijo porque no conoce otros pms ya que no estuvo en otro proyecto, y se que mis otros companieros PMs trabajar"&amp;"ian de la misma forma que trabajo todo los dias. Dijo tambien que, desde que entro solo tuvo un aumento de sueldo y que si bien esta comodo en patagonian y ahora con Dani Mansilla veran el plan de carrera para que pueda crecer como dev, que  ""solo con lo"&amp;"s beneficios no llego a pagar cuentas ni a planificar"". ")</f>
        <v>Benjamin esta muy contento con patagonian, manifesto que esta muy contento con el pm y dijo "si me sacan el pm me voy de pata" entiendo que lo dijo porque no conoce otros pms ya que no estuvo en otro proyecto, y se que mis otros companieros PMs trabajarian de la misma forma que trabajo todo los dias. Dijo tambien que, desde que entro solo tuvo un aumento de sueldo y que si bien esta comodo en patagonian y ahora con Dani Mansilla veran el plan de carrera para que pueda crecer como dev, que  "solo con los beneficios no llego a pagar cuentas ni a planificar". </v>
      </c>
      <c r="J226" s="4" t="str">
        <f>IFERROR(__xludf.DUMMYFUNCTION("""COMPUTED_VALUE"""),"PX|Referents|RRHH")</f>
        <v>PX|Referents|RRHH</v>
      </c>
    </row>
    <row r="227" hidden="1">
      <c r="A227" s="4">
        <f>IFERROR(__xludf.DUMMYFUNCTION("""COMPUTED_VALUE"""),311.0)</f>
        <v>311</v>
      </c>
      <c r="B227" s="4" t="str">
        <f>IFERROR(__xludf.DUMMYFUNCTION("""COMPUTED_VALUE"""),"andres.murillo")</f>
        <v>andres.murillo</v>
      </c>
      <c r="C227" s="5">
        <f>IFERROR(__xludf.DUMMYFUNCTION("""COMPUTED_VALUE"""),45061.67643944445)</f>
        <v>45061.67644</v>
      </c>
      <c r="D227" s="5">
        <f>IFERROR(__xludf.DUMMYFUNCTION("""COMPUTED_VALUE"""),45061.0)</f>
        <v>45061</v>
      </c>
      <c r="E227" s="4" t="str">
        <f>IFERROR(__xludf.DUMMYFUNCTION("""COMPUTED_VALUE"""),"diana.grajales@patagoniansys.com")</f>
        <v>diana.grajales@patagoniansys.com</v>
      </c>
      <c r="F227" s="4" t="str">
        <f>IFERROR(__xludf.DUMMYFUNCTION("""COMPUTED_VALUE"""),"andres.murillo@patagoniansys.com")</f>
        <v>andres.murillo@patagoniansys.com</v>
      </c>
      <c r="G227" s="4" t="str">
        <f>IFERROR(__xludf.DUMMYFUNCTION("""COMPUTED_VALUE"""),"👋 RRHH")</f>
        <v>👋 RRHH</v>
      </c>
      <c r="H227" s="4" t="str">
        <f>IFERROR(__xludf.DUMMYFUNCTION("""COMPUTED_VALUE"""),"🙂 Feliz")</f>
        <v>🙂 Feliz</v>
      </c>
      <c r="I227" s="6" t="str">
        <f>IFERROR(__xludf.DUMMYFUNCTION("""COMPUTED_VALUE"""),"Proyecto: Expresa que el proyecto va muy bien, todas las tareas al dia.
PM: Natalia habla todos los dias y le envia el informe diario 
Con el cliente: tienen un mail especial que se lee todos los dias Daily Reporte
Patagonian: Ha estado chevere, hasta hoy"&amp;" porque en el nuevo Sprint tiene muchas tareas asignadas.
Ama las clases de ingles, el docente ha sido muy  chevere
Le gusta la dinamica de enviar informes diarios, y que se va hacer el proximo dia y es bueno para mantener cierto orden del proyecto ")</f>
        <v>Proyecto: Expresa que el proyecto va muy bien, todas las tareas al dia.
PM: Natalia habla todos los dias y le envia el informe diario 
Con el cliente: tienen un mail especial que se lee todos los dias Daily Reporte
Patagonian: Ha estado chevere, hasta hoy porque en el nuevo Sprint tiene muchas tareas asignadas.
Ama las clases de ingles, el docente ha sido muy  chevere
Le gusta la dinamica de enviar informes diarios, y que se va hacer el proximo dia y es bueno para mantener cierto orden del proyecto </v>
      </c>
      <c r="J227" s="4" t="str">
        <f>IFERROR(__xludf.DUMMYFUNCTION("""COMPUTED_VALUE"""),"PX|Referents|RRHH")</f>
        <v>PX|Referents|RRHH</v>
      </c>
    </row>
    <row r="228" hidden="1">
      <c r="A228" s="4">
        <f>IFERROR(__xludf.DUMMYFUNCTION("""COMPUTED_VALUE"""),277.0)</f>
        <v>277</v>
      </c>
      <c r="B228" s="4" t="str">
        <f>IFERROR(__xludf.DUMMYFUNCTION("""COMPUTED_VALUE"""),"david.risaro")</f>
        <v>david.risaro</v>
      </c>
      <c r="C228" s="5">
        <f>IFERROR(__xludf.DUMMYFUNCTION("""COMPUTED_VALUE"""),45062.66477137731)</f>
        <v>45062.66477</v>
      </c>
      <c r="D228" s="5">
        <f>IFERROR(__xludf.DUMMYFUNCTION("""COMPUTED_VALUE"""),45062.0)</f>
        <v>45062</v>
      </c>
      <c r="E228" s="4" t="str">
        <f>IFERROR(__xludf.DUMMYFUNCTION("""COMPUTED_VALUE"""),"micaela.zorzetto@patagoniansys.com")</f>
        <v>micaela.zorzetto@patagoniansys.com</v>
      </c>
      <c r="F228" s="4" t="str">
        <f>IFERROR(__xludf.DUMMYFUNCTION("""COMPUTED_VALUE"""),"david.risaro@patagoniansys.com")</f>
        <v>david.risaro@patagoniansys.com</v>
      </c>
      <c r="G228" s="4" t="str">
        <f>IFERROR(__xludf.DUMMYFUNCTION("""COMPUTED_VALUE"""),"⏱ One on One")</f>
        <v>⏱ One on One</v>
      </c>
      <c r="H228" s="4" t="str">
        <f>IFERROR(__xludf.DUMMYFUNCTION("""COMPUTED_VALUE"""),"😀 Sumamente Feliz")</f>
        <v>😀 Sumamente Feliz</v>
      </c>
      <c r="I228" s="6" t="str">
        <f>IFERROR(__xludf.DUMMYFUNCTION("""COMPUTED_VALUE"""),"Esta solo en un proyecto de la empresa, si bien no es lo que más le gusta, se siento cómodo y feliz en Patagonian. Me comenta de que todos los trabajos que tuve este es el mejor, por la calidad humana, cultura. 
Espero que pronto aparezca un nuevo proyect"&amp;"o para realizar el cambio, cree que ahora en mayo/junio puede surgir la oportunidad.")</f>
        <v>Esta solo en un proyecto de la empresa, si bien no es lo que más le gusta, se siento cómodo y feliz en Patagonian. Me comenta de que todos los trabajos que tuve este es el mejor, por la calidad humana, cultura. 
Espero que pronto aparezca un nuevo proyecto para realizar el cambio, cree que ahora en mayo/junio puede surgir la oportunidad.</v>
      </c>
      <c r="J228" s="4" t="str">
        <f>IFERROR(__xludf.DUMMYFUNCTION("""COMPUTED_VALUE"""),"PX|Referents|RRHH")</f>
        <v>PX|Referents|RRHH</v>
      </c>
    </row>
    <row r="229" hidden="1">
      <c r="A229" s="4">
        <f>IFERROR(__xludf.DUMMYFUNCTION("""COMPUTED_VALUE"""),315.0)</f>
        <v>315</v>
      </c>
      <c r="B229" s="4" t="str">
        <f>IFERROR(__xludf.DUMMYFUNCTION("""COMPUTED_VALUE"""),"juan.lara")</f>
        <v>juan.lara</v>
      </c>
      <c r="C229" s="5">
        <f>IFERROR(__xludf.DUMMYFUNCTION("""COMPUTED_VALUE"""),45062.73247743055)</f>
        <v>45062.73248</v>
      </c>
      <c r="D229" s="5">
        <f>IFERROR(__xludf.DUMMYFUNCTION("""COMPUTED_VALUE"""),45062.0)</f>
        <v>45062</v>
      </c>
      <c r="E229" s="4" t="str">
        <f>IFERROR(__xludf.DUMMYFUNCTION("""COMPUTED_VALUE"""),"diana.grajales@patagoniansys.com")</f>
        <v>diana.grajales@patagoniansys.com</v>
      </c>
      <c r="F229" s="4" t="str">
        <f>IFERROR(__xludf.DUMMYFUNCTION("""COMPUTED_VALUE"""),"juan.lara@patagoniansys.com")</f>
        <v>juan.lara@patagoniansys.com</v>
      </c>
      <c r="G229" s="4" t="str">
        <f>IFERROR(__xludf.DUMMYFUNCTION("""COMPUTED_VALUE"""),"👋 RRHH")</f>
        <v>👋 RRHH</v>
      </c>
      <c r="H229" s="4" t="str">
        <f>IFERROR(__xludf.DUMMYFUNCTION("""COMPUTED_VALUE"""),"🙂 Feliz")</f>
        <v>🙂 Feliz</v>
      </c>
      <c r="I229" s="6" t="str">
        <f>IFERROR(__xludf.DUMMYFUNCTION("""COMPUTED_VALUE"""),"Proyecto: Se ha sentido muy bien, con todas las personas del equipo se ha llevado muy bien. Esta en Snapcloud, todo lo relacionada con el proyecto le ha parecido interesante 
PM: Camra - Snapcloud se lleva muy bien le gusta mucho como gestiona. 
Hernan - "&amp;"se lleva muy bien y siempre esta atenta a sus necesidades 
Patagonian: se ha sentido muy bien, siempre estan atento a mis necesidades 
Equipo de Colombia: ha hablado con en, ha hablado con Edgar Bonilla y con algunos que estan en el proyecto. 
Esta hacien"&amp;"do unos cursos de Udemy sobre - ASP en Angular ")</f>
        <v>Proyecto: Se ha sentido muy bien, con todas las personas del equipo se ha llevado muy bien. Esta en Snapcloud, todo lo relacionada con el proyecto le ha parecido interesante 
PM: Camra - Snapcloud se lleva muy bien le gusta mucho como gestiona. 
Hernan - se lleva muy bien y siempre esta atenta a sus necesidades 
Patagonian: se ha sentido muy bien, siempre estan atento a mis necesidades 
Equipo de Colombia: ha hablado con en, ha hablado con Edgar Bonilla y con algunos que estan en el proyecto. 
Esta haciendo unos cursos de Udemy sobre - ASP en Angular </v>
      </c>
      <c r="J229" s="4" t="str">
        <f>IFERROR(__xludf.DUMMYFUNCTION("""COMPUTED_VALUE"""),"PX|Referents|RRHH")</f>
        <v>PX|Referents|RRHH</v>
      </c>
    </row>
    <row r="230">
      <c r="A230" s="4">
        <f>IFERROR(__xludf.DUMMYFUNCTION("""COMPUTED_VALUE"""),234.0)</f>
        <v>234</v>
      </c>
      <c r="B230" s="4" t="str">
        <f>IFERROR(__xludf.DUMMYFUNCTION("""COMPUTED_VALUE"""),"matias.gudar")</f>
        <v>matias.gudar</v>
      </c>
      <c r="C230" s="5">
        <f>IFERROR(__xludf.DUMMYFUNCTION("""COMPUTED_VALUE"""),45062.745299317125)</f>
        <v>45062.7453</v>
      </c>
      <c r="D230" s="5">
        <f>IFERROR(__xludf.DUMMYFUNCTION("""COMPUTED_VALUE"""),45062.0)</f>
        <v>45062</v>
      </c>
      <c r="E230" s="4" t="str">
        <f>IFERROR(__xludf.DUMMYFUNCTION("""COMPUTED_VALUE"""),"gonzalo.garro@patagoniansys.com")</f>
        <v>gonzalo.garro@patagoniansys.com</v>
      </c>
      <c r="F230" s="4" t="str">
        <f>IFERROR(__xludf.DUMMYFUNCTION("""COMPUTED_VALUE"""),"matias.gudar@patagoniansys.com")</f>
        <v>matias.gudar@patagoniansys.com</v>
      </c>
      <c r="G230" s="4" t="str">
        <f>IFERROR(__xludf.DUMMYFUNCTION("""COMPUTED_VALUE"""),"Initial gathering")</f>
        <v>Initial gathering</v>
      </c>
      <c r="H230" s="4"/>
      <c r="I230" s="6" t="str">
        <f>IFERROR(__xludf.DUMMYFUNCTION("""COMPUTED_VALUE"""),"- Interviewee e-Mail: matias.gudar@patagoniansys.com
- Project name: Forge
- Project | Role: Data Engineer
- Project | Description: Forge para funding de empresas
- Project | technologies: Python, AWS para la infra, Snowflake. Fivetran, Bornio.
- Happines"&amp;"s in project technology: 🙂 Feliz
- Happiness in project technology | Description: Le gusta tocar partes de infra, pipelines. Esta contento con las tecnologías que esta manejando, sobre todo la parte de AWS y sus servicios. No tanto con Bornio y Fivetran
"&amp;"- Project | The best/coolest thing: AWS y manejar servicios. Manejo de DevOps por parte de ellos.
- Project | The worst thing: Bornio, está muy arraigado en el proyecto, pero se lo quieren sacar de encima
- Project | Improvements: Se están tratando de sac"&amp;"ar de encima bornio pero esta muy arraigado en el proyecto y Fivetran esta muy verde, en beta.
- Team | TL: Martín Infante
- Team | PX: Marcela benavidez
- Team | QA: 0
- Team | QA Automation: 👍 Si
- Team | QA | Notes: Necesitan tests de integración. Hac"&amp;"en unit tests, no se aprueban los PRs si no hay unit tests
- Team | UI/UX: 0
- Team | DevOps: 0
- Team | DevOps | Notes: Ellos mismos configuran la infra
- Team | Data Engineer: 0")</f>
        <v>- Interviewee e-Mail: matias.gudar@patagoniansys.com
- Project name: Forge
- Project | Role: Data Engineer
- Project | Description: Forge para funding de empresas
- Project | technologies: Python, AWS para la infra, Snowflake. Fivetran, Bornio.
- Happiness in project technology: 🙂 Feliz
- Happiness in project technology | Description: Le gusta tocar partes de infra, pipelines. Esta contento con las tecnologías que esta manejando, sobre todo la parte de AWS y sus servicios. No tanto con Bornio y Fivetran
- Project | The best/coolest thing: AWS y manejar servicios. Manejo de DevOps por parte de ellos.
- Project | The worst thing: Bornio, está muy arraigado en el proyecto, pero se lo quieren sacar de encima
- Project | Improvements: Se están tratando de sacar de encima bornio pero esta muy arraigado en el proyecto y Fivetran esta muy verde, en beta.
- Team | TL: Martín Infante
- Team | PX: Marcela benavidez
- Team | QA: 0
- Team | QA Automation: 👍 Si
- Team | QA | Notes: Necesitan tests de integración. Hacen unit tests, no se aprueban los PRs si no hay unit tests
- Team | UI/UX: 0
- Team | DevOps: 0
- Team | DevOps | Notes: Ellos mismos configuran la infra
- Team | Data Engineer: 0</v>
      </c>
      <c r="J230" s="4" t="str">
        <f>IFERROR(__xludf.DUMMYFUNCTION("""COMPUTED_VALUE"""),"Tech Referent - Initial gathering")</f>
        <v>Tech Referent - Initial gathering</v>
      </c>
    </row>
    <row r="231">
      <c r="A231" s="4">
        <f>IFERROR(__xludf.DUMMYFUNCTION("""COMPUTED_VALUE"""),283.0)</f>
        <v>283</v>
      </c>
      <c r="B231" s="4" t="str">
        <f>IFERROR(__xludf.DUMMYFUNCTION("""COMPUTED_VALUE"""),"benjamin.bascary")</f>
        <v>benjamin.bascary</v>
      </c>
      <c r="C231" s="5">
        <f>IFERROR(__xludf.DUMMYFUNCTION("""COMPUTED_VALUE"""),45063.424205972224)</f>
        <v>45063.42421</v>
      </c>
      <c r="D231" s="5">
        <f>IFERROR(__xludf.DUMMYFUNCTION("""COMPUTED_VALUE"""),45063.0)</f>
        <v>45063</v>
      </c>
      <c r="E231" s="4" t="str">
        <f>IFERROR(__xludf.DUMMYFUNCTION("""COMPUTED_VALUE"""),"daniel.mansilla@patagoniansys.com")</f>
        <v>daniel.mansilla@patagoniansys.com</v>
      </c>
      <c r="F231" s="4" t="str">
        <f>IFERROR(__xludf.DUMMYFUNCTION("""COMPUTED_VALUE"""),"benjamin.bascary@patagonian.com")</f>
        <v>benjamin.bascary@patagonian.com</v>
      </c>
      <c r="G231" s="4" t="str">
        <f>IFERROR(__xludf.DUMMYFUNCTION("""COMPUTED_VALUE"""),"Initial gathering")</f>
        <v>Initial gathering</v>
      </c>
      <c r="H231" s="4"/>
      <c r="I231" s="6" t="str">
        <f>IFERROR(__xludf.DUMMYFUNCTION("""COMPUTED_VALUE"""),"- Interviewee e-Mail: benjamin.bascary@patagonian.com
- Project name: Diario Rio Negro
- Project | Role: Backend Developer, Frontend Developer, Mobile Developer
- Project | Description: El desarrollo mayormente está orientado a dos aplicaciones: Una de si"&amp;"stema de gestión de usuarios y suscripciones del Diario RN y otra para streaming de radio.
- Project | technologies: Laravel, NestJS, NextJS, React, ReactNative.
- Happiness in project technology: 🙂 Feliz
- Happiness in project technology | Description: "&amp;"Le resulta un poco desmotivante que en ocasiones tiene que trabajar en partes del proyecto que tienen código legacy un tanto desfazado (viejo), con deuda técnica y la falta de documentación de dichas partes.
- Project | The best/coolest thing: El proyecto"&amp;" es una buena oportunidad para aprender y ganar experiencia desde el punto de vista técnico y un poco de negocio. Tiene que tomar decisiones al momento de implementar cosas y eso suma a la experiencia.
- Project | The worst thing: Muchas tareas en tecnolo"&amp;"gía viejas.
- Project | Improvements: Ve que hay oportunidad de mejorar el código y cerrar cosas que por cuestiones de tiempo no se han hecho de la forma correcta e incluso completar algunos faltantes.
- Team | TL: No hay TL.
- Team | PX: Fede Peralta
- T"&amp;"eam | QA: 0
- Team | QA Automation: 👎 No
- Team | QA | Notes: No hay equipo de QA. Lo hace él mismo.
- Team | UI/UX: 0
- Team | DevOps: 🤔 Hay colaboradores pero no están asignados al proyecto
- Team | Data Engineer: 0")</f>
        <v>- Interviewee e-Mail: benjamin.bascary@patagonian.com
- Project name: Diario Rio Negro
- Project | Role: Backend Developer, Frontend Developer, Mobile Developer
- Project | Description: El desarrollo mayormente está orientado a dos aplicaciones: Una de sistema de gestión de usuarios y suscripciones del Diario RN y otra para streaming de radio.
- Project | technologies: Laravel, NestJS, NextJS, React, ReactNative.
- Happiness in project technology: 🙂 Feliz
- Happiness in project technology | Description: Le resulta un poco desmotivante que en ocasiones tiene que trabajar en partes del proyecto que tienen código legacy un tanto desfazado (viejo), con deuda técnica y la falta de documentación de dichas partes.
- Project | The best/coolest thing: El proyecto es una buena oportunidad para aprender y ganar experiencia desde el punto de vista técnico y un poco de negocio. Tiene que tomar decisiones al momento de implementar cosas y eso suma a la experiencia.
- Project | The worst thing: Muchas tareas en tecnología viejas.
- Project | Improvements: Ve que hay oportunidad de mejorar el código y cerrar cosas que por cuestiones de tiempo no se han hecho de la forma correcta e incluso completar algunos faltantes.
- Team | TL: No hay TL.
- Team | PX: Fede Peralta
- Team | QA: 0
- Team | QA Automation: 👎 No
- Team | QA | Notes: No hay equipo de QA. Lo hace él mismo.
- Team | UI/UX: 0
- Team | DevOps: 🤔 Hay colaboradores pero no están asignados al proyecto
- Team | Data Engineer: 0</v>
      </c>
      <c r="J231" s="4" t="str">
        <f>IFERROR(__xludf.DUMMYFUNCTION("""COMPUTED_VALUE"""),"Tech Referent - Initial gathering")</f>
        <v>Tech Referent - Initial gathering</v>
      </c>
    </row>
    <row r="232">
      <c r="A232" s="4">
        <f>IFERROR(__xludf.DUMMYFUNCTION("""COMPUTED_VALUE"""),173.0)</f>
        <v>173</v>
      </c>
      <c r="B232" s="4" t="str">
        <f>IFERROR(__xludf.DUMMYFUNCTION("""COMPUTED_VALUE"""),"elias.caram")</f>
        <v>elias.caram</v>
      </c>
      <c r="C232" s="5">
        <f>IFERROR(__xludf.DUMMYFUNCTION("""COMPUTED_VALUE"""),45063.722693009266)</f>
        <v>45063.72269</v>
      </c>
      <c r="D232" s="5">
        <f>IFERROR(__xludf.DUMMYFUNCTION("""COMPUTED_VALUE"""),45063.0)</f>
        <v>45063</v>
      </c>
      <c r="E232" s="4" t="str">
        <f>IFERROR(__xludf.DUMMYFUNCTION("""COMPUTED_VALUE"""),"rodrigo.cibils@patagoniansys.com")</f>
        <v>rodrigo.cibils@patagoniansys.com</v>
      </c>
      <c r="F232" s="4" t="str">
        <f>IFERROR(__xludf.DUMMYFUNCTION("""COMPUTED_VALUE"""),"elias.caram@patagoniansys.com")</f>
        <v>elias.caram@patagoniansys.com</v>
      </c>
      <c r="G232" s="4" t="str">
        <f>IFERROR(__xludf.DUMMYFUNCTION("""COMPUTED_VALUE"""),"Referent One on One")</f>
        <v>Referent One on One</v>
      </c>
      <c r="H232" s="4"/>
      <c r="I232" s="6" t="str">
        <f>IFERROR(__xludf.DUMMYFUNCTION("""COMPUTED_VALUE"""),"- Interviewee e-Mail: elias.caram@patagoniansys.com
- Project Status Check: Trabajando en INVAP, junto con otro desarrollador de mobile. Maquetando pantallas y ayudando a implementar. Se siente comodo y no necesito ayuda.
- Project Changes | Notes: No hub"&amp;"o cambios con respecto a la ultima reunion.
- Project Role | Feeling: 4
- Extra Work Hours | Amount: 1 - 5 (Entre 1 y 5)
- Extra Work Hours | Reason: 🏁 Deadlines próximas e inamovibles
- Techs | Research: Estuvo viendo cosas de inteligencia artificial, i"&amp;"nvestigando las APIs de ChatGPT y como funciona.
- Techs | Recomendations: Le recomende que mire algunos videos de prompt engineering de cara a su interes por ChatGPT.
- Collaborator | Seniority: 👍 No, es correcto
- Alerts: Lo noto medio timido y escueto"&amp;" para comunicarse, por ahi hay que repreguntarle algo como para sacarle un poco mas de contenido a sus respuestas. Igualmente lo noto motivado y con ganas de aprender, ademas de sentir que esta aprendiendo y consciente de cosas que debe ir incorporando.
-"&amp;" Project Needs / Oportunities: El proyecto donde esta esta cerca de su fecha de fin y el entro hace no mucho en el por lo cual es dificil detectar necesidades desde su experiencia al menos al dia de hoy.
- Project Techs | Learning: 2
- Techs | Research: 1"&amp;"6
- Project Techs | Difficulty: 3
- Project Changes | Reasons: 🟰 No hubo cambios
- Project Role | Value: 4
- Project role | Notes: Le gusta estar aprendiendo Typescript (el siempre uso Javascript con RN). Tambien siente que esta aprendiendo de arquitectu"&amp;"ra y como estructurar bien la app.")</f>
        <v>- Interviewee e-Mail: elias.caram@patagoniansys.com
- Project Status Check: Trabajando en INVAP, junto con otro desarrollador de mobile. Maquetando pantallas y ayudando a implementar. Se siente comodo y no necesito ayuda.
- Project Changes | Notes: No hubo cambios con respecto a la ultima reunion.
- Project Role | Feeling: 4
- Extra Work Hours | Amount: 1 - 5 (Entre 1 y 5)
- Extra Work Hours | Reason: 🏁 Deadlines próximas e inamovibles
- Techs | Research: Estuvo viendo cosas de inteligencia artificial, investigando las APIs de ChatGPT y como funciona.
- Techs | Recomendations: Le recomende que mire algunos videos de prompt engineering de cara a su interes por ChatGPT.
- Collaborator | Seniority: 👍 No, es correcto
- Alerts: Lo noto medio timido y escueto para comunicarse, por ahi hay que repreguntarle algo como para sacarle un poco mas de contenido a sus respuestas. Igualmente lo noto motivado y con ganas de aprender, ademas de sentir que esta aprendiendo y consciente de cosas que debe ir incorporando.
- Project Needs / Oportunities: El proyecto donde esta esta cerca de su fecha de fin y el entro hace no mucho en el por lo cual es dificil detectar necesidades desde su experiencia al menos al dia de hoy.
- Project Techs | Learning: 2
- Techs | Research: 16
- Project Techs | Difficulty: 3
- Project Changes | Reasons: 🟰 No hubo cambios
- Project Role | Value: 4
- Project role | Notes: Le gusta estar aprendiendo Typescript (el siempre uso Javascript con RN). Tambien siente que esta aprendiendo de arquitectura y como estructurar bien la app.</v>
      </c>
      <c r="J232" s="4" t="str">
        <f>IFERROR(__xludf.DUMMYFUNCTION("""COMPUTED_VALUE"""),"Tech Referent - OneOnOne")</f>
        <v>Tech Referent - OneOnOne</v>
      </c>
    </row>
    <row r="233" hidden="1">
      <c r="A233" s="4">
        <f>IFERROR(__xludf.DUMMYFUNCTION("""COMPUTED_VALUE"""),73.0)</f>
        <v>73</v>
      </c>
      <c r="B233" s="4" t="str">
        <f>IFERROR(__xludf.DUMMYFUNCTION("""COMPUTED_VALUE"""),"andres.attwell")</f>
        <v>andres.attwell</v>
      </c>
      <c r="C233" s="5">
        <f>IFERROR(__xludf.DUMMYFUNCTION("""COMPUTED_VALUE"""),45069.47927232639)</f>
        <v>45069.47927</v>
      </c>
      <c r="D233" s="5">
        <f>IFERROR(__xludf.DUMMYFUNCTION("""COMPUTED_VALUE"""),45063.0)</f>
        <v>45063</v>
      </c>
      <c r="E233" s="4" t="str">
        <f>IFERROR(__xludf.DUMMYFUNCTION("""COMPUTED_VALUE"""),"micaela.zorzetto@patagoniansys.com")</f>
        <v>micaela.zorzetto@patagoniansys.com</v>
      </c>
      <c r="F233" s="4" t="str">
        <f>IFERROR(__xludf.DUMMYFUNCTION("""COMPUTED_VALUE"""),"andres.attwell@patagoniansys.com")</f>
        <v>andres.attwell@patagoniansys.com</v>
      </c>
      <c r="G233" s="4" t="str">
        <f>IFERROR(__xludf.DUMMYFUNCTION("""COMPUTED_VALUE"""),"⏱ One on One")</f>
        <v>⏱ One on One</v>
      </c>
      <c r="H233" s="4" t="str">
        <f>IFERROR(__xludf.DUMMYFUNCTION("""COMPUTED_VALUE"""),"🙂 Feliz")</f>
        <v>🙂 Feliz</v>
      </c>
      <c r="I233" s="6" t="str">
        <f>IFERROR(__xludf.DUMMYFUNCTION("""COMPUTED_VALUE"""),"Esta terminando una integración que le pidió el cliente. 
Esta muy contento en el proyecto y con el equipo. ")</f>
        <v>Esta terminando una integración que le pidió el cliente. 
Esta muy contento en el proyecto y con el equipo. </v>
      </c>
      <c r="J233" s="4" t="str">
        <f>IFERROR(__xludf.DUMMYFUNCTION("""COMPUTED_VALUE"""),"PX|Referents|RRHH")</f>
        <v>PX|Referents|RRHH</v>
      </c>
    </row>
    <row r="234" hidden="1">
      <c r="A234" s="4">
        <f>IFERROR(__xludf.DUMMYFUNCTION("""COMPUTED_VALUE"""),85.0)</f>
        <v>85</v>
      </c>
      <c r="B234" s="4" t="str">
        <f>IFERROR(__xludf.DUMMYFUNCTION("""COMPUTED_VALUE"""),"camila.maron")</f>
        <v>camila.maron</v>
      </c>
      <c r="C234" s="5">
        <f>IFERROR(__xludf.DUMMYFUNCTION("""COMPUTED_VALUE"""),45069.495396770835)</f>
        <v>45069.4954</v>
      </c>
      <c r="D234" s="5">
        <f>IFERROR(__xludf.DUMMYFUNCTION("""COMPUTED_VALUE"""),45063.0)</f>
        <v>45063</v>
      </c>
      <c r="E234" s="4" t="str">
        <f>IFERROR(__xludf.DUMMYFUNCTION("""COMPUTED_VALUE"""),"micaela.zorzetto@patagoniansys.com")</f>
        <v>micaela.zorzetto@patagoniansys.com</v>
      </c>
      <c r="F234" s="4" t="str">
        <f>IFERROR(__xludf.DUMMYFUNCTION("""COMPUTED_VALUE"""),"camila.maron@patagoniansys.com")</f>
        <v>camila.maron@patagoniansys.com</v>
      </c>
      <c r="G234" s="4" t="str">
        <f>IFERROR(__xludf.DUMMYFUNCTION("""COMPUTED_VALUE"""),"⏱ One on One")</f>
        <v>⏱ One on One</v>
      </c>
      <c r="H234" s="4" t="str">
        <f>IFERROR(__xludf.DUMMYFUNCTION("""COMPUTED_VALUE"""),"🙂 Feliz")</f>
        <v>🙂 Feliz</v>
      </c>
      <c r="I234" s="6" t="str">
        <f>IFERROR(__xludf.DUMMYFUNCTION("""COMPUTED_VALUE"""),"Se siente cómoda en el proyecto, le gusta el equipo y como avanza todo. 
Empresa: le gustaría tener la posibilidad de ir mas seguido a la oficina de Roca.")</f>
        <v>Se siente cómoda en el proyecto, le gusta el equipo y como avanza todo. 
Empresa: le gustaría tener la posibilidad de ir mas seguido a la oficina de Roca.</v>
      </c>
      <c r="J234" s="4" t="str">
        <f>IFERROR(__xludf.DUMMYFUNCTION("""COMPUTED_VALUE"""),"PX|Referents|RRHH")</f>
        <v>PX|Referents|RRHH</v>
      </c>
    </row>
    <row r="235" hidden="1">
      <c r="A235" s="4">
        <f>IFERROR(__xludf.DUMMYFUNCTION("""COMPUTED_VALUE"""),145.0)</f>
        <v>145</v>
      </c>
      <c r="B235" s="4" t="str">
        <f>IFERROR(__xludf.DUMMYFUNCTION("""COMPUTED_VALUE"""),"victor.abitu")</f>
        <v>victor.abitu</v>
      </c>
      <c r="C235" s="5">
        <f>IFERROR(__xludf.DUMMYFUNCTION("""COMPUTED_VALUE"""),45069.64037461805)</f>
        <v>45069.64037</v>
      </c>
      <c r="D235" s="5">
        <f>IFERROR(__xludf.DUMMYFUNCTION("""COMPUTED_VALUE"""),45063.0)</f>
        <v>45063</v>
      </c>
      <c r="E235" s="4" t="str">
        <f>IFERROR(__xludf.DUMMYFUNCTION("""COMPUTED_VALUE"""),"micaela.zorzetto@patagoniansys.com")</f>
        <v>micaela.zorzetto@patagoniansys.com</v>
      </c>
      <c r="F235" s="4" t="str">
        <f>IFERROR(__xludf.DUMMYFUNCTION("""COMPUTED_VALUE"""),"victor.abitu@patagoniansys.com")</f>
        <v>victor.abitu@patagoniansys.com</v>
      </c>
      <c r="G235" s="4" t="str">
        <f>IFERROR(__xludf.DUMMYFUNCTION("""COMPUTED_VALUE"""),"⏱ One on One")</f>
        <v>⏱ One on One</v>
      </c>
      <c r="H235" s="4" t="str">
        <f>IFERROR(__xludf.DUMMYFUNCTION("""COMPUTED_VALUE"""),"🙂 Feliz")</f>
        <v>🙂 Feliz</v>
      </c>
      <c r="I235" s="6" t="str">
        <f>IFERROR(__xludf.DUMMYFUNCTION("""COMPUTED_VALUE"""),"Esta bien en el proyecto, contento con el equipo. 
Están viendo con el equipo de Halli de Patagonian de realizar una capacitación todos juntos, de Azure. Todavía estan viendo cual es la correcta. ")</f>
        <v>Esta bien en el proyecto, contento con el equipo. 
Están viendo con el equipo de Halli de Patagonian de realizar una capacitación todos juntos, de Azure. Todavía estan viendo cual es la correcta. </v>
      </c>
      <c r="J235" s="4" t="str">
        <f>IFERROR(__xludf.DUMMYFUNCTION("""COMPUTED_VALUE"""),"PX|Referents|RRHH")</f>
        <v>PX|Referents|RRHH</v>
      </c>
    </row>
    <row r="236" hidden="1">
      <c r="A236" s="4">
        <f>IFERROR(__xludf.DUMMYFUNCTION("""COMPUTED_VALUE"""),280.0)</f>
        <v>280</v>
      </c>
      <c r="B236" s="4" t="str">
        <f>IFERROR(__xludf.DUMMYFUNCTION("""COMPUTED_VALUE"""),"jose.flores")</f>
        <v>jose.flores</v>
      </c>
      <c r="C236" s="5">
        <f>IFERROR(__xludf.DUMMYFUNCTION("""COMPUTED_VALUE"""),45070.914181203705)</f>
        <v>45070.91418</v>
      </c>
      <c r="D236" s="5">
        <f>IFERROR(__xludf.DUMMYFUNCTION("""COMPUTED_VALUE"""),45063.0)</f>
        <v>45063</v>
      </c>
      <c r="E236" s="4" t="str">
        <f>IFERROR(__xludf.DUMMYFUNCTION("""COMPUTED_VALUE"""),"micaela.zorzetto@patagoniansys.com")</f>
        <v>micaela.zorzetto@patagoniansys.com</v>
      </c>
      <c r="F236" s="4" t="str">
        <f>IFERROR(__xludf.DUMMYFUNCTION("""COMPUTED_VALUE"""),"jose.flores@patagoniansys.com")</f>
        <v>jose.flores@patagoniansys.com</v>
      </c>
      <c r="G236" s="4" t="str">
        <f>IFERROR(__xludf.DUMMYFUNCTION("""COMPUTED_VALUE"""),"⏱ One on One")</f>
        <v>⏱ One on One</v>
      </c>
      <c r="H236" s="4" t="str">
        <f>IFERROR(__xludf.DUMMYFUNCTION("""COMPUTED_VALUE"""),"🙂 Feliz")</f>
        <v>🙂 Feliz</v>
      </c>
      <c r="I236" s="6" t="str">
        <f>IFERROR(__xludf.DUMMYFUNCTION("""COMPUTED_VALUE"""),"Está cómodo en el proyecto. Esta junto con el equipo viendo para hacer el curso de Azure. ")</f>
        <v>Está cómodo en el proyecto. Esta junto con el equipo viendo para hacer el curso de Azure. </v>
      </c>
      <c r="J236" s="4" t="str">
        <f>IFERROR(__xludf.DUMMYFUNCTION("""COMPUTED_VALUE"""),"PX|Referents|RRHH")</f>
        <v>PX|Referents|RRHH</v>
      </c>
    </row>
    <row r="237" hidden="1">
      <c r="A237" s="4">
        <f>IFERROR(__xludf.DUMMYFUNCTION("""COMPUTED_VALUE"""),13.0)</f>
        <v>13</v>
      </c>
      <c r="B237" s="4" t="str">
        <f>IFERROR(__xludf.DUMMYFUNCTION("""COMPUTED_VALUE"""),"eugenio.fioriti")</f>
        <v>eugenio.fioriti</v>
      </c>
      <c r="C237" s="5">
        <f>IFERROR(__xludf.DUMMYFUNCTION("""COMPUTED_VALUE"""),45064.458892152776)</f>
        <v>45064.45889</v>
      </c>
      <c r="D237" s="5">
        <f>IFERROR(__xludf.DUMMYFUNCTION("""COMPUTED_VALUE"""),45064.0)</f>
        <v>45064</v>
      </c>
      <c r="E237" s="4" t="str">
        <f>IFERROR(__xludf.DUMMYFUNCTION("""COMPUTED_VALUE"""),"jesica.petrauskas@patagoniansys.com")</f>
        <v>jesica.petrauskas@patagoniansys.com</v>
      </c>
      <c r="F237" s="4" t="str">
        <f>IFERROR(__xludf.DUMMYFUNCTION("""COMPUTED_VALUE"""),"eugenio.fioriti@patagoniansys.com")</f>
        <v>eugenio.fioriti@patagoniansys.com</v>
      </c>
      <c r="G237" s="4" t="str">
        <f>IFERROR(__xludf.DUMMYFUNCTION("""COMPUTED_VALUE"""),"⏱ One on One")</f>
        <v>⏱ One on One</v>
      </c>
      <c r="H237" s="4" t="str">
        <f>IFERROR(__xludf.DUMMYFUNCTION("""COMPUTED_VALUE"""),"😐 Indiferente")</f>
        <v>😐 Indiferente</v>
      </c>
      <c r="I237" s="6" t="str">
        <f>IFERROR(__xludf.DUMMYFUNCTION("""COMPUTED_VALUE"""),"Está bien en el proy en el que está ayudando ahora (Mbody) porque le gusta haber podido aprender más cosas y está preparando la entrevista para Halliburton. Siente que a veces lo mandan de acá para allá en pata, incluso a posiciones que no son de sus skil"&amp;"ls. Le sigue interesando más front end aunque por los proyectos termina inclinándose más a fullstack. Le interesaría especializarse tecnologías alrededor de nodejs. No le llaman la atención los cloud services, si tiene que hacer una certificación iría por"&amp;" la de amazon .
")</f>
        <v>Está bien en el proy en el que está ayudando ahora (Mbody) porque le gusta haber podido aprender más cosas y está preparando la entrevista para Halliburton. Siente que a veces lo mandan de acá para allá en pata, incluso a posiciones que no son de sus skills. Le sigue interesando más front end aunque por los proyectos termina inclinándose más a fullstack. Le interesaría especializarse tecnologías alrededor de nodejs. No le llaman la atención los cloud services, si tiene que hacer una certificación iría por la de amazon .
</v>
      </c>
      <c r="J237" s="4" t="str">
        <f>IFERROR(__xludf.DUMMYFUNCTION("""COMPUTED_VALUE"""),"PX|Referents|RRHH")</f>
        <v>PX|Referents|RRHH</v>
      </c>
    </row>
    <row r="238" hidden="1">
      <c r="A238" s="4">
        <f>IFERROR(__xludf.DUMMYFUNCTION("""COMPUTED_VALUE"""),339.0)</f>
        <v>339</v>
      </c>
      <c r="B238" s="4" t="str">
        <f>IFERROR(__xludf.DUMMYFUNCTION("""COMPUTED_VALUE"""),"sharon.trens")</f>
        <v>sharon.trens</v>
      </c>
      <c r="C238" s="5">
        <f>IFERROR(__xludf.DUMMYFUNCTION("""COMPUTED_VALUE"""),45064.553180752315)</f>
        <v>45064.55318</v>
      </c>
      <c r="D238" s="5">
        <f>IFERROR(__xludf.DUMMYFUNCTION("""COMPUTED_VALUE"""),45064.0)</f>
        <v>45064</v>
      </c>
      <c r="E238" s="4" t="str">
        <f>IFERROR(__xludf.DUMMYFUNCTION("""COMPUTED_VALUE"""),"diana.grajales@patagoniansys.com")</f>
        <v>diana.grajales@patagoniansys.com</v>
      </c>
      <c r="F238" s="4" t="str">
        <f>IFERROR(__xludf.DUMMYFUNCTION("""COMPUTED_VALUE"""),"sharon.trens@patagoniansys.com")</f>
        <v>sharon.trens@patagoniansys.com</v>
      </c>
      <c r="G238" s="4" t="str">
        <f>IFERROR(__xludf.DUMMYFUNCTION("""COMPUTED_VALUE"""),"👋 RRHH")</f>
        <v>👋 RRHH</v>
      </c>
      <c r="H238" s="4" t="str">
        <f>IFERROR(__xludf.DUMMYFUNCTION("""COMPUTED_VALUE"""),"🙂 Feliz")</f>
        <v>🙂 Feliz</v>
      </c>
      <c r="I238" s="6" t="str">
        <f>IFERROR(__xludf.DUMMYFUNCTION("""COMPUTED_VALUE"""),"Estaba trabajando en Halli 
Inicia con un proyecto  de licitacion interna
Se ha sentido muy bien con la empresa, la gente es muy cercana. Se ha sentido muy acompañada. 
Con el equipo de Colombia: Se ha sentido muy bien. 
Red Flag: En temas laborales ningu"&amp;"na, pero los chicos hay veces hablan de temas raros (politica, religion etc )
Esta en un curso de ingles presencial porque quiere salir de su casa 
Le gustaria ver beneficios de actividad fisica ")</f>
        <v>Estaba trabajando en Halli 
Inicia con un proyecto  de licitacion interna
Se ha sentido muy bien con la empresa, la gente es muy cercana. Se ha sentido muy acompañada. 
Con el equipo de Colombia: Se ha sentido muy bien. 
Red Flag: En temas laborales ninguna, pero los chicos hay veces hablan de temas raros (politica, religion etc )
Esta en un curso de ingles presencial porque quiere salir de su casa 
Le gustaria ver beneficios de actividad fisica </v>
      </c>
      <c r="J238" s="4" t="str">
        <f>IFERROR(__xludf.DUMMYFUNCTION("""COMPUTED_VALUE"""),"PX|Referents|RRHH")</f>
        <v>PX|Referents|RRHH</v>
      </c>
    </row>
    <row r="239">
      <c r="A239" s="4">
        <f>IFERROR(__xludf.DUMMYFUNCTION("""COMPUTED_VALUE"""),154.0)</f>
        <v>154</v>
      </c>
      <c r="B239" s="4" t="str">
        <f>IFERROR(__xludf.DUMMYFUNCTION("""COMPUTED_VALUE"""),"esteban.camacho")</f>
        <v>esteban.camacho</v>
      </c>
      <c r="C239" s="5">
        <f>IFERROR(__xludf.DUMMYFUNCTION("""COMPUTED_VALUE"""),45064.60353501158)</f>
        <v>45064.60354</v>
      </c>
      <c r="D239" s="5">
        <f>IFERROR(__xludf.DUMMYFUNCTION("""COMPUTED_VALUE"""),45064.0)</f>
        <v>45064</v>
      </c>
      <c r="E239" s="4" t="str">
        <f>IFERROR(__xludf.DUMMYFUNCTION("""COMPUTED_VALUE"""),"gonzalo.garro@patagoniansys.com")</f>
        <v>gonzalo.garro@patagoniansys.com</v>
      </c>
      <c r="F239" s="4" t="str">
        <f>IFERROR(__xludf.DUMMYFUNCTION("""COMPUTED_VALUE"""),"esteban.camacho@patagoniansys.com")</f>
        <v>esteban.camacho@patagoniansys.com</v>
      </c>
      <c r="G239" s="4" t="str">
        <f>IFERROR(__xludf.DUMMYFUNCTION("""COMPUTED_VALUE"""),"Referent One on One")</f>
        <v>Referent One on One</v>
      </c>
      <c r="H239" s="4"/>
      <c r="I239" s="6" t="str">
        <f>IFERROR(__xludf.DUMMYFUNCTION("""COMPUTED_VALUE"""),"- Interviewee e-Mail: esteban.camacho@patagoniansys.com
- Project Status Check: Están por sacar un MVP. Tenían hasta marzo pero se atraso. Luego del MVP esperan tener feedback de los usuarios y continuar con el desarrollo.
- Project Changes | Notes: Agreg"&amp;"aron Linter y están limpiando y refactorizando código. No estan usando typescript, eso le complica al refactorizar.
- Project Role | Feeling: 4
- Extra Work Hours | Amount: 0 (Ningúna)
- Techs | Certifications: AWS Developer
- Techs | Recomendations: Que "&amp;"avance y complete el curso de AWS.
- Collaborator | Seniority: 👍 No, es correcto
- Project Techs | Learning: 0.5
- Project Techs | Difficulty: 4
- Project Changes | Reasons: 💻 Cambios en la manera de desarrollar
- Project Changes | Personal Impact: 4
- "&amp;"Project Role | Value: 5
- Project role | Notes: Lo tienen a cargo de los deployments, revisando PRs y controlando a los. Es un referente del front end. Lo felicito la PM por el buen desempeño.")</f>
        <v>- Interviewee e-Mail: esteban.camacho@patagoniansys.com
- Project Status Check: Están por sacar un MVP. Tenían hasta marzo pero se atraso. Luego del MVP esperan tener feedback de los usuarios y continuar con el desarrollo.
- Project Changes | Notes: Agregaron Linter y están limpiando y refactorizando código. No estan usando typescript, eso le complica al refactorizar.
- Project Role | Feeling: 4
- Extra Work Hours | Amount: 0 (Ningúna)
- Techs | Certifications: AWS Developer
- Techs | Recomendations: Que avance y complete el curso de AWS.
- Collaborator | Seniority: 👍 No, es correcto
- Project Techs | Learning: 0.5
- Project Techs | Difficulty: 4
- Project Changes | Reasons: 💻 Cambios en la manera de desarrollar
- Project Changes | Personal Impact: 4
- Project Role | Value: 5
- Project role | Notes: Lo tienen a cargo de los deployments, revisando PRs y controlando a los. Es un referente del front end. Lo felicito la PM por el buen desempeño.</v>
      </c>
      <c r="J239" s="4" t="str">
        <f>IFERROR(__xludf.DUMMYFUNCTION("""COMPUTED_VALUE"""),"Tech Referent - OneOnOne")</f>
        <v>Tech Referent - OneOnOne</v>
      </c>
    </row>
    <row r="240">
      <c r="A240" s="4">
        <f>IFERROR(__xludf.DUMMYFUNCTION("""COMPUTED_VALUE"""),174.0)</f>
        <v>174</v>
      </c>
      <c r="B240" s="4" t="str">
        <f>IFERROR(__xludf.DUMMYFUNCTION("""COMPUTED_VALUE"""),"federico.matos")</f>
        <v>federico.matos</v>
      </c>
      <c r="C240" s="5">
        <f>IFERROR(__xludf.DUMMYFUNCTION("""COMPUTED_VALUE"""),45064.68865880787)</f>
        <v>45064.68866</v>
      </c>
      <c r="D240" s="5">
        <f>IFERROR(__xludf.DUMMYFUNCTION("""COMPUTED_VALUE"""),45064.0)</f>
        <v>45064</v>
      </c>
      <c r="E240" s="4" t="str">
        <f>IFERROR(__xludf.DUMMYFUNCTION("""COMPUTED_VALUE"""),"eugenio.fioriti@patagoniansys.com")</f>
        <v>eugenio.fioriti@patagoniansys.com</v>
      </c>
      <c r="F240" s="4" t="str">
        <f>IFERROR(__xludf.DUMMYFUNCTION("""COMPUTED_VALUE"""),"federico.matos@patagonian.com")</f>
        <v>federico.matos@patagonian.com</v>
      </c>
      <c r="G240" s="4" t="str">
        <f>IFERROR(__xludf.DUMMYFUNCTION("""COMPUTED_VALUE"""),"Initial gathering")</f>
        <v>Initial gathering</v>
      </c>
      <c r="H240" s="4"/>
      <c r="I240" s="6" t="str">
        <f>IFERROR(__xludf.DUMMYFUNCTION("""COMPUTED_VALUE"""),"- Interviewee e-Mail: federico.matos@patagonian.com
- Project name: Diario Rio Negro
- Project | Role: Backend Developer, Frontend Developer, TL
- Project | Description: Responsable del portal del diario Río Negro tanto desarrollo de funcionalidades nueva"&amp;"s y soporte. Trello. Usan sprints. Están un poco más ordenados que antes.
- Project | technologies: Wordpress, PHP, Javascript
- Happiness in project technology: 😐 Indiferente
- Happiness in project technology | Description: Tienen bastante deuda técnica"&amp;". Proyectan como ideal desacoplar el wordpress del front pasando a un framework javascript. Idealmente este año. Pero las urgencias están aplazando ese deseo. Además el problema de migrar la infra. Buscan desarrollar algo de lo que se sientan orgullosos.
"&amp;"- Project | The best/coolest thing: Implementaron WebComponents mejorando mucho la performance evitando carga de trabajo al backend. Pensaban hacerlo en un framework de componentes pero la infra es limitante.
- Project | The worst thing: Tienen el problem"&amp;"a del Server Side Rendering que afecta el SEO. Mucha deuda técnica. El build de los assets lo hacen manualmente los devs y lo suben al repo ya buildeado. El CI/CD no contempla la fase del build de los assets. Wordpress trae problemas de performance.
- Pro"&amp;"ject | Improvements: Desacoplar el wordpress del front pasando a un framework javascript, actualizando la arquitectura a una acorde a ese propósito.
- Team | TL: El Mismo Federico.
- Team | PX: Fede Peralta
- Team | QA: 0
- Team | QA Automation: 👎 No
- T"&amp;"eam | QA | Notes: La idea ra sumar a Cristian Nadj, quien iba a ingresar temporalmente algunas semanas. Todavía no se suma.
- Team | UI/UX: 0
- Team | DevOps: 0
- Team | DevOps | Notes: Lo maneja Automattic. Con el pipeline necesitan alguien. Habría que s"&amp;"umar a alguien que convierta el pipeline en código. Necesitan algunas horas de un devops.
- Team | Data Engineer: 0")</f>
        <v>- Interviewee e-Mail: federico.matos@patagonian.com
- Project name: Diario Rio Negro
- Project | Role: Backend Developer, Frontend Developer, TL
- Project | Description: Responsable del portal del diario Río Negro tanto desarrollo de funcionalidades nuevas y soporte. Trello. Usan sprints. Están un poco más ordenados que antes.
- Project | technologies: Wordpress, PHP, Javascript
- Happiness in project technology: 😐 Indiferente
- Happiness in project technology | Description: Tienen bastante deuda técnica. Proyectan como ideal desacoplar el wordpress del front pasando a un framework javascript. Idealmente este año. Pero las urgencias están aplazando ese deseo. Además el problema de migrar la infra. Buscan desarrollar algo de lo que se sientan orgullosos.
- Project | The best/coolest thing: Implementaron WebComponents mejorando mucho la performance evitando carga de trabajo al backend. Pensaban hacerlo en un framework de componentes pero la infra es limitante.
- Project | The worst thing: Tienen el problema del Server Side Rendering que afecta el SEO. Mucha deuda técnica. El build de los assets lo hacen manualmente los devs y lo suben al repo ya buildeado. El CI/CD no contempla la fase del build de los assets. Wordpress trae problemas de performance.
- Project | Improvements: Desacoplar el wordpress del front pasando a un framework javascript, actualizando la arquitectura a una acorde a ese propósito.
- Team | TL: El Mismo Federico.
- Team | PX: Fede Peralta
- Team | QA: 0
- Team | QA Automation: 👎 No
- Team | QA | Notes: La idea ra sumar a Cristian Nadj, quien iba a ingresar temporalmente algunas semanas. Todavía no se suma.
- Team | UI/UX: 0
- Team | DevOps: 0
- Team | DevOps | Notes: Lo maneja Automattic. Con el pipeline necesitan alguien. Habría que sumar a alguien que convierta el pipeline en código. Necesitan algunas horas de un devops.
- Team | Data Engineer: 0</v>
      </c>
      <c r="J240" s="4" t="str">
        <f>IFERROR(__xludf.DUMMYFUNCTION("""COMPUTED_VALUE"""),"Tech Referent - Initial gathering")</f>
        <v>Tech Referent - Initial gathering</v>
      </c>
    </row>
    <row r="241">
      <c r="A241" s="4">
        <f>IFERROR(__xludf.DUMMYFUNCTION("""COMPUTED_VALUE"""),162.0)</f>
        <v>162</v>
      </c>
      <c r="B241" s="4" t="str">
        <f>IFERROR(__xludf.DUMMYFUNCTION("""COMPUTED_VALUE"""),"cristian.cortes")</f>
        <v>cristian.cortes</v>
      </c>
      <c r="C241" s="5">
        <f>IFERROR(__xludf.DUMMYFUNCTION("""COMPUTED_VALUE"""),45064.83563289352)</f>
        <v>45064.83563</v>
      </c>
      <c r="D241" s="5">
        <f>IFERROR(__xludf.DUMMYFUNCTION("""COMPUTED_VALUE"""),45064.0)</f>
        <v>45064</v>
      </c>
      <c r="E241" s="4" t="str">
        <f>IFERROR(__xludf.DUMMYFUNCTION("""COMPUTED_VALUE"""),"edgar.bonilla@patagoniansys.com")</f>
        <v>edgar.bonilla@patagoniansys.com</v>
      </c>
      <c r="F241" s="4" t="str">
        <f>IFERROR(__xludf.DUMMYFUNCTION("""COMPUTED_VALUE"""),"cristian.cortes@patagoniansys.com")</f>
        <v>cristian.cortes@patagoniansys.com</v>
      </c>
      <c r="G241" s="4" t="str">
        <f>IFERROR(__xludf.DUMMYFUNCTION("""COMPUTED_VALUE"""),"Referent One on One")</f>
        <v>Referent One on One</v>
      </c>
      <c r="H241" s="4"/>
      <c r="I241" s="6" t="str">
        <f>IFERROR(__xludf.DUMMYFUNCTION("""COMPUTED_VALUE"""),"- Interviewee e-Mail: cristian.cortes@patagoniansys.com
- Project Status Check: Se acabó el proyecto. Aún está haciendo unas cositas de apoyo pero formalmente ya se acabó. La ayuda que pueda necesitar es más bien una guía de qué temas ponerse a aprender m"&amp;"ientras tanto.
- Project Changes | Notes: Todo bien hasta ahora, se siente bien por el deber cumplido y está a la expectativa de lo que venga a continuación.
- Project Role | Feeling: 3
- Extra Work Hours | Amount: 0 (Ningúna)
- Techs | Research: Está ind"&amp;"agando en formas mejores y más prolijas de programar en React Native.
- Techs | Recomendations: https://www.udemy.com/course/react-native-the-practical-guide/
- Techs | Recomendations check: Si
- Collaborator | Seniority: 👍 No, es correcto
- Project Need"&amp;"s / Oportunities: En cuanto a capacitación él piensa pedir algun(os) curso(s) de Udemy a través del beneficio de la empresa y usar el tiempo mientras está en bench para aprender.
- Project Techs | Learning: 8
- Techs | Research: 8
- Project Techs | Diffic"&amp;"ulty: 3
- Project Changes | Reasons: Se acabó el proyecto
- Project Changes | Personal Impact: 4
- Project Role | Value: 3
- Project role | Notes: Puntaje neutral ya que pasa a estar en bench. Le interesa igualmente dedicar tiempo a aprender cosas nuevas.")</f>
        <v>- Interviewee e-Mail: cristian.cortes@patagoniansys.com
- Project Status Check: Se acabó el proyecto. Aún está haciendo unas cositas de apoyo pero formalmente ya se acabó. La ayuda que pueda necesitar es más bien una guía de qué temas ponerse a aprender mientras tanto.
- Project Changes | Notes: Todo bien hasta ahora, se siente bien por el deber cumplido y está a la expectativa de lo que venga a continuación.
- Project Role | Feeling: 3
- Extra Work Hours | Amount: 0 (Ningúna)
- Techs | Research: Está indagando en formas mejores y más prolijas de programar en React Native.
- Techs | Recomendations: https://www.udemy.com/course/react-native-the-practical-guide/
- Techs | Recomendations check: Si
- Collaborator | Seniority: 👍 No, es correcto
- Project Needs / Oportunities: En cuanto a capacitación él piensa pedir algun(os) curso(s) de Udemy a través del beneficio de la empresa y usar el tiempo mientras está en bench para aprender.
- Project Techs | Learning: 8
- Techs | Research: 8
- Project Techs | Difficulty: 3
- Project Changes | Reasons: Se acabó el proyecto
- Project Changes | Personal Impact: 4
- Project Role | Value: 3
- Project role | Notes: Puntaje neutral ya que pasa a estar en bench. Le interesa igualmente dedicar tiempo a aprender cosas nuevas.</v>
      </c>
      <c r="J241" s="4" t="str">
        <f>IFERROR(__xludf.DUMMYFUNCTION("""COMPUTED_VALUE"""),"Tech Referent - OneOnOne")</f>
        <v>Tech Referent - OneOnOne</v>
      </c>
    </row>
    <row r="242" hidden="1">
      <c r="A242" s="4">
        <f>IFERROR(__xludf.DUMMYFUNCTION("""COMPUTED_VALUE"""),247.0)</f>
        <v>247</v>
      </c>
      <c r="B242" s="4" t="str">
        <f>IFERROR(__xludf.DUMMYFUNCTION("""COMPUTED_VALUE"""),"isabel.yepes")</f>
        <v>isabel.yepes</v>
      </c>
      <c r="C242" s="5">
        <f>IFERROR(__xludf.DUMMYFUNCTION("""COMPUTED_VALUE"""),45068.642859224536)</f>
        <v>45068.64286</v>
      </c>
      <c r="D242" s="5">
        <f>IFERROR(__xludf.DUMMYFUNCTION("""COMPUTED_VALUE"""),45064.0)</f>
        <v>45064</v>
      </c>
      <c r="E242" s="4" t="str">
        <f>IFERROR(__xludf.DUMMYFUNCTION("""COMPUTED_VALUE"""),"jimena.gutierrez@patagoniansys.com")</f>
        <v>jimena.gutierrez@patagoniansys.com</v>
      </c>
      <c r="F242" s="4" t="str">
        <f>IFERROR(__xludf.DUMMYFUNCTION("""COMPUTED_VALUE"""),"isabel.yepes@patagoniansys.com")</f>
        <v>isabel.yepes@patagoniansys.com</v>
      </c>
      <c r="G242" s="4" t="str">
        <f>IFERROR(__xludf.DUMMYFUNCTION("""COMPUTED_VALUE"""),"⏱ One on One")</f>
        <v>⏱ One on One</v>
      </c>
      <c r="H242" s="4" t="str">
        <f>IFERROR(__xludf.DUMMYFUNCTION("""COMPUTED_VALUE"""),"🙂 Feliz")</f>
        <v>🙂 Feliz</v>
      </c>
      <c r="I242" s="6" t="str">
        <f>IFERROR(__xludf.DUMMYFUNCTION("""COMPUTED_VALUE"""),"Se siente bien con el equipo. Con el proyecto aún se siente perdida, le gusta el proyecto y lo ve como un desafío pero siente que no aporta tanto como quisiera ya que siente que le falta conocimiento del negocio. Le preocupa la percepción que tiene el equ"&amp;"ipo de ella en cuanto a su aporte. Siente que ha crecido como QA.")</f>
        <v>Se siente bien con el equipo. Con el proyecto aún se siente perdida, le gusta el proyecto y lo ve como un desafío pero siente que no aporta tanto como quisiera ya que siente que le falta conocimiento del negocio. Le preocupa la percepción que tiene el equipo de ella en cuanto a su aporte. Siente que ha crecido como QA.</v>
      </c>
      <c r="J242" s="4" t="str">
        <f>IFERROR(__xludf.DUMMYFUNCTION("""COMPUTED_VALUE"""),"PX|Referents|RRHH")</f>
        <v>PX|Referents|RRHH</v>
      </c>
    </row>
    <row r="243">
      <c r="A243" s="4">
        <f>IFERROR(__xludf.DUMMYFUNCTION("""COMPUTED_VALUE"""),152.0)</f>
        <v>152</v>
      </c>
      <c r="B243" s="4" t="str">
        <f>IFERROR(__xludf.DUMMYFUNCTION("""COMPUTED_VALUE"""),"omar.fandino")</f>
        <v>omar.fandino</v>
      </c>
      <c r="C243" s="5">
        <f>IFERROR(__xludf.DUMMYFUNCTION("""COMPUTED_VALUE"""),45075.47805362268)</f>
        <v>45075.47805</v>
      </c>
      <c r="D243" s="5">
        <f>IFERROR(__xludf.DUMMYFUNCTION("""COMPUTED_VALUE"""),45064.0)</f>
        <v>45064</v>
      </c>
      <c r="E243" s="4" t="str">
        <f>IFERROR(__xludf.DUMMYFUNCTION("""COMPUTED_VALUE"""),"gonzalo.garro@patagoniansys.com")</f>
        <v>gonzalo.garro@patagoniansys.com</v>
      </c>
      <c r="F243" s="4" t="str">
        <f>IFERROR(__xludf.DUMMYFUNCTION("""COMPUTED_VALUE"""),"omar.fandino@patagoniansys.com")</f>
        <v>omar.fandino@patagoniansys.com</v>
      </c>
      <c r="G243" s="4" t="str">
        <f>IFERROR(__xludf.DUMMYFUNCTION("""COMPUTED_VALUE"""),"Referent One on One")</f>
        <v>Referent One on One</v>
      </c>
      <c r="H243" s="4"/>
      <c r="I243" s="6" t="str">
        <f>IFERROR(__xludf.DUMMYFUNCTION("""COMPUTED_VALUE"""),"- Interviewee e-Mail: omar.fandino@patagoniansys.com
- Project Status Check: Estuvo de vacaciones, retomo hace 2 semanas, por lo que solo ha trabajado en el proyecto por dos semanas desde la última meet. Está implementando una solución custom para reempla"&amp;"zar a calendly y no depender de un 3ro. Aún sigue en bench pero se siente privilegiado de poder estar en un proyecto.
- Project Changes | Notes: Agregaron copilot en visual studio, en general su introducción fue positiva.
- Project Role | Feeling: 4
- Ext"&amp;"ra Work Hours | Amount: 0 (Ningúna)
- Techs | Research: Lo hacía, tiene que retomar. Ahora va al gym y le consume tiempo. Solo Ingles. AWS le gustaría.
- Techs | Certifications: AWS Developer
- Collaborator | Seniority: 👍 No, es correcto
- Project Techs "&amp;"| Learning: 8
- Project Techs | Difficulty: 3
- Project Changes | Reasons: 💻 Cambios en la manera de desarrollar
- Project Changes | Personal Impact: 4
- Project Role | Value: 4
- Project role | Notes: Aporta valor, por pasión, le gusta colaborar, sumar "&amp;"al proyecto y que siempre puedan contar con él cuando lo necesiten. No sabe si ese entusiasmo llega al cliente e impacta o solo queda en sus compañeros. ""Le gusta ser la mano derecha del TL, pero no el TL"", refiriéndose a que está cómodo con su rol y po"&amp;"r ahora no quiere grandes responsabilidades.")</f>
        <v>- Interviewee e-Mail: omar.fandino@patagoniansys.com
- Project Status Check: Estuvo de vacaciones, retomo hace 2 semanas, por lo que solo ha trabajado en el proyecto por dos semanas desde la última meet. Está implementando una solución custom para reemplazar a calendly y no depender de un 3ro. Aún sigue en bench pero se siente privilegiado de poder estar en un proyecto.
- Project Changes | Notes: Agregaron copilot en visual studio, en general su introducción fue positiva.
- Project Role | Feeling: 4
- Extra Work Hours | Amount: 0 (Ningúna)
- Techs | Research: Lo hacía, tiene que retomar. Ahora va al gym y le consume tiempo. Solo Ingles. AWS le gustaría.
- Techs | Certifications: AWS Developer
- Collaborator | Seniority: 👍 No, es correcto
- Project Techs | Learning: 8
- Project Techs | Difficulty: 3
- Project Changes | Reasons: 💻 Cambios en la manera de desarrollar
- Project Changes | Personal Impact: 4
- Project Role | Value: 4
- Project role | Notes: Aporta valor, por pasión, le gusta colaborar, sumar al proyecto y que siempre puedan contar con él cuando lo necesiten. No sabe si ese entusiasmo llega al cliente e impacta o solo queda en sus compañeros. "Le gusta ser la mano derecha del TL, pero no el TL", refiriéndose a que está cómodo con su rol y por ahora no quiere grandes responsabilidades.</v>
      </c>
      <c r="J243" s="4" t="str">
        <f>IFERROR(__xludf.DUMMYFUNCTION("""COMPUTED_VALUE"""),"Tech Referent - OneOnOne")</f>
        <v>Tech Referent - OneOnOne</v>
      </c>
    </row>
    <row r="244" hidden="1">
      <c r="A244" s="4">
        <f>IFERROR(__xludf.DUMMYFUNCTION("""COMPUTED_VALUE"""),167.0)</f>
        <v>167</v>
      </c>
      <c r="B244" s="4" t="str">
        <f>IFERROR(__xludf.DUMMYFUNCTION("""COMPUTED_VALUE"""),"rodrigo.cibils")</f>
        <v>rodrigo.cibils</v>
      </c>
      <c r="C244" s="5">
        <f>IFERROR(__xludf.DUMMYFUNCTION("""COMPUTED_VALUE"""),45075.494394409725)</f>
        <v>45075.49439</v>
      </c>
      <c r="D244" s="5">
        <f>IFERROR(__xludf.DUMMYFUNCTION("""COMPUTED_VALUE"""),45064.0)</f>
        <v>45064</v>
      </c>
      <c r="E244" s="4" t="str">
        <f>IFERROR(__xludf.DUMMYFUNCTION("""COMPUTED_VALUE"""),"gonzalo.garro@patagoniansys.com")</f>
        <v>gonzalo.garro@patagoniansys.com</v>
      </c>
      <c r="F244" s="4" t="str">
        <f>IFERROR(__xludf.DUMMYFUNCTION("""COMPUTED_VALUE"""),"rodrigo.cibils@patagoniansys.com")</f>
        <v>rodrigo.cibils@patagoniansys.com</v>
      </c>
      <c r="G244" s="4" t="str">
        <f>IFERROR(__xludf.DUMMYFUNCTION("""COMPUTED_VALUE"""),"Leader - Specialist - One on one")</f>
        <v>Leader - Specialist - One on one</v>
      </c>
      <c r="H244" s="4" t="str">
        <f>IFERROR(__xludf.DUMMYFUNCTION("""COMPUTED_VALUE"""),"🙂 Feliz")</f>
        <v>🙂 Feliz</v>
      </c>
      <c r="I244" s="6" t="str">
        <f>IFERROR(__xludf.DUMMYFUNCTION("""COMPUTED_VALUE"""),"Está conforme con el programa y no le roba mucho tiempo participar en él. Ha notado que algunos colaboradores sienten que tiene un grado de ""persecución"" estas entrevistas, se le aclaró que haga hincapié que este es un programa de acompañamiento y no se"&amp;"guimiento.
Como mejora aclaró, que en el form, la pregunta de la certificación no es algo que se necesite preguntar constantemente.
Deberíamos agregar una pregunta de a donde quieren apuntar en su path a futuro.
También que se mejore la forma de buscar e"&amp;"l feedback de reuniones anteriores, ya que ahora es bastante engorroso.")</f>
        <v>Está conforme con el programa y no le roba mucho tiempo participar en él. Ha notado que algunos colaboradores sienten que tiene un grado de "persecución" estas entrevistas, se le aclaró que haga hincapié que este es un programa de acompañamiento y no seguimiento.
Como mejora aclaró, que en el form, la pregunta de la certificación no es algo que se necesite preguntar constantemente.
Deberíamos agregar una pregunta de a donde quieren apuntar en su path a futuro.
También que se mejore la forma de buscar el feedback de reuniones anteriores, ya que ahora es bastante engorroso.</v>
      </c>
      <c r="J244" s="4" t="str">
        <f>IFERROR(__xludf.DUMMYFUNCTION("""COMPUTED_VALUE"""),"PX|Referents|RRHH")</f>
        <v>PX|Referents|RRHH</v>
      </c>
    </row>
    <row r="245">
      <c r="A245" s="4">
        <f>IFERROR(__xludf.DUMMYFUNCTION("""COMPUTED_VALUE"""),247.0)</f>
        <v>247</v>
      </c>
      <c r="B245" s="4" t="str">
        <f>IFERROR(__xludf.DUMMYFUNCTION("""COMPUTED_VALUE"""),"isabel.yepes")</f>
        <v>isabel.yepes</v>
      </c>
      <c r="C245" s="5">
        <f>IFERROR(__xludf.DUMMYFUNCTION("""COMPUTED_VALUE"""),45065.46145230324)</f>
        <v>45065.46145</v>
      </c>
      <c r="D245" s="5">
        <f>IFERROR(__xludf.DUMMYFUNCTION("""COMPUTED_VALUE"""),45065.0)</f>
        <v>45065</v>
      </c>
      <c r="E245" s="4" t="str">
        <f>IFERROR(__xludf.DUMMYFUNCTION("""COMPUTED_VALUE"""),"luis.soto@patagoniansys.com")</f>
        <v>luis.soto@patagoniansys.com</v>
      </c>
      <c r="F245" s="4" t="str">
        <f>IFERROR(__xludf.DUMMYFUNCTION("""COMPUTED_VALUE"""),"isabel.yepes@patagonian.it")</f>
        <v>isabel.yepes@patagonian.it</v>
      </c>
      <c r="G245" s="4" t="str">
        <f>IFERROR(__xludf.DUMMYFUNCTION("""COMPUTED_VALUE"""),"Initial gathering")</f>
        <v>Initial gathering</v>
      </c>
      <c r="H245" s="4"/>
      <c r="I245" s="6" t="str">
        <f>IFERROR(__xludf.DUMMYFUNCTION("""COMPUTED_VALUE"""),"- Interviewee e-Mail: isabel.yepes@patagonian.it
- Project name: BID ConnectAmericas
- Project | Role: QA Manual, QA Automation
- Project | Description: Responsabilidad: asegurar que todos los procesos de qa cumplan con los requirimientos del cliente. El "&amp;"proyecto es una plataforma para conectar PYMES de LATAM
- Project | technologies: Playwright, JS, TypeScript, cucumber, postamn, Jira, Jenkins, PHP, MariaDB.
- Happiness in project technology: 😀 Sumamente Feliz
- Happiness in project technology | Descrip"&amp;"tion: ninguna, esta super motivada porque esta aprendiendo mucho y todos le ayudan a crecer dentro del proyecto
- Project | The best/coolest thing: Es un proyecto que esta bien estructurado (Diseno, FullStack, QA, DevOps, etc) y tienen los ambientes neces"&amp;"arios para testear
- Project | The worst thing: Falta de documentacion, falta estructura a la hora de crear los tickets
- Project | Improvements: La documentacion, la mejora de los procesos. (no hay un orden establecido pero ya estan trabajando con eso de"&amp;" la nueva PM (Jimena Gutierrez) y esta feliz con ella.
- Team | TL: Andres Attwell
- Team | PX: Jimena Gutierrez
- Team | QA: 2
- Team | QA Automation: 👍 Si
- Team | QA | Notes: Esta muy contenta con el trabajo de Jimena
- Team | UI/UX: 0
- Team | UI/UX "&amp;"| Notes: No tienen, se consulta cuando se necesita a alguien de Pata pero no hay ninguno asignado al proyecto
- Team | DevOps: 2
- Team | DevOps | Notes: Ambos de Pata, Isa dice que son super buenos
- Team | Data Engineer: 0")</f>
        <v>- Interviewee e-Mail: isabel.yepes@patagonian.it
- Project name: BID ConnectAmericas
- Project | Role: QA Manual, QA Automation
- Project | Description: Responsabilidad: asegurar que todos los procesos de qa cumplan con los requirimientos del cliente. El proyecto es una plataforma para conectar PYMES de LATAM
- Project | technologies: Playwright, JS, TypeScript, cucumber, postamn, Jira, Jenkins, PHP, MariaDB.
- Happiness in project technology: 😀 Sumamente Feliz
- Happiness in project technology | Description: ninguna, esta super motivada porque esta aprendiendo mucho y todos le ayudan a crecer dentro del proyecto
- Project | The best/coolest thing: Es un proyecto que esta bien estructurado (Diseno, FullStack, QA, DevOps, etc) y tienen los ambientes necesarios para testear
- Project | The worst thing: Falta de documentacion, falta estructura a la hora de crear los tickets
- Project | Improvements: La documentacion, la mejora de los procesos. (no hay un orden establecido pero ya estan trabajando con eso de la nueva PM (Jimena Gutierrez) y esta feliz con ella.
- Team | TL: Andres Attwell
- Team | PX: Jimena Gutierrez
- Team | QA: 2
- Team | QA Automation: 👍 Si
- Team | QA | Notes: Esta muy contenta con el trabajo de Jimena
- Team | UI/UX: 0
- Team | UI/UX | Notes: No tienen, se consulta cuando se necesita a alguien de Pata pero no hay ninguno asignado al proyecto
- Team | DevOps: 2
- Team | DevOps | Notes: Ambos de Pata, Isa dice que son super buenos
- Team | Data Engineer: 0</v>
      </c>
      <c r="J245" s="4" t="str">
        <f>IFERROR(__xludf.DUMMYFUNCTION("""COMPUTED_VALUE"""),"Tech Referent - Initial gathering")</f>
        <v>Tech Referent - Initial gathering</v>
      </c>
    </row>
    <row r="246" hidden="1">
      <c r="A246" s="4">
        <f>IFERROR(__xludf.DUMMYFUNCTION("""COMPUTED_VALUE"""),241.0)</f>
        <v>241</v>
      </c>
      <c r="B246" s="4" t="str">
        <f>IFERROR(__xludf.DUMMYFUNCTION("""COMPUTED_VALUE"""),"stuard.romero")</f>
        <v>stuard.romero</v>
      </c>
      <c r="C246" s="5">
        <f>IFERROR(__xludf.DUMMYFUNCTION("""COMPUTED_VALUE"""),45068.6585265162)</f>
        <v>45068.65853</v>
      </c>
      <c r="D246" s="5">
        <f>IFERROR(__xludf.DUMMYFUNCTION("""COMPUTED_VALUE"""),45065.0)</f>
        <v>45065</v>
      </c>
      <c r="E246" s="4" t="str">
        <f>IFERROR(__xludf.DUMMYFUNCTION("""COMPUTED_VALUE"""),"jimena.gutierrez@patagoniansys.com")</f>
        <v>jimena.gutierrez@patagoniansys.com</v>
      </c>
      <c r="F246" s="4" t="str">
        <f>IFERROR(__xludf.DUMMYFUNCTION("""COMPUTED_VALUE"""),"stuard.romero@patagoniansys.com")</f>
        <v>stuard.romero@patagoniansys.com</v>
      </c>
      <c r="G246" s="4" t="str">
        <f>IFERROR(__xludf.DUMMYFUNCTION("""COMPUTED_VALUE"""),"⏱ One on One")</f>
        <v>⏱ One on One</v>
      </c>
      <c r="H246" s="4" t="str">
        <f>IFERROR(__xludf.DUMMYFUNCTION("""COMPUTED_VALUE"""),"😐 Indiferente")</f>
        <v>😐 Indiferente</v>
      </c>
      <c r="I246" s="6" t="str">
        <f>IFERROR(__xludf.DUMMYFUNCTION("""COMPUTED_VALUE"""),"Esta bien con el equipo, se siente cómodo. Le gustaría hacer cosas más desafiantes, no solo en el proyecto sino quizás participar en más proyectos con otras tecnologías más nuevas. Esta tratando de resolver un tema de lentitud de la notebook, le dieron al"&amp;"gunas indicaciones para mejorar la performance pero aun no ha podido aplicarlas todas.")</f>
        <v>Esta bien con el equipo, se siente cómodo. Le gustaría hacer cosas más desafiantes, no solo en el proyecto sino quizás participar en más proyectos con otras tecnologías más nuevas. Esta tratando de resolver un tema de lentitud de la notebook, le dieron algunas indicaciones para mejorar la performance pero aun no ha podido aplicarlas todas.</v>
      </c>
      <c r="J246" s="4" t="str">
        <f>IFERROR(__xludf.DUMMYFUNCTION("""COMPUTED_VALUE"""),"PX|Referents|RRHH")</f>
        <v>PX|Referents|RRHH</v>
      </c>
    </row>
    <row r="247" hidden="1">
      <c r="A247" s="4">
        <f>IFERROR(__xludf.DUMMYFUNCTION("""COMPUTED_VALUE"""),82.0)</f>
        <v>82</v>
      </c>
      <c r="B247" s="4" t="str">
        <f>IFERROR(__xludf.DUMMYFUNCTION("""COMPUTED_VALUE"""),"juan.calou")</f>
        <v>juan.calou</v>
      </c>
      <c r="C247" s="5">
        <f>IFERROR(__xludf.DUMMYFUNCTION("""COMPUTED_VALUE"""),45070.9169619213)</f>
        <v>45070.91696</v>
      </c>
      <c r="D247" s="5">
        <f>IFERROR(__xludf.DUMMYFUNCTION("""COMPUTED_VALUE"""),45065.0)</f>
        <v>45065</v>
      </c>
      <c r="E247" s="4" t="str">
        <f>IFERROR(__xludf.DUMMYFUNCTION("""COMPUTED_VALUE"""),"micaela.zorzetto@patagoniansys.com")</f>
        <v>micaela.zorzetto@patagoniansys.com</v>
      </c>
      <c r="F247" s="4" t="str">
        <f>IFERROR(__xludf.DUMMYFUNCTION("""COMPUTED_VALUE"""),"juan.calou@patagoniansys.com")</f>
        <v>juan.calou@patagoniansys.com</v>
      </c>
      <c r="G247" s="4" t="str">
        <f>IFERROR(__xludf.DUMMYFUNCTION("""COMPUTED_VALUE"""),"⏱ One on One")</f>
        <v>⏱ One on One</v>
      </c>
      <c r="H247" s="4" t="str">
        <f>IFERROR(__xludf.DUMMYFUNCTION("""COMPUTED_VALUE"""),"🙂 Feliz")</f>
        <v>🙂 Feliz</v>
      </c>
      <c r="I247" s="6" t="str">
        <f>IFERROR(__xludf.DUMMYFUNCTION("""COMPUTED_VALUE"""),"Juan esta muy bien en el proyecto junto con Ando. 
Esta entusiasmado con lo de los desk y plan de carrera, le gusto que le hayan dado la oportunidad de ser parte de estas iniciativas. ")</f>
        <v>Juan esta muy bien en el proyecto junto con Ando. 
Esta entusiasmado con lo de los desk y plan de carrera, le gusto que le hayan dado la oportunidad de ser parte de estas iniciativas. </v>
      </c>
      <c r="J247" s="4" t="str">
        <f>IFERROR(__xludf.DUMMYFUNCTION("""COMPUTED_VALUE"""),"PX|Referents|RRHH")</f>
        <v>PX|Referents|RRHH</v>
      </c>
    </row>
    <row r="248" hidden="1">
      <c r="A248" s="4">
        <f>IFERROR(__xludf.DUMMYFUNCTION("""COMPUTED_VALUE"""),227.0)</f>
        <v>227</v>
      </c>
      <c r="B248" s="4" t="str">
        <f>IFERROR(__xludf.DUMMYFUNCTION("""COMPUTED_VALUE"""),"martin.infante")</f>
        <v>martin.infante</v>
      </c>
      <c r="C248" s="5">
        <f>IFERROR(__xludf.DUMMYFUNCTION("""COMPUTED_VALUE"""),45070.92043298612)</f>
        <v>45070.92043</v>
      </c>
      <c r="D248" s="5">
        <f>IFERROR(__xludf.DUMMYFUNCTION("""COMPUTED_VALUE"""),45065.0)</f>
        <v>45065</v>
      </c>
      <c r="E248" s="4" t="str">
        <f>IFERROR(__xludf.DUMMYFUNCTION("""COMPUTED_VALUE"""),"micaela.zorzetto@patagoniansys.com")</f>
        <v>micaela.zorzetto@patagoniansys.com</v>
      </c>
      <c r="F248" s="4" t="str">
        <f>IFERROR(__xludf.DUMMYFUNCTION("""COMPUTED_VALUE"""),"martin.infante@patagoniansys.com")</f>
        <v>martin.infante@patagoniansys.com</v>
      </c>
      <c r="G248" s="4" t="str">
        <f>IFERROR(__xludf.DUMMYFUNCTION("""COMPUTED_VALUE"""),"⏱ One on One")</f>
        <v>⏱ One on One</v>
      </c>
      <c r="H248" s="4" t="str">
        <f>IFERROR(__xludf.DUMMYFUNCTION("""COMPUTED_VALUE"""),"🙂 Feliz")</f>
        <v>🙂 Feliz</v>
      </c>
      <c r="I248" s="6" t="str">
        <f>IFERROR(__xludf.DUMMYFUNCTION("""COMPUTED_VALUE"""),"Proyecto: esta tomando el desafio de ser el lider tecnico del proyecto. Se siente cómodo con ese rol y le gustaría en el futuro seguir su carrera de liderzgo, al largo plazo. 
En la empresa se siente bien y cómodo, hoy elige quedarse en patagonian por la "&amp;"cultura y toda la buena energía que hay. 
También esta ayudandome (Mica) junto con Tito Parada a automatizar unas cosas de twiins. ")</f>
        <v>Proyecto: esta tomando el desafio de ser el lider tecnico del proyecto. Se siente cómodo con ese rol y le gustaría en el futuro seguir su carrera de liderzgo, al largo plazo. 
En la empresa se siente bien y cómodo, hoy elige quedarse en patagonian por la cultura y toda la buena energía que hay. 
También esta ayudandome (Mica) junto con Tito Parada a automatizar unas cosas de twiins. </v>
      </c>
      <c r="J248" s="4" t="str">
        <f>IFERROR(__xludf.DUMMYFUNCTION("""COMPUTED_VALUE"""),"PX|Referents|RRHH")</f>
        <v>PX|Referents|RRHH</v>
      </c>
    </row>
    <row r="249" hidden="1">
      <c r="A249" s="4">
        <f>IFERROR(__xludf.DUMMYFUNCTION("""COMPUTED_VALUE"""),167.0)</f>
        <v>167</v>
      </c>
      <c r="B249" s="4" t="str">
        <f>IFERROR(__xludf.DUMMYFUNCTION("""COMPUTED_VALUE"""),"rodrigo.cibils")</f>
        <v>rodrigo.cibils</v>
      </c>
      <c r="C249" s="5">
        <f>IFERROR(__xludf.DUMMYFUNCTION("""COMPUTED_VALUE"""),45057.61099039352)</f>
        <v>45057.61099</v>
      </c>
      <c r="D249" s="5">
        <f>IFERROR(__xludf.DUMMYFUNCTION("""COMPUTED_VALUE"""),45066.0)</f>
        <v>45066</v>
      </c>
      <c r="E249" s="4" t="str">
        <f>IFERROR(__xludf.DUMMYFUNCTION("""COMPUTED_VALUE"""),"micaela.zorzetto@patagoniansys.com")</f>
        <v>micaela.zorzetto@patagoniansys.com</v>
      </c>
      <c r="F249" s="4" t="str">
        <f>IFERROR(__xludf.DUMMYFUNCTION("""COMPUTED_VALUE"""),"rodrigo.cibils@patagoniansys.com")</f>
        <v>rodrigo.cibils@patagoniansys.com</v>
      </c>
      <c r="G249" s="4" t="str">
        <f>IFERROR(__xludf.DUMMYFUNCTION("""COMPUTED_VALUE"""),"⏱ One on One")</f>
        <v>⏱ One on One</v>
      </c>
      <c r="H249" s="4" t="str">
        <f>IFERROR(__xludf.DUMMYFUNCTION("""COMPUTED_VALUE"""),"🙂 Feliz")</f>
        <v>🙂 Feliz</v>
      </c>
      <c r="I249" s="6" t="str">
        <f>IFERROR(__xludf.DUMMYFUNCTION("""COMPUTED_VALUE"""),"Se le comentó sobre el cambio de seniority, quedó muy contento. 
Está muy cómodo y feliz en la empresa.")</f>
        <v>Se le comentó sobre el cambio de seniority, quedó muy contento. 
Está muy cómodo y feliz en la empresa.</v>
      </c>
      <c r="J249" s="4" t="str">
        <f>IFERROR(__xludf.DUMMYFUNCTION("""COMPUTED_VALUE"""),"PX|Referents|RRHH")</f>
        <v>PX|Referents|RRHH</v>
      </c>
    </row>
    <row r="250">
      <c r="A250" s="4">
        <f>IFERROR(__xludf.DUMMYFUNCTION("""COMPUTED_VALUE"""),106.0)</f>
        <v>106</v>
      </c>
      <c r="B250" s="4" t="str">
        <f>IFERROR(__xludf.DUMMYFUNCTION("""COMPUTED_VALUE"""),"natalia.martinez")</f>
        <v>natalia.martinez</v>
      </c>
      <c r="C250" s="5">
        <f>IFERROR(__xludf.DUMMYFUNCTION("""COMPUTED_VALUE"""),45068.54010417824)</f>
        <v>45068.5401</v>
      </c>
      <c r="D250" s="5">
        <f>IFERROR(__xludf.DUMMYFUNCTION("""COMPUTED_VALUE"""),45068.0)</f>
        <v>45068</v>
      </c>
      <c r="E250" s="4" t="str">
        <f>IFERROR(__xludf.DUMMYFUNCTION("""COMPUTED_VALUE"""),"luis.soto@patagoniansys.com")</f>
        <v>luis.soto@patagoniansys.com</v>
      </c>
      <c r="F250" s="4" t="str">
        <f>IFERROR(__xludf.DUMMYFUNCTION("""COMPUTED_VALUE"""),"natalia.martinez@patagoniansys.com")</f>
        <v>natalia.martinez@patagoniansys.com</v>
      </c>
      <c r="G250" s="4" t="str">
        <f>IFERROR(__xludf.DUMMYFUNCTION("""COMPUTED_VALUE"""),"Referent One on One")</f>
        <v>Referent One on One</v>
      </c>
      <c r="H250" s="4"/>
      <c r="I250" s="6" t="str">
        <f>IFERROR(__xludf.DUMMYFUNCTION("""COMPUTED_VALUE"""),"- Interviewee e-Mail: natalia.martinez@patagoniansys.com
- Project Status Check: Se siente bien, siente que estan implementando cosas nuevas en el proyecto y le emociona nuevos features (como agregar un calendario para agendar), dice que Edu y Coco le han"&amp;" ayudado enormemente con algunas preguntas tecnicas. 
- Project Changes | Notes: Ningun cambio
- Project Role | Feeling: 5
- Extra Work Hours | Amount: 0 (Ningúna)
- Extra Work Hours | Reason: Solo un par de veces le ha tocado trabajar un par de horas ext"&amp;"ra, pero ella evita hacerlo 
- Techs | Research: Inteligencia Aritifical, le gustaria aprender como implementarlo. Ademas, la certificacion de ISTQB, actualmente esta llevando un curso de comunicacion asertiva por su cuenta. Le interesan cursos relacionad"&amp;"os a PM, sin embargo aun esta decidiendose, le gustaria ser una PM pero metiendose en lo tecnico. 
- Techs | Certifications: Esta cursando ella sola un diploma de Comunicacion que dura 1 anio, lleva 2 meses
- Techs | Recomendations: De momento esta solo a"&amp;"prendiendo MongoDB porque el proyecto lo requiere, ademas de que esta empezando a empaparse en el tema de AI, le mencione sobre chat gpt, Watson, etc. Ademas le recomende que mejor confirmaran con Edu y/o Coco un tema sobre la manera en que estan estructu"&amp;"rando los datos
- Techs | Recomendations check: Si, y esta en el proceso de aprender las herramientas 
- Collaborator | Seniority: 👍 No, es correcto
- Alerts: Nada alarmante, solo que siento que deberia de tener la oportunidad de ser ""oficialmente"" al "&amp;"menos technical lead del area de QA y/o ser la PM de un proyecto pequeno y/o grupo de QAs dentro de un proyecto (al menos medio tiempo, porque le encanta el proyecto actual)
- Project Needs / Oportunities: UI/UX y ademas de la implementacion de AI 
- Fina"&amp;"l notes: Naty esta motivada y feliz, ella le motiva la idea de ser una PM sin dejar el lado tecnico, tiene excelentes skills interpersonales.
- Project Techs | Learning: 10
- Project Techs | Difficulty: 4
- Project Changes | Reasons: 🟰 No hubo cambios
- "&amp;"Project Changes | Personal Impact: 5
- Project Role | Value: 5
- Project role | Notes: Se siente a gusto porque es un ""hibrido"" entre PO y QA, le encanta eso")</f>
        <v>- Interviewee e-Mail: natalia.martinez@patagoniansys.com
- Project Status Check: Se siente bien, siente que estan implementando cosas nuevas en el proyecto y le emociona nuevos features (como agregar un calendario para agendar), dice que Edu y Coco le han ayudado enormemente con algunas preguntas tecnicas. 
- Project Changes | Notes: Ningun cambio
- Project Role | Feeling: 5
- Extra Work Hours | Amount: 0 (Ningúna)
- Extra Work Hours | Reason: Solo un par de veces le ha tocado trabajar un par de horas extra, pero ella evita hacerlo 
- Techs | Research: Inteligencia Aritifical, le gustaria aprender como implementarlo. Ademas, la certificacion de ISTQB, actualmente esta llevando un curso de comunicacion asertiva por su cuenta. Le interesan cursos relacionados a PM, sin embargo aun esta decidiendose, le gustaria ser una PM pero metiendose en lo tecnico. 
- Techs | Certifications: Esta cursando ella sola un diploma de Comunicacion que dura 1 anio, lleva 2 meses
- Techs | Recomendations: De momento esta solo aprendiendo MongoDB porque el proyecto lo requiere, ademas de que esta empezando a empaparse en el tema de AI, le mencione sobre chat gpt, Watson, etc. Ademas le recomende que mejor confirmaran con Edu y/o Coco un tema sobre la manera en que estan estructurando los datos
- Techs | Recomendations check: Si, y esta en el proceso de aprender las herramientas 
- Collaborator | Seniority: 👍 No, es correcto
- Alerts: Nada alarmante, solo que siento que deberia de tener la oportunidad de ser "oficialmente" al menos technical lead del area de QA y/o ser la PM de un proyecto pequeno y/o grupo de QAs dentro de un proyecto (al menos medio tiempo, porque le encanta el proyecto actual)
- Project Needs / Oportunities: UI/UX y ademas de la implementacion de AI 
- Final notes: Naty esta motivada y feliz, ella le motiva la idea de ser una PM sin dejar el lado tecnico, tiene excelentes skills interpersonales.
- Project Techs | Learning: 10
- Project Techs | Difficulty: 4
- Project Changes | Reasons: 🟰 No hubo cambios
- Project Changes | Personal Impact: 5
- Project Role | Value: 5
- Project role | Notes: Se siente a gusto porque es un "hibrido" entre PO y QA, le encanta eso</v>
      </c>
      <c r="J250" s="4" t="str">
        <f>IFERROR(__xludf.DUMMYFUNCTION("""COMPUTED_VALUE"""),"Tech Referent - OneOnOne")</f>
        <v>Tech Referent - OneOnOne</v>
      </c>
    </row>
    <row r="251" hidden="1">
      <c r="A251" s="4">
        <f>IFERROR(__xludf.DUMMYFUNCTION("""COMPUTED_VALUE"""),278.0)</f>
        <v>278</v>
      </c>
      <c r="B251" s="4" t="str">
        <f>IFERROR(__xludf.DUMMYFUNCTION("""COMPUTED_VALUE"""),"nico.magnano")</f>
        <v>nico.magnano</v>
      </c>
      <c r="C251" s="5">
        <f>IFERROR(__xludf.DUMMYFUNCTION("""COMPUTED_VALUE"""),45068.66056523148)</f>
        <v>45068.66057</v>
      </c>
      <c r="D251" s="5">
        <f>IFERROR(__xludf.DUMMYFUNCTION("""COMPUTED_VALUE"""),45068.0)</f>
        <v>45068</v>
      </c>
      <c r="E251" s="4" t="str">
        <f>IFERROR(__xludf.DUMMYFUNCTION("""COMPUTED_VALUE"""),"jimena.gutierrez@patagoniansys.com")</f>
        <v>jimena.gutierrez@patagoniansys.com</v>
      </c>
      <c r="F251" s="4" t="str">
        <f>IFERROR(__xludf.DUMMYFUNCTION("""COMPUTED_VALUE"""),"nico.magnano@patagoniansys.com")</f>
        <v>nico.magnano@patagoniansys.com</v>
      </c>
      <c r="G251" s="4" t="str">
        <f>IFERROR(__xludf.DUMMYFUNCTION("""COMPUTED_VALUE"""),"⏱ One on One")</f>
        <v>⏱ One on One</v>
      </c>
      <c r="H251" s="4" t="str">
        <f>IFERROR(__xludf.DUMMYFUNCTION("""COMPUTED_VALUE"""),"😀 Sumamente Feliz")</f>
        <v>😀 Sumamente Feliz</v>
      </c>
      <c r="I251" s="6" t="str">
        <f>IFERROR(__xludf.DUMMYFUNCTION("""COMPUTED_VALUE"""),"Esta muy contento con la empresa. Se pudo ajustar su sueldo y esta muy contento con lo rápido que se resolvió el tema. Esta contento con el proyecto, tiene mucho para crecer y aprender. Esta analizando algunas herramientas nuevas para implementar mejoras "&amp;"y optimizaciones de costos en la nube.")</f>
        <v>Esta muy contento con la empresa. Se pudo ajustar su sueldo y esta muy contento con lo rápido que se resolvió el tema. Esta contento con el proyecto, tiene mucho para crecer y aprender. Esta analizando algunas herramientas nuevas para implementar mejoras y optimizaciones de costos en la nube.</v>
      </c>
      <c r="J251" s="4" t="str">
        <f>IFERROR(__xludf.DUMMYFUNCTION("""COMPUTED_VALUE"""),"PX|Referents|RRHH")</f>
        <v>PX|Referents|RRHH</v>
      </c>
    </row>
    <row r="252" hidden="1">
      <c r="A252" s="4">
        <f>IFERROR(__xludf.DUMMYFUNCTION("""COMPUTED_VALUE"""),37.0)</f>
        <v>37</v>
      </c>
      <c r="B252" s="4" t="str">
        <f>IFERROR(__xludf.DUMMYFUNCTION("""COMPUTED_VALUE"""),"martin.castro")</f>
        <v>martin.castro</v>
      </c>
      <c r="C252" s="5">
        <f>IFERROR(__xludf.DUMMYFUNCTION("""COMPUTED_VALUE"""),45070.92533579861)</f>
        <v>45070.92534</v>
      </c>
      <c r="D252" s="5">
        <f>IFERROR(__xludf.DUMMYFUNCTION("""COMPUTED_VALUE"""),45068.0)</f>
        <v>45068</v>
      </c>
      <c r="E252" s="4" t="str">
        <f>IFERROR(__xludf.DUMMYFUNCTION("""COMPUTED_VALUE"""),"micaela.zorzetto@patagoniansys.com")</f>
        <v>micaela.zorzetto@patagoniansys.com</v>
      </c>
      <c r="F252" s="4" t="str">
        <f>IFERROR(__xludf.DUMMYFUNCTION("""COMPUTED_VALUE"""),"martin.castro@patagoniansys.com")</f>
        <v>martin.castro@patagoniansys.com</v>
      </c>
      <c r="G252" s="4" t="str">
        <f>IFERROR(__xludf.DUMMYFUNCTION("""COMPUTED_VALUE"""),"⏱ One on One")</f>
        <v>⏱ One on One</v>
      </c>
      <c r="H252" s="4" t="str">
        <f>IFERROR(__xludf.DUMMYFUNCTION("""COMPUTED_VALUE"""),"😀 Sumamente Feliz")</f>
        <v>😀 Sumamente Feliz</v>
      </c>
      <c r="I252" s="6" t="str">
        <f>IFERROR(__xludf.DUMMYFUNCTION("""COMPUTED_VALUE"""),"Esta muy contento con las carrera que esta haciendo en la empresa y el lugar que le dan para seguir creciendo. Desde que se fue Edu, el quedó como TL del equipo, siente que luego del cambió del Pm las cosas se tranquilizaron, e Isa esta adaptandosé al equ"&amp;"ipo.
Tiene como objetivo rendir el First a fin de año, para eso esta tomando clases particulares en un instituto. También esta estudiando para rendir la segunda certificación de AWS.  ")</f>
        <v>Esta muy contento con las carrera que esta haciendo en la empresa y el lugar que le dan para seguir creciendo. Desde que se fue Edu, el quedó como TL del equipo, siente que luego del cambió del Pm las cosas se tranquilizaron, e Isa esta adaptandosé al equipo.
Tiene como objetivo rendir el First a fin de año, para eso esta tomando clases particulares en un instituto. También esta estudiando para rendir la segunda certificación de AWS.  </v>
      </c>
      <c r="J252" s="4" t="str">
        <f>IFERROR(__xludf.DUMMYFUNCTION("""COMPUTED_VALUE"""),"PX|Referents|RRHH")</f>
        <v>PX|Referents|RRHH</v>
      </c>
    </row>
    <row r="253" hidden="1">
      <c r="A253" s="4">
        <f>IFERROR(__xludf.DUMMYFUNCTION("""COMPUTED_VALUE"""),185.0)</f>
        <v>185</v>
      </c>
      <c r="B253" s="4" t="str">
        <f>IFERROR(__xludf.DUMMYFUNCTION("""COMPUTED_VALUE"""),"carla.castiglia")</f>
        <v>carla.castiglia</v>
      </c>
      <c r="C253" s="5">
        <f>IFERROR(__xludf.DUMMYFUNCTION("""COMPUTED_VALUE"""),45079.73698627315)</f>
        <v>45079.73699</v>
      </c>
      <c r="D253" s="5">
        <f>IFERROR(__xludf.DUMMYFUNCTION("""COMPUTED_VALUE"""),45068.0)</f>
        <v>45068</v>
      </c>
      <c r="E253" s="4" t="str">
        <f>IFERROR(__xludf.DUMMYFUNCTION("""COMPUTED_VALUE"""),"micaela.zorzetto@patagoniansys.com")</f>
        <v>micaela.zorzetto@patagoniansys.com</v>
      </c>
      <c r="F253" s="4" t="str">
        <f>IFERROR(__xludf.DUMMYFUNCTION("""COMPUTED_VALUE"""),"carla.castiglia@patagoniansys.com")</f>
        <v>carla.castiglia@patagoniansys.com</v>
      </c>
      <c r="G253" s="4" t="str">
        <f>IFERROR(__xludf.DUMMYFUNCTION("""COMPUTED_VALUE"""),"⏱ One on One")</f>
        <v>⏱ One on One</v>
      </c>
      <c r="H253" s="4" t="str">
        <f>IFERROR(__xludf.DUMMYFUNCTION("""COMPUTED_VALUE"""),"😐 Indiferente")</f>
        <v>😐 Indiferente</v>
      </c>
      <c r="I253" s="6" t="str">
        <f>IFERROR(__xludf.DUMMYFUNCTION("""COMPUTED_VALUE"""),"Quiere seguir en el proyecto de Al Mundo, me comentó que luego que regrese de sus vacaciones va a retomar las clases de inglés. 
")</f>
        <v>Quiere seguir en el proyecto de Al Mundo, me comentó que luego que regrese de sus vacaciones va a retomar las clases de inglés. 
</v>
      </c>
      <c r="J253" s="4" t="str">
        <f>IFERROR(__xludf.DUMMYFUNCTION("""COMPUTED_VALUE"""),"PX|Referents|RRHH")</f>
        <v>PX|Referents|RRHH</v>
      </c>
    </row>
    <row r="254" hidden="1">
      <c r="A254" s="4">
        <f>IFERROR(__xludf.DUMMYFUNCTION("""COMPUTED_VALUE"""),5.0)</f>
        <v>5</v>
      </c>
      <c r="B254" s="4" t="str">
        <f>IFERROR(__xludf.DUMMYFUNCTION("""COMPUTED_VALUE"""),"bruno.molina")</f>
        <v>bruno.molina</v>
      </c>
      <c r="C254" s="5">
        <f>IFERROR(__xludf.DUMMYFUNCTION("""COMPUTED_VALUE"""),45079.73913403935)</f>
        <v>45079.73913</v>
      </c>
      <c r="D254" s="5">
        <f>IFERROR(__xludf.DUMMYFUNCTION("""COMPUTED_VALUE"""),45068.0)</f>
        <v>45068</v>
      </c>
      <c r="E254" s="4" t="str">
        <f>IFERROR(__xludf.DUMMYFUNCTION("""COMPUTED_VALUE"""),"micaela.zorzetto@patagoniansys.com")</f>
        <v>micaela.zorzetto@patagoniansys.com</v>
      </c>
      <c r="F254" s="4" t="str">
        <f>IFERROR(__xludf.DUMMYFUNCTION("""COMPUTED_VALUE"""),"bruno.molina@patagoniansys.com")</f>
        <v>bruno.molina@patagoniansys.com</v>
      </c>
      <c r="G254" s="4" t="str">
        <f>IFERROR(__xludf.DUMMYFUNCTION("""COMPUTED_VALUE"""),"⏱ One on One")</f>
        <v>⏱ One on One</v>
      </c>
      <c r="H254" s="4" t="str">
        <f>IFERROR(__xludf.DUMMYFUNCTION("""COMPUTED_VALUE"""),"🙂 Feliz")</f>
        <v>🙂 Feliz</v>
      </c>
      <c r="I254" s="6" t="str">
        <f>IFERROR(__xludf.DUMMYFUNCTION("""COMPUTED_VALUE"""),"Se siente bien en la empresa, ahi esta con más tiempo para delicarse a terminar la capacitación de AWS. 
Esta interesado en comenzar a prepararse para poder asumir un rol de manager, liderar un grupo de personas, pensando a largo plazo. 
Empresa: siempre "&amp;"se sintió y siente acompañado por Patagonian.")</f>
        <v>Se siente bien en la empresa, ahi esta con más tiempo para delicarse a terminar la capacitación de AWS. 
Esta interesado en comenzar a prepararse para poder asumir un rol de manager, liderar un grupo de personas, pensando a largo plazo. 
Empresa: siempre se sintió y siente acompañado por Patagonian.</v>
      </c>
      <c r="J254" s="4" t="str">
        <f>IFERROR(__xludf.DUMMYFUNCTION("""COMPUTED_VALUE"""),"PX|Referents|RRHH")</f>
        <v>PX|Referents|RRHH</v>
      </c>
    </row>
    <row r="255">
      <c r="A255" s="4">
        <f>IFERROR(__xludf.DUMMYFUNCTION("""COMPUTED_VALUE"""),188.0)</f>
        <v>188</v>
      </c>
      <c r="B255" s="4" t="str">
        <f>IFERROR(__xludf.DUMMYFUNCTION("""COMPUTED_VALUE"""),"mauricio.lahitte")</f>
        <v>mauricio.lahitte</v>
      </c>
      <c r="C255" s="5">
        <f>IFERROR(__xludf.DUMMYFUNCTION("""COMPUTED_VALUE"""),45070.637232141205)</f>
        <v>45070.63723</v>
      </c>
      <c r="D255" s="5">
        <f>IFERROR(__xludf.DUMMYFUNCTION("""COMPUTED_VALUE"""),45070.0)</f>
        <v>45070</v>
      </c>
      <c r="E255" s="4" t="str">
        <f>IFERROR(__xludf.DUMMYFUNCTION("""COMPUTED_VALUE"""),"jorge.contreras@patagoniansys.com")</f>
        <v>jorge.contreras@patagoniansys.com</v>
      </c>
      <c r="F255" s="4" t="str">
        <f>IFERROR(__xludf.DUMMYFUNCTION("""COMPUTED_VALUE"""),"mauricio.lahitte@patagonian.com")</f>
        <v>mauricio.lahitte@patagonian.com</v>
      </c>
      <c r="G255" s="4" t="str">
        <f>IFERROR(__xludf.DUMMYFUNCTION("""COMPUTED_VALUE"""),"Referent One on One")</f>
        <v>Referent One on One</v>
      </c>
      <c r="H255" s="4"/>
      <c r="I255" s="6" t="str">
        <f>IFERROR(__xludf.DUMMYFUNCTION("""COMPUTED_VALUE"""),"- Interviewee e-Mail: mauricio.lahitte@patagonian.com
- Project Status Check: Sigue trabajando en Rhebus
- Project Changes | Notes: No hay cambios o necesidades en el proyecto, sin embargo, lo que está ocurriendo es que muchas versiones de paquetes o libr"&amp;"erías se están actualizando. Tienen cuenta AWS. Atacamos las librerías que más rápido se vencen.
- Project Role | Feeling: 5
- Extra Work Hours | Amount: 0 (Ningúna)
- Techs | Research: Igual, siempre se investiga.
- Techs | Certifications: AWS Cloud Prac"&amp;"titioner
- Techs | Recomendations: Curso de Udemy
- Techs | Recomendations check: No
- Collaborator | Seniority: 👍 No, es correcto
- Alerts: Ninguno
- Project Needs / Oportunities: Por ahora, todo bien
- Project Techs | Learning: 1
- Techs | Research: 0
"&amp;"- Project Techs | Difficulty: 4
- Project Changes | Reasons: 🟰 No hubo cambios
- Project Changes | Personal Impact: 5
- Project Role | Value: 5
- Project role | Notes: Desarrollador. Actualmente el de mayor tenior.")</f>
        <v>- Interviewee e-Mail: mauricio.lahitte@patagonian.com
- Project Status Check: Sigue trabajando en Rhebus
- Project Changes | Notes: No hay cambios o necesidades en el proyecto, sin embargo, lo que está ocurriendo es que muchas versiones de paquetes o librerías se están actualizando. Tienen cuenta AWS. Atacamos las librerías que más rápido se vencen.
- Project Role | Feeling: 5
- Extra Work Hours | Amount: 0 (Ningúna)
- Techs | Research: Igual, siempre se investiga.
- Techs | Certifications: AWS Cloud Practitioner
- Techs | Recomendations: Curso de Udemy
- Techs | Recomendations check: No
- Collaborator | Seniority: 👍 No, es correcto
- Alerts: Ninguno
- Project Needs / Oportunities: Por ahora, todo bien
- Project Techs | Learning: 1
- Techs | Research: 0
- Project Techs | Difficulty: 4
- Project Changes | Reasons: 🟰 No hubo cambios
- Project Changes | Personal Impact: 5
- Project Role | Value: 5
- Project role | Notes: Desarrollador. Actualmente el de mayor tenior.</v>
      </c>
      <c r="J255" s="4" t="str">
        <f>IFERROR(__xludf.DUMMYFUNCTION("""COMPUTED_VALUE"""),"Tech Referent - OneOnOne")</f>
        <v>Tech Referent - OneOnOne</v>
      </c>
    </row>
    <row r="256">
      <c r="A256" s="4">
        <f>IFERROR(__xludf.DUMMYFUNCTION("""COMPUTED_VALUE"""),190.0)</f>
        <v>190</v>
      </c>
      <c r="B256" s="4" t="str">
        <f>IFERROR(__xludf.DUMMYFUNCTION("""COMPUTED_VALUE"""),"santiago.cendra")</f>
        <v>santiago.cendra</v>
      </c>
      <c r="C256" s="5">
        <f>IFERROR(__xludf.DUMMYFUNCTION("""COMPUTED_VALUE"""),45070.698827141205)</f>
        <v>45070.69883</v>
      </c>
      <c r="D256" s="5">
        <f>IFERROR(__xludf.DUMMYFUNCTION("""COMPUTED_VALUE"""),45070.0)</f>
        <v>45070</v>
      </c>
      <c r="E256" s="4" t="str">
        <f>IFERROR(__xludf.DUMMYFUNCTION("""COMPUTED_VALUE"""),"daniel.mansilla@patagoniansys.com")</f>
        <v>daniel.mansilla@patagoniansys.com</v>
      </c>
      <c r="F256" s="4" t="str">
        <f>IFERROR(__xludf.DUMMYFUNCTION("""COMPUTED_VALUE"""),"santiago.cendra@patagoniansys.com")</f>
        <v>santiago.cendra@patagoniansys.com</v>
      </c>
      <c r="G256" s="4" t="str">
        <f>IFERROR(__xludf.DUMMYFUNCTION("""COMPUTED_VALUE"""),"Referent One on One")</f>
        <v>Referent One on One</v>
      </c>
      <c r="H256" s="4"/>
      <c r="I256" s="6" t="str">
        <f>IFERROR(__xludf.DUMMYFUNCTION("""COMPUTED_VALUE"""),"- Interviewee e-Mail: santiago.cendra@patagoniansys.com
- Project Status Check: Todo va en orden. Están cerca de cerrar el proyecto.
- Project Changes | Notes: Gian Fois ingresó al proyecto como dev y ayudó a mejorar el proyecto. También le ayudo a Santi "&amp;"a mejorar en el proceso de desarrollo.
- Project Role | Feeling: 4
- Extra Work Hours | Amount: 5+ (Más de 5)
- Extra Work Hours | Reason: Por la suma de meetings de Pata y el Career Track.
- Techs | Research: Por ahora, solo se está dedicando al career t"&amp;"rack. Su interés principal es mejorar en inglés pero lo está haciendo por fuera de Pata.
- Techs | Recomendations: Por el momento, nada.
- Techs | Recomendations check: No hubieron recomendaciones por el momento.
- Collaborator | Seniority: 👍 No, es corr"&amp;"ecto
- Alerts: Considera que el tiempo que tiene que dedicarle a meetings varias y sobre todo a Career Track, le afecta un poco en la productividad. Incluso, ha dedicado algunas horas extras para compensar. Cabe destacar que él percibe que tal vez necesit"&amp;"a algo más de tiempo que lo habitual para resolver algunas cosas.
- Project Needs / Oportunities: Nada por el momento.
- Project Techs | Learning: 0
- Techs | Research: 8
- Project Techs | Difficulty: 3
- Project Changes | Reasons: Hubieron varios cambios"&amp;" de personas que participan en el proyecto en varias secciones (dev, qa, otros).
- Project Changes | Personal Impact: 5
- Project Role | Value: 4
- Project role | Notes: En un principio, se consideraba un poco más indispensable. Hoy, el proyecto está por "&amp;"terminar y no se nota mucho, pero por otra parte tiene mucho conocimiento del código y puede resolver fácilmente los problemas que surjan.")</f>
        <v>- Interviewee e-Mail: santiago.cendra@patagoniansys.com
- Project Status Check: Todo va en orden. Están cerca de cerrar el proyecto.
- Project Changes | Notes: Gian Fois ingresó al proyecto como dev y ayudó a mejorar el proyecto. También le ayudo a Santi a mejorar en el proceso de desarrollo.
- Project Role | Feeling: 4
- Extra Work Hours | Amount: 5+ (Más de 5)
- Extra Work Hours | Reason: Por la suma de meetings de Pata y el Career Track.
- Techs | Research: Por ahora, solo se está dedicando al career track. Su interés principal es mejorar en inglés pero lo está haciendo por fuera de Pata.
- Techs | Recomendations: Por el momento, nada.
- Techs | Recomendations check: No hubieron recomendaciones por el momento.
- Collaborator | Seniority: 👍 No, es correcto
- Alerts: Considera que el tiempo que tiene que dedicarle a meetings varias y sobre todo a Career Track, le afecta un poco en la productividad. Incluso, ha dedicado algunas horas extras para compensar. Cabe destacar que él percibe que tal vez necesita algo más de tiempo que lo habitual para resolver algunas cosas.
- Project Needs / Oportunities: Nada por el momento.
- Project Techs | Learning: 0
- Techs | Research: 8
- Project Techs | Difficulty: 3
- Project Changes | Reasons: Hubieron varios cambios de personas que participan en el proyecto en varias secciones (dev, qa, otros).
- Project Changes | Personal Impact: 5
- Project Role | Value: 4
- Project role | Notes: En un principio, se consideraba un poco más indispensable. Hoy, el proyecto está por terminar y no se nota mucho, pero por otra parte tiene mucho conocimiento del código y puede resolver fácilmente los problemas que surjan.</v>
      </c>
      <c r="J256" s="4" t="str">
        <f>IFERROR(__xludf.DUMMYFUNCTION("""COMPUTED_VALUE"""),"Tech Referent - OneOnOne")</f>
        <v>Tech Referent - OneOnOne</v>
      </c>
    </row>
    <row r="257">
      <c r="A257" s="4">
        <f>IFERROR(__xludf.DUMMYFUNCTION("""COMPUTED_VALUE"""),319.0)</f>
        <v>319</v>
      </c>
      <c r="B257" s="4" t="str">
        <f>IFERROR(__xludf.DUMMYFUNCTION("""COMPUTED_VALUE"""),"kharoly.cordova")</f>
        <v>kharoly.cordova</v>
      </c>
      <c r="C257" s="5">
        <f>IFERROR(__xludf.DUMMYFUNCTION("""COMPUTED_VALUE"""),45070.715806307875)</f>
        <v>45070.71581</v>
      </c>
      <c r="D257" s="5">
        <f>IFERROR(__xludf.DUMMYFUNCTION("""COMPUTED_VALUE"""),45070.0)</f>
        <v>45070</v>
      </c>
      <c r="E257" s="4" t="str">
        <f>IFERROR(__xludf.DUMMYFUNCTION("""COMPUTED_VALUE"""),"ivan.vasquez@patagoniansys.com")</f>
        <v>ivan.vasquez@patagoniansys.com</v>
      </c>
      <c r="F257" s="4" t="str">
        <f>IFERROR(__xludf.DUMMYFUNCTION("""COMPUTED_VALUE"""),"kharoly.cordova@patagoniansys.com")</f>
        <v>kharoly.cordova@patagoniansys.com</v>
      </c>
      <c r="G257" s="4" t="str">
        <f>IFERROR(__xludf.DUMMYFUNCTION("""COMPUTED_VALUE"""),"Referent One on One")</f>
        <v>Referent One on One</v>
      </c>
      <c r="H257" s="4"/>
      <c r="I257" s="6" t="str">
        <f>IFERROR(__xludf.DUMMYFUNCTION("""COMPUTED_VALUE"""),"- Interviewee e-Mail: kharoly.cordova@patagoniansys.com
- Project Status Check: Se esta tratando de implementar la metodologia SCRUM dentro del proyecto
- Project Changes | Notes: el equipo esta completo, las tareas se fijan mediante Jira
- Project Role |"&amp;" Feeling: 4
- Extra Work Hours | Amount: 1 - 5 (Entre 1 y 5)
- Extra Work Hours | Reason: 🙋Decisión propia
- Techs | Research: vio ChatGPT y algunas tools relacionadas
- Techs | Recomendations: recomende revisar el video del demo que hizo Mariano acerca "&amp;"de los plugins con ChatGPT
- Techs | Recomendations check: N/A
- Collaborator | Seniority: 👍 No, es correcto
- Alerts: Su proyecto termina pronto y tiene cierta incertidumbre sobre su futuro. Hablo con su PM sobre el tema, pero no tiene nada confirmado a"&amp;"cerca de lo que sucedera con ella, RRHH no se contacto en ningun momento con ella.
- Project Needs / Oportunities: Ponerse al dia con las reuniones de RRHH.
- Final notes: se siente muy bien dentro de su proyecto, pero le preocupa su futuro cuando este te"&amp;"rmine
- Project Techs | Learning: 1
- Techs | Research: 2
- Project Techs | Difficulty: 5
- Project Changes | Reasons: 🏁 Cambios en los objetivos, ⏱ Cambios en la forma de planificar las tareas y tiempos, 💻 Cambios en la manera de desarrollar
- Project "&amp;"Changes | Personal Impact: 4
- Project Role | Value: 5
- Project role | Notes: la distribucion de tickets hace que sea mas organizada y como unico recurso QA es muy fundamental")</f>
        <v>- Interviewee e-Mail: kharoly.cordova@patagoniansys.com
- Project Status Check: Se esta tratando de implementar la metodologia SCRUM dentro del proyecto
- Project Changes | Notes: el equipo esta completo, las tareas se fijan mediante Jira
- Project Role | Feeling: 4
- Extra Work Hours | Amount: 1 - 5 (Entre 1 y 5)
- Extra Work Hours | Reason: 🙋Decisión propia
- Techs | Research: vio ChatGPT y algunas tools relacionadas
- Techs | Recomendations: recomende revisar el video del demo que hizo Mariano acerca de los plugins con ChatGPT
- Techs | Recomendations check: N/A
- Collaborator | Seniority: 👍 No, es correcto
- Alerts: Su proyecto termina pronto y tiene cierta incertidumbre sobre su futuro. Hablo con su PM sobre el tema, pero no tiene nada confirmado acerca de lo que sucedera con ella, RRHH no se contacto en ningun momento con ella.
- Project Needs / Oportunities: Ponerse al dia con las reuniones de RRHH.
- Final notes: se siente muy bien dentro de su proyecto, pero le preocupa su futuro cuando este termine
- Project Techs | Learning: 1
- Techs | Research: 2
- Project Techs | Difficulty: 5
- Project Changes | Reasons: 🏁 Cambios en los objetivos, ⏱ Cambios en la forma de planificar las tareas y tiempos, 💻 Cambios en la manera de desarrollar
- Project Changes | Personal Impact: 4
- Project Role | Value: 5
- Project role | Notes: la distribucion de tickets hace que sea mas organizada y como unico recurso QA es muy fundamental</v>
      </c>
      <c r="J257" s="4" t="str">
        <f>IFERROR(__xludf.DUMMYFUNCTION("""COMPUTED_VALUE"""),"Tech Referent - OneOnOne")</f>
        <v>Tech Referent - OneOnOne</v>
      </c>
    </row>
    <row r="258">
      <c r="A258" s="4">
        <f>IFERROR(__xludf.DUMMYFUNCTION("""COMPUTED_VALUE"""),11.0)</f>
        <v>11</v>
      </c>
      <c r="B258" s="4" t="str">
        <f>IFERROR(__xludf.DUMMYFUNCTION("""COMPUTED_VALUE"""),"ernesto.parada")</f>
        <v>ernesto.parada</v>
      </c>
      <c r="C258" s="5">
        <f>IFERROR(__xludf.DUMMYFUNCTION("""COMPUTED_VALUE"""),45070.89483157407)</f>
        <v>45070.89483</v>
      </c>
      <c r="D258" s="5">
        <f>IFERROR(__xludf.DUMMYFUNCTION("""COMPUTED_VALUE"""),45070.0)</f>
        <v>45070</v>
      </c>
      <c r="E258" s="4" t="str">
        <f>IFERROR(__xludf.DUMMYFUNCTION("""COMPUTED_VALUE"""),"edgar.bonilla@patagoniansys.com")</f>
        <v>edgar.bonilla@patagoniansys.com</v>
      </c>
      <c r="F258" s="4" t="str">
        <f>IFERROR(__xludf.DUMMYFUNCTION("""COMPUTED_VALUE"""),"ernesto.parada@patagoniansys.com")</f>
        <v>ernesto.parada@patagoniansys.com</v>
      </c>
      <c r="G258" s="4" t="str">
        <f>IFERROR(__xludf.DUMMYFUNCTION("""COMPUTED_VALUE"""),"Initial gathering")</f>
        <v>Initial gathering</v>
      </c>
      <c r="H258" s="4"/>
      <c r="I258" s="6" t="str">
        <f>IFERROR(__xludf.DUMMYFUNCTION("""COMPUTED_VALUE"""),"- Interviewee e-Mail: ernesto.parada@patagoniansys.com
- Project name: Mbody
- Project | Role: Backend Developer, Mobile Developer, TL
- Project | Description: El proyecto es una aplicación especialmente enfocada en el sector médico. La empresa presta sus"&amp;" servicios a clientes que les entrega apps personalizadas (brandeadas) para el uso bajo su propia marca, pero el core siendo el mismo.
Él ha estado en el proyecto desde hace unos 6 años, principalmente como Mobile Dev, en la parte de iOS nativo. En los ú"&amp;"ltimos periodos, ha estado en un rol más de TL y también haciendo trabajos en el back-end. Ahora está asignado medio tiempo (4 horas) y otras 4 horas en bench. Las 4 horas de bench son recientes ya que estaba en otro proyecto que acaba de terminar. Siente"&amp;" que así está bien porque no quiere estar de nuevo full-time en MBody.
Comenta que el proyecto está en un estado de incertidumbre ya que, a pesar de que tiene ventas, pareciera que va a necesitar levantar financiación para seguir operando en un futuro.
-"&amp;" Project | technologies: iOS nativo, Java/Grails, Node.js, Azure Cloud, React.js
- Happiness in project technology: 😐 Indiferente
- Happiness in project technology | Description: - Siente que viene de mucho tiempo haciendo mobile en iOS nativo y que al s"&amp;"er tanto tiempo en un sólo proyecto, se puede llegar a sentir estancado o perderse de muchas cosas ya que la tecnología avanza muy rápido.
- También manifiesta que el trabajo que ha hecho últimamente en back-end y algo de infra le ha gustado y que incluso"&amp;" siente más interés ahora por esos temas y por temas de arquitectura que por el lado mobile.
- Pero en términos general siente que ya ha sido bastante tiempo con MBody y podría mirar hacia otros proyectos a futuro.
- Project | The best/coolest thing: Ha t"&amp;"enido la oportunidad de trabajar en cosas diferentes al mobile.
- Project | The worst thing: Nada en específico, pero quizás siente que ya lleva mucho tiempo en el proyecto y quiere abrirse a cosas nuevas dentro de la empresa.
- Team | TL: Ernesto Parada "&amp;"(él mismo)
- Team | PX: Jesica Petrauskas
- Team | QA: 1
- Team | QA Automation: 👎 No
- Team | UI/UX: 0
- Team | DevOps: 1
- Team | Data Engineer: 0")</f>
        <v>- Interviewee e-Mail: ernesto.parada@patagoniansys.com
- Project name: Mbody
- Project | Role: Backend Developer, Mobile Developer, TL
- Project | Description: El proyecto es una aplicación especialmente enfocada en el sector médico. La empresa presta sus servicios a clientes que les entrega apps personalizadas (brandeadas) para el uso bajo su propia marca, pero el core siendo el mismo.
Él ha estado en el proyecto desde hace unos 6 años, principalmente como Mobile Dev, en la parte de iOS nativo. En los últimos periodos, ha estado en un rol más de TL y también haciendo trabajos en el back-end. Ahora está asignado medio tiempo (4 horas) y otras 4 horas en bench. Las 4 horas de bench son recientes ya que estaba en otro proyecto que acaba de terminar. Siente que así está bien porque no quiere estar de nuevo full-time en MBody.
Comenta que el proyecto está en un estado de incertidumbre ya que, a pesar de que tiene ventas, pareciera que va a necesitar levantar financiación para seguir operando en un futuro.
- Project | technologies: iOS nativo, Java/Grails, Node.js, Azure Cloud, React.js
- Happiness in project technology: 😐 Indiferente
- Happiness in project technology | Description: - Siente que viene de mucho tiempo haciendo mobile en iOS nativo y que al ser tanto tiempo en un sólo proyecto, se puede llegar a sentir estancado o perderse de muchas cosas ya que la tecnología avanza muy rápido.
- También manifiesta que el trabajo que ha hecho últimamente en back-end y algo de infra le ha gustado y que incluso siente más interés ahora por esos temas y por temas de arquitectura que por el lado mobile.
- Pero en términos general siente que ya ha sido bastante tiempo con MBody y podría mirar hacia otros proyectos a futuro.
- Project | The best/coolest thing: Ha tenido la oportunidad de trabajar en cosas diferentes al mobile.
- Project | The worst thing: Nada en específico, pero quizás siente que ya lleva mucho tiempo en el proyecto y quiere abrirse a cosas nuevas dentro de la empresa.
- Team | TL: Ernesto Parada (él mismo)
- Team | PX: Jesica Petrauskas
- Team | QA: 1
- Team | QA Automation: 👎 No
- Team | UI/UX: 0
- Team | DevOps: 1
- Team | Data Engineer: 0</v>
      </c>
      <c r="J258" s="4" t="str">
        <f>IFERROR(__xludf.DUMMYFUNCTION("""COMPUTED_VALUE"""),"Tech Referent - Initial gathering")</f>
        <v>Tech Referent - Initial gathering</v>
      </c>
    </row>
    <row r="259">
      <c r="A259" s="4">
        <f>IFERROR(__xludf.DUMMYFUNCTION("""COMPUTED_VALUE"""),11.0)</f>
        <v>11</v>
      </c>
      <c r="B259" s="4" t="str">
        <f>IFERROR(__xludf.DUMMYFUNCTION("""COMPUTED_VALUE"""),"ernesto.parada")</f>
        <v>ernesto.parada</v>
      </c>
      <c r="C259" s="5">
        <f>IFERROR(__xludf.DUMMYFUNCTION("""COMPUTED_VALUE"""),45070.90532675926)</f>
        <v>45070.90533</v>
      </c>
      <c r="D259" s="5">
        <f>IFERROR(__xludf.DUMMYFUNCTION("""COMPUTED_VALUE"""),45070.0)</f>
        <v>45070</v>
      </c>
      <c r="E259" s="4" t="str">
        <f>IFERROR(__xludf.DUMMYFUNCTION("""COMPUTED_VALUE"""),"edgar.bonilla@patagoniansys.com")</f>
        <v>edgar.bonilla@patagoniansys.com</v>
      </c>
      <c r="F259" s="4" t="str">
        <f>IFERROR(__xludf.DUMMYFUNCTION("""COMPUTED_VALUE"""),"ernesto.parada@patagoniansys.com")</f>
        <v>ernesto.parada@patagoniansys.com</v>
      </c>
      <c r="G259" s="4" t="str">
        <f>IFERROR(__xludf.DUMMYFUNCTION("""COMPUTED_VALUE"""),"Initial gathering")</f>
        <v>Initial gathering</v>
      </c>
      <c r="H259" s="4"/>
      <c r="I259" s="6" t="str">
        <f>IFERROR(__xludf.DUMMYFUNCTION("""COMPUTED_VALUE"""),"- Interviewee e-Mail: ernesto.parada@patagoniansys.com
- Project name: Bench
- Project | Role: Bench
- Project | Description: Ahora está asignado medio tiempo (4 horas) al proyecto MBody y otras 4 horas en bench. Las 4 horas de bench son recientes ya que "&amp;"estaba en otro proyecto que acaba de terminar (Eyethena). Siente que así está bien porque no quiere estar de nuevo full-time en MBody.
Manifiesta que está trabajando en iniciativas interesantes internas de Patagonian en ese medio tiempo de bench. Dentro "&amp;"de esto ha estado con temas de arquitectura, back-end y datos.
Específicamente está trabajando en un pipeline ETL de datos y BI para Patagonian.
- Project | technologies: Cloud, BI
- Happiness in project technology: 🙂 Feliz
- Happiness in project techno"&amp;"logy | Description: Está contribuyendo a algunas iniciativas internas de Patagonian (pipeline ETL de datos y BI para Patagonian) y eso le parece interesante/emocionante. Piensa hacer también retomar una certificación de AWS que tiene pausada. Está estudia"&amp;"ndo fuerte inglés también.
También manifiesta que a futuro le gustaría adentrarse en más temas como de back-end o cloud. O si es cuestión de volver al mobile, que sea una tecnología híbrida y no nativa, ya que siente que hay oportunidades de hacer cosas "&amp;"interesantes por ese lado y que así mismo hay más flujo de proyectos.
- Project | The best/coolest thing: Aprender y experimentar en cosas nuevas que le interesan
- Team | TL: -
- Team | PX: Jesica Petrauskas
- Team | QA: 0
- Team | QA Automation: 👎 No
-"&amp;" Team | UI/UX: 0
- Team | DevOps: 0
- Team | Data Engineer: 0")</f>
        <v>- Interviewee e-Mail: ernesto.parada@patagoniansys.com
- Project name: Bench
- Project | Role: Bench
- Project | Description: Ahora está asignado medio tiempo (4 horas) al proyecto MBody y otras 4 horas en bench. Las 4 horas de bench son recientes ya que estaba en otro proyecto que acaba de terminar (Eyethena). Siente que así está bien porque no quiere estar de nuevo full-time en MBody.
Manifiesta que está trabajando en iniciativas interesantes internas de Patagonian en ese medio tiempo de bench. Dentro de esto ha estado con temas de arquitectura, back-end y datos.
Específicamente está trabajando en un pipeline ETL de datos y BI para Patagonian.
- Project | technologies: Cloud, BI
- Happiness in project technology: 🙂 Feliz
- Happiness in project technology | Description: Está contribuyendo a algunas iniciativas internas de Patagonian (pipeline ETL de datos y BI para Patagonian) y eso le parece interesante/emocionante. Piensa hacer también retomar una certificación de AWS que tiene pausada. Está estudiando fuerte inglés también.
También manifiesta que a futuro le gustaría adentrarse en más temas como de back-end o cloud. O si es cuestión de volver al mobile, que sea una tecnología híbrida y no nativa, ya que siente que hay oportunidades de hacer cosas interesantes por ese lado y que así mismo hay más flujo de proyectos.
- Project | The best/coolest thing: Aprender y experimentar en cosas nuevas que le interesan
- Team | TL: -
- Team | PX: Jesica Petrauskas
- Team | QA: 0
- Team | QA Automation: 👎 No
- Team | UI/UX: 0
- Team | DevOps: 0
- Team | Data Engineer: 0</v>
      </c>
      <c r="J259" s="4" t="str">
        <f>IFERROR(__xludf.DUMMYFUNCTION("""COMPUTED_VALUE"""),"Tech Referent - Initial gathering")</f>
        <v>Tech Referent - Initial gathering</v>
      </c>
    </row>
    <row r="260">
      <c r="A260" s="4">
        <f>IFERROR(__xludf.DUMMYFUNCTION("""COMPUTED_VALUE"""),146.0)</f>
        <v>146</v>
      </c>
      <c r="B260" s="4" t="str">
        <f>IFERROR(__xludf.DUMMYFUNCTION("""COMPUTED_VALUE"""),"juan.martinezrios")</f>
        <v>juan.martinezrios</v>
      </c>
      <c r="C260" s="5">
        <f>IFERROR(__xludf.DUMMYFUNCTION("""COMPUTED_VALUE"""),45075.57796377315)</f>
        <v>45075.57796</v>
      </c>
      <c r="D260" s="5">
        <f>IFERROR(__xludf.DUMMYFUNCTION("""COMPUTED_VALUE"""),45070.0)</f>
        <v>45070</v>
      </c>
      <c r="E260" s="4" t="str">
        <f>IFERROR(__xludf.DUMMYFUNCTION("""COMPUTED_VALUE"""),"jmartinez@patagoniansys.com")</f>
        <v>jmartinez@patagoniansys.com</v>
      </c>
      <c r="F260" s="4" t="str">
        <f>IFERROR(__xludf.DUMMYFUNCTION("""COMPUTED_VALUE"""),"juan.martinezrios@patagonian.com")</f>
        <v>juan.martinezrios@patagonian.com</v>
      </c>
      <c r="G260" s="4" t="str">
        <f>IFERROR(__xludf.DUMMYFUNCTION("""COMPUTED_VALUE"""),"Referent One on One")</f>
        <v>Referent One on One</v>
      </c>
      <c r="H260" s="4"/>
      <c r="I260" s="6" t="str">
        <f>IFERROR(__xludf.DUMMYFUNCTION("""COMPUTED_VALUE"""),"- Interviewee e-Mail: juan.martinezrios@patagonian.com
- Project Status Check: No hubo muchos cambios desde la última reunión, Juan sigue trabajando en Al Mundo como developer full stack.
- Project Role | Feeling: 4
- Extra Work Hours | Amount: 0 (Ningúna"&amp;")
- Techs | Research: No ha indagado en tecnologías de interés, volvió a mencionarme que lo que más le interesa es el desarrollo mobile por lo que le sugerí cosas con las que seguir.
- Techs | Recomendations: Le recomendé comenzar con los codelabs de Andr"&amp;"oid de Google y hacer un POC para poder guiarlo durante el aprendizaje: https://developer.android.com/courses/android-basics-compose/course
- Collaborator | Seniority: 👍 No, es correcto
- Project Techs | Learning: 18
- Project Techs | Difficulty: 4
- Pro"&amp;"ject Changes | Reasons: 🟰 No hubo cambios
- Project Role | Value: 4
- Project role | Notes: Juan está conforme con sus tareas dentro del proyecto, lo que más le gusta es que el cliente prioriza el implementar mejoras sobre las funcionalidades existentes "&amp;"por lo que siempre hay cambios positivos para implementar.")</f>
        <v>- Interviewee e-Mail: juan.martinezrios@patagonian.com
- Project Status Check: No hubo muchos cambios desde la última reunión, Juan sigue trabajando en Al Mundo como developer full stack.
- Project Role | Feeling: 4
- Extra Work Hours | Amount: 0 (Ningúna)
- Techs | Research: No ha indagado en tecnologías de interés, volvió a mencionarme que lo que más le interesa es el desarrollo mobile por lo que le sugerí cosas con las que seguir.
- Techs | Recomendations: Le recomendé comenzar con los codelabs de Android de Google y hacer un POC para poder guiarlo durante el aprendizaje: https://developer.android.com/courses/android-basics-compose/course
- Collaborator | Seniority: 👍 No, es correcto
- Project Techs | Learning: 18
- Project Techs | Difficulty: 4
- Project Changes | Reasons: 🟰 No hubo cambios
- Project Role | Value: 4
- Project role | Notes: Juan está conforme con sus tareas dentro del proyecto, lo que más le gusta es que el cliente prioriza el implementar mejoras sobre las funcionalidades existentes por lo que siempre hay cambios positivos para implementar.</v>
      </c>
      <c r="J260" s="4" t="str">
        <f>IFERROR(__xludf.DUMMYFUNCTION("""COMPUTED_VALUE"""),"Tech Referent - OneOnOne")</f>
        <v>Tech Referent - OneOnOne</v>
      </c>
    </row>
    <row r="261" hidden="1">
      <c r="A261" s="4">
        <f>IFERROR(__xludf.DUMMYFUNCTION("""COMPUTED_VALUE"""),198.0)</f>
        <v>198</v>
      </c>
      <c r="B261" s="4" t="str">
        <f>IFERROR(__xludf.DUMMYFUNCTION("""COMPUTED_VALUE"""),"valeria.juarez")</f>
        <v>valeria.juarez</v>
      </c>
      <c r="C261" s="5">
        <f>IFERROR(__xludf.DUMMYFUNCTION("""COMPUTED_VALUE"""),45082.74707848379)</f>
        <v>45082.74708</v>
      </c>
      <c r="D261" s="5">
        <f>IFERROR(__xludf.DUMMYFUNCTION("""COMPUTED_VALUE"""),45070.0)</f>
        <v>45070</v>
      </c>
      <c r="E261" s="4" t="str">
        <f>IFERROR(__xludf.DUMMYFUNCTION("""COMPUTED_VALUE"""),"micaela.zorzetto@patagoniansys.com")</f>
        <v>micaela.zorzetto@patagoniansys.com</v>
      </c>
      <c r="F261" s="4" t="str">
        <f>IFERROR(__xludf.DUMMYFUNCTION("""COMPUTED_VALUE"""),"valeria.juarez@patagoniansys.com")</f>
        <v>valeria.juarez@patagoniansys.com</v>
      </c>
      <c r="G261" s="4" t="str">
        <f>IFERROR(__xludf.DUMMYFUNCTION("""COMPUTED_VALUE"""),"⏱ One on One")</f>
        <v>⏱ One on One</v>
      </c>
      <c r="H261" s="4" t="str">
        <f>IFERROR(__xludf.DUMMYFUNCTION("""COMPUTED_VALUE"""),"🙂 Feliz")</f>
        <v>🙂 Feliz</v>
      </c>
      <c r="I261" s="6" t="str">
        <f>IFERROR(__xludf.DUMMYFUNCTION("""COMPUTED_VALUE"""),"Se siente bien en la empresa. Esta en el proyecto de Halli, al principio estaba asustada, porque era la primera vez que ejercia el rol de UX, y consideraba que no tenia la experiencia necesaria, pero tuvo el apoyo de todo el equipo. Como sabian que el cli"&amp;"ente era complicado, junto con la compañera de Patagonian, decidieron poner lo puntos antes de iniciar el proyecto y que se siga la linea que se establecia. 
Su objetivo es fortalecer y seguir aprendiendo inglés.
Me comentó que le gustaría que en la empre"&amp;"sa se dicten talleres de diversidad, y no todo enfocado a las mujeres. ")</f>
        <v>Se siente bien en la empresa. Esta en el proyecto de Halli, al principio estaba asustada, porque era la primera vez que ejercia el rol de UX, y consideraba que no tenia la experiencia necesaria, pero tuvo el apoyo de todo el equipo. Como sabian que el cliente era complicado, junto con la compañera de Patagonian, decidieron poner lo puntos antes de iniciar el proyecto y que se siga la linea que se establecia. 
Su objetivo es fortalecer y seguir aprendiendo inglés.
Me comentó que le gustaría que en la empresa se dicten talleres de diversidad, y no todo enfocado a las mujeres. </v>
      </c>
      <c r="J261" s="4" t="str">
        <f>IFERROR(__xludf.DUMMYFUNCTION("""COMPUTED_VALUE"""),"PX|Referents|RRHH")</f>
        <v>PX|Referents|RRHH</v>
      </c>
    </row>
    <row r="262" hidden="1">
      <c r="A262" s="4">
        <f>IFERROR(__xludf.DUMMYFUNCTION("""COMPUTED_VALUE"""),185.0)</f>
        <v>185</v>
      </c>
      <c r="B262" s="4" t="str">
        <f>IFERROR(__xludf.DUMMYFUNCTION("""COMPUTED_VALUE"""),"carla.castiglia")</f>
        <v>carla.castiglia</v>
      </c>
      <c r="C262" s="5">
        <f>IFERROR(__xludf.DUMMYFUNCTION("""COMPUTED_VALUE"""),45057.60773862269)</f>
        <v>45057.60774</v>
      </c>
      <c r="D262" s="5">
        <f>IFERROR(__xludf.DUMMYFUNCTION("""COMPUTED_VALUE"""),45071.0)</f>
        <v>45071</v>
      </c>
      <c r="E262" s="4" t="str">
        <f>IFERROR(__xludf.DUMMYFUNCTION("""COMPUTED_VALUE"""),"micaela.zorzetto@patagoniansys.com")</f>
        <v>micaela.zorzetto@patagoniansys.com</v>
      </c>
      <c r="F262" s="4" t="str">
        <f>IFERROR(__xludf.DUMMYFUNCTION("""COMPUTED_VALUE"""),"carla.castiglia@patagoniansys.com")</f>
        <v>carla.castiglia@patagoniansys.com</v>
      </c>
      <c r="G262" s="4" t="str">
        <f>IFERROR(__xludf.DUMMYFUNCTION("""COMPUTED_VALUE"""),"⏱ One on One")</f>
        <v>⏱ One on One</v>
      </c>
      <c r="H262" s="4" t="str">
        <f>IFERROR(__xludf.DUMMYFUNCTION("""COMPUTED_VALUE"""),"😐 Indiferente")</f>
        <v>😐 Indiferente</v>
      </c>
      <c r="I262" s="6" t="str">
        <f>IFERROR(__xludf.DUMMYFUNCTION("""COMPUTED_VALUE"""),"Se siente más tranquila ya que comprendió que no se va a quedar sin trabajo en Patagonian si el proyecto de Al Mundo finaliza. 
Pidió disculpas por la actitud que tuvo ante un inconveniente que se presento con la gente del proyecto y Jime. 
Esta contenta "&amp;"con el trabajo que realiza con Al Mundo.")</f>
        <v>Se siente más tranquila ya que comprendió que no se va a quedar sin trabajo en Patagonian si el proyecto de Al Mundo finaliza. 
Pidió disculpas por la actitud que tuvo ante un inconveniente que se presento con la gente del proyecto y Jime. 
Esta contenta con el trabajo que realiza con Al Mundo.</v>
      </c>
      <c r="J262" s="4" t="str">
        <f>IFERROR(__xludf.DUMMYFUNCTION("""COMPUTED_VALUE"""),"PX|Referents|RRHH")</f>
        <v>PX|Referents|RRHH</v>
      </c>
    </row>
    <row r="263">
      <c r="A263" s="4">
        <f>IFERROR(__xludf.DUMMYFUNCTION("""COMPUTED_VALUE"""),282.0)</f>
        <v>282</v>
      </c>
      <c r="B263" s="4" t="str">
        <f>IFERROR(__xludf.DUMMYFUNCTION("""COMPUTED_VALUE"""),"julian.zambroni")</f>
        <v>julian.zambroni</v>
      </c>
      <c r="C263" s="5">
        <f>IFERROR(__xludf.DUMMYFUNCTION("""COMPUTED_VALUE"""),45063.682006875)</f>
        <v>45063.68201</v>
      </c>
      <c r="D263" s="5">
        <f>IFERROR(__xludf.DUMMYFUNCTION("""COMPUTED_VALUE"""),45073.0)</f>
        <v>45073</v>
      </c>
      <c r="E263" s="4" t="str">
        <f>IFERROR(__xludf.DUMMYFUNCTION("""COMPUTED_VALUE"""),"daniel.mansilla@patagoniansys.com")</f>
        <v>daniel.mansilla@patagoniansys.com</v>
      </c>
      <c r="F263" s="4" t="str">
        <f>IFERROR(__xludf.DUMMYFUNCTION("""COMPUTED_VALUE"""),"julian.zambroni@patagonian.com")</f>
        <v>julian.zambroni@patagonian.com</v>
      </c>
      <c r="G263" s="4" t="str">
        <f>IFERROR(__xludf.DUMMYFUNCTION("""COMPUTED_VALUE"""),"Initial gathering")</f>
        <v>Initial gathering</v>
      </c>
      <c r="H263" s="4"/>
      <c r="I263" s="6" t="str">
        <f>IFERROR(__xludf.DUMMYFUNCTION("""COMPUTED_VALUE"""),"- Interviewee e-Mail: julian.zambroni@patagonian.com
- Project name: Conversifi
- Project | Role: Backend Developer, Frontend Developer
- Project | Description: El objetivo principal de la aplicación es aprender idiomas. Se usa especialmente en universida"&amp;"des. Permite que los instructures puedan controlar las clases. Por el momento se manejan los idiomas inglés, francés y español. Cabe destacar que las clases se hacen directamente con nativos.
- Project | technologies: React, Node (Typescript). Mongo, Post"&amp;"gres, Redist. AWS, Docker, Kubernetes. Servicios externos varios.
- Happiness in project technology: 😀 Sumamente Feliz
- Happiness in project technology | Description: El startup es un poquito complicado por falta de documentación. Pero no es algo que af"&amp;"ecte constantemente. Solo al comienzo.
- Project | The best/coolest thing: Le gusta el orden del proyecto y la forma en la que se trabaja en general.
- Project | Improvements: Nada para destacar. Por lo general, el equipo tiene como objetivo realizar mejo"&amp;"ras constantente en el proyecto.
- Team | TL: Martín Castro
- Team | PX: Isa Llanos
- Team | QA: 2
- Team | QA Automation: 👍 Si
- Team | UI/UX: 0
- Team | UI/UX | Notes: No hay gente especializada. Si surgen cosas, se resuelven entre el equipo de desarro"&amp;"llo y el cliente.
- Team | DevOps: 🤔 Hay colaboradores pero no están asignados al proyecto
- Team | Data Engineer: 0")</f>
        <v>- Interviewee e-Mail: julian.zambroni@patagonian.com
- Project name: Conversifi
- Project | Role: Backend Developer, Frontend Developer
- Project | Description: El objetivo principal de la aplicación es aprender idiomas. Se usa especialmente en universidades. Permite que los instructures puedan controlar las clases. Por el momento se manejan los idiomas inglés, francés y español. Cabe destacar que las clases se hacen directamente con nativos.
- Project | technologies: React, Node (Typescript). Mongo, Postgres, Redist. AWS, Docker, Kubernetes. Servicios externos varios.
- Happiness in project technology: 😀 Sumamente Feliz
- Happiness in project technology | Description: El startup es un poquito complicado por falta de documentación. Pero no es algo que afecte constantemente. Solo al comienzo.
- Project | The best/coolest thing: Le gusta el orden del proyecto y la forma en la que se trabaja en general.
- Project | Improvements: Nada para destacar. Por lo general, el equipo tiene como objetivo realizar mejoras constantente en el proyecto.
- Team | TL: Martín Castro
- Team | PX: Isa Llanos
- Team | QA: 2
- Team | QA Automation: 👍 Si
- Team | UI/UX: 0
- Team | UI/UX | Notes: No hay gente especializada. Si surgen cosas, se resuelven entre el equipo de desarrollo y el cliente.
- Team | DevOps: 🤔 Hay colaboradores pero no están asignados al proyecto
- Team | Data Engineer: 0</v>
      </c>
      <c r="J263" s="4" t="str">
        <f>IFERROR(__xludf.DUMMYFUNCTION("""COMPUTED_VALUE"""),"Tech Referent - Initial gathering")</f>
        <v>Tech Referent - Initial gathering</v>
      </c>
    </row>
    <row r="264" hidden="1">
      <c r="A264" s="4">
        <f>IFERROR(__xludf.DUMMYFUNCTION("""COMPUTED_VALUE"""),105.0)</f>
        <v>105</v>
      </c>
      <c r="B264" s="4" t="str">
        <f>IFERROR(__xludf.DUMMYFUNCTION("""COMPUTED_VALUE"""),"henry.tong")</f>
        <v>henry.tong</v>
      </c>
      <c r="C264" s="5">
        <f>IFERROR(__xludf.DUMMYFUNCTION("""COMPUTED_VALUE"""),45075.699683356484)</f>
        <v>45075.69968</v>
      </c>
      <c r="D264" s="5">
        <f>IFERROR(__xludf.DUMMYFUNCTION("""COMPUTED_VALUE"""),45075.0)</f>
        <v>45075</v>
      </c>
      <c r="E264" s="4" t="str">
        <f>IFERROR(__xludf.DUMMYFUNCTION("""COMPUTED_VALUE"""),"gonzalo.garro@patagoniansys.com")</f>
        <v>gonzalo.garro@patagoniansys.com</v>
      </c>
      <c r="F264" s="4" t="str">
        <f>IFERROR(__xludf.DUMMYFUNCTION("""COMPUTED_VALUE"""),"henry.tong@patagoniansys.com")</f>
        <v>henry.tong@patagoniansys.com</v>
      </c>
      <c r="G264" s="4" t="str">
        <f>IFERROR(__xludf.DUMMYFUNCTION("""COMPUTED_VALUE"""),"Leader - Specialist - One on one")</f>
        <v>Leader - Specialist - One on one</v>
      </c>
      <c r="H264" s="4" t="str">
        <f>IFERROR(__xludf.DUMMYFUNCTION("""COMPUTED_VALUE"""),"🙂 Feliz")</f>
        <v>🙂 Feliz</v>
      </c>
      <c r="I264" s="6" t="str">
        <f>IFERROR(__xludf.DUMMYFUNCTION("""COMPUTED_VALUE"""),"El programa le parece útil, le gusta que exista ese espacio para que se pueda hablar de tecnologías.
Le parecen muy juntas las fechas, se ha encontrado con situaciones donde no tiene muchas novedades entre una y otra meet. 
Las preguntas del form le parec"&amp;"en muchas y a veces termina pareciendo una encuesta más que una 1a1. Le gustaría que fueran más generales las preguntas.
Las preguntas de la conformación del equipo equipo le parecen que están de más. Muchas veces no saben que contestar.
Le gustaría que e"&amp;"xistieran 1a1 cada vez que alguien cambia de proyecto. Como una especie de retro para saber la experiencia que tuvo.
Tiene el presentimiento de que esta iniciativa se va a solapar con los planes de carrera, en cuanto a temas o preguntas que se puedan toca"&amp;"r.
Se le explico el procedimiento de alertas, y a quien reportar ante detección de alguna urgencia.")</f>
        <v>El programa le parece útil, le gusta que exista ese espacio para que se pueda hablar de tecnologías.
Le parecen muy juntas las fechas, se ha encontrado con situaciones donde no tiene muchas novedades entre una y otra meet. 
Las preguntas del form le parecen muchas y a veces termina pareciendo una encuesta más que una 1a1. Le gustaría que fueran más generales las preguntas.
Las preguntas de la conformación del equipo equipo le parecen que están de más. Muchas veces no saben que contestar.
Le gustaría que existieran 1a1 cada vez que alguien cambia de proyecto. Como una especie de retro para saber la experiencia que tuvo.
Tiene el presentimiento de que esta iniciativa se va a solapar con los planes de carrera, en cuanto a temas o preguntas que se puedan tocar.
Se le explico el procedimiento de alertas, y a quien reportar ante detección de alguna urgencia.</v>
      </c>
      <c r="J264" s="4" t="str">
        <f>IFERROR(__xludf.DUMMYFUNCTION("""COMPUTED_VALUE"""),"PX|Referents|RRHH")</f>
        <v>PX|Referents|RRHH</v>
      </c>
    </row>
    <row r="265">
      <c r="A265" s="4">
        <f>IFERROR(__xludf.DUMMYFUNCTION("""COMPUTED_VALUE"""),248.0)</f>
        <v>248</v>
      </c>
      <c r="B265" s="4" t="str">
        <f>IFERROR(__xludf.DUMMYFUNCTION("""COMPUTED_VALUE"""),"geronimo.cornou")</f>
        <v>geronimo.cornou</v>
      </c>
      <c r="C265" s="5">
        <f>IFERROR(__xludf.DUMMYFUNCTION("""COMPUTED_VALUE"""),45077.451753437505)</f>
        <v>45077.45175</v>
      </c>
      <c r="D265" s="5">
        <f>IFERROR(__xludf.DUMMYFUNCTION("""COMPUTED_VALUE"""),45077.0)</f>
        <v>45077</v>
      </c>
      <c r="E265" s="4" t="str">
        <f>IFERROR(__xludf.DUMMYFUNCTION("""COMPUTED_VALUE"""),"luis.soto@patagoniansys.com")</f>
        <v>luis.soto@patagoniansys.com</v>
      </c>
      <c r="F265" s="4" t="str">
        <f>IFERROR(__xludf.DUMMYFUNCTION("""COMPUTED_VALUE"""),"geronimo.cornou@patagoniansys.com")</f>
        <v>geronimo.cornou@patagoniansys.com</v>
      </c>
      <c r="G265" s="4" t="str">
        <f>IFERROR(__xludf.DUMMYFUNCTION("""COMPUTED_VALUE"""),"Referent One on One")</f>
        <v>Referent One on One</v>
      </c>
      <c r="H265" s="4"/>
      <c r="I265" s="6" t="str">
        <f>IFERROR(__xludf.DUMMYFUNCTION("""COMPUTED_VALUE"""),"- Interviewee e-Mail: geronimo.cornou@patagoniansys.com
- Project Status Check: Sigue con las mismas tareas,
- Project Changes | Notes: ningun cambio
- Project Role | Feeling: 5
- Extra Work Hours | Amount: 0 (Ningúna)
- Extra Work Hours | Reason: ninguna"&amp;"
- Techs | Research: Le gustaria tener mas experiencia en automation 
- Techs | Certifications: la proxima semana hace la ISTQB
- Techs | Recomendations: De momento esta enfocado en ISTQB
- Techs | Recomendations check: Si las tomo, empezo a ver en linea "&amp;"sitios ""gratis"" para automatizar, pero no ha tenido tiempo por la certificacion de ISTQB de dedicarle mucho tiempo mas
- Collaborator | Seniority: 👍 No, es correcto
- Alerts: Niguna, esta motivado que ahorita va a dedicarle tambien parte de su dia en o"&amp;"tro proyecto (ZUKE?) y eso lo motiva
- Project Needs / Oportunities: De momento me indica que en el area de QA todo esta bien planificado al igual que en desarrollo, tambien me indica que el no tiene conocimiento de si hace falta o no algo en el proyecto "&amp;"9apartde del area de QA) porque esta muy envuelto en su area
- Final notes: Se encuentra bien, feliz, lo unico que siento que si lo motivaria mas es el hecho de al menos poder tener la oportunidad de dedicarle mas tiempo en proyectos ""reales"" a automati"&amp;"zar, talvez un buen inicio sea que se una a un curso tipo Udemy 
- Project Techs | Learning: 2
- Techs | Research: 0
- Project Techs | Difficulty: 5
- Project Changes | Reasons: 🟰 No hubo cambios
- Project Changes | Personal Impact: 5
- Project Role | Va"&amp;"lue: 4
- Project role | Notes: Siente que le agrega al equipo, pero no es un rol fundamental en el proyecto, principalmente por la naturaleza del proyecto y por el proyecto en si")</f>
        <v>- Interviewee e-Mail: geronimo.cornou@patagoniansys.com
- Project Status Check: Sigue con las mismas tareas,
- Project Changes | Notes: ningun cambio
- Project Role | Feeling: 5
- Extra Work Hours | Amount: 0 (Ningúna)
- Extra Work Hours | Reason: ninguna
- Techs | Research: Le gustaria tener mas experiencia en automation 
- Techs | Certifications: la proxima semana hace la ISTQB
- Techs | Recomendations: De momento esta enfocado en ISTQB
- Techs | Recomendations check: Si las tomo, empezo a ver en linea sitios "gratis" para automatizar, pero no ha tenido tiempo por la certificacion de ISTQB de dedicarle mucho tiempo mas
- Collaborator | Seniority: 👍 No, es correcto
- Alerts: Niguna, esta motivado que ahorita va a dedicarle tambien parte de su dia en otro proyecto (ZUKE?) y eso lo motiva
- Project Needs / Oportunities: De momento me indica que en el area de QA todo esta bien planificado al igual que en desarrollo, tambien me indica que el no tiene conocimiento de si hace falta o no algo en el proyecto 9apartde del area de QA) porque esta muy envuelto en su area
- Final notes: Se encuentra bien, feliz, lo unico que siento que si lo motivaria mas es el hecho de al menos poder tener la oportunidad de dedicarle mas tiempo en proyectos "reales" a automatizar, talvez un buen inicio sea que se una a un curso tipo Udemy 
- Project Techs | Learning: 2
- Techs | Research: 0
- Project Techs | Difficulty: 5
- Project Changes | Reasons: 🟰 No hubo cambios
- Project Changes | Personal Impact: 5
- Project Role | Value: 4
- Project role | Notes: Siente que le agrega al equipo, pero no es un rol fundamental en el proyecto, principalmente por la naturaleza del proyecto y por el proyecto en si</v>
      </c>
      <c r="J265" s="4" t="str">
        <f>IFERROR(__xludf.DUMMYFUNCTION("""COMPUTED_VALUE"""),"Tech Referent - OneOnOne")</f>
        <v>Tech Referent - OneOnOne</v>
      </c>
    </row>
    <row r="266" hidden="1">
      <c r="A266" s="4">
        <f>IFERROR(__xludf.DUMMYFUNCTION("""COMPUTED_VALUE"""),85.0)</f>
        <v>85</v>
      </c>
      <c r="B266" s="4" t="str">
        <f>IFERROR(__xludf.DUMMYFUNCTION("""COMPUTED_VALUE"""),"camila.maron")</f>
        <v>camila.maron</v>
      </c>
      <c r="C266" s="5">
        <f>IFERROR(__xludf.DUMMYFUNCTION("""COMPUTED_VALUE"""),45077.691190729165)</f>
        <v>45077.69119</v>
      </c>
      <c r="D266" s="5">
        <f>IFERROR(__xludf.DUMMYFUNCTION("""COMPUTED_VALUE"""),45077.0)</f>
        <v>45077</v>
      </c>
      <c r="E266" s="4" t="str">
        <f>IFERROR(__xludf.DUMMYFUNCTION("""COMPUTED_VALUE"""),"jesica.petrauskas@patagoniansys.com")</f>
        <v>jesica.petrauskas@patagoniansys.com</v>
      </c>
      <c r="F266" s="4" t="str">
        <f>IFERROR(__xludf.DUMMYFUNCTION("""COMPUTED_VALUE"""),"camila.maron@patagoniansys.com")</f>
        <v>camila.maron@patagoniansys.com</v>
      </c>
      <c r="G266" s="4" t="str">
        <f>IFERROR(__xludf.DUMMYFUNCTION("""COMPUTED_VALUE"""),"⏱ One on One")</f>
        <v>⏱ One on One</v>
      </c>
      <c r="H266" s="4" t="str">
        <f>IFERROR(__xludf.DUMMYFUNCTION("""COMPUTED_VALUE"""),"😐 Indiferente")</f>
        <v>😐 Indiferente</v>
      </c>
      <c r="I266" s="6" t="str">
        <f>IFERROR(__xludf.DUMMYFUNCTION("""COMPUTED_VALUE"""),"Tiene pendiente la certif de azure para lo que va a dedicarle tiempo. Le interesaría después hacer capacitación de front, UX/UI. Sigue sintiendo que no están claros los objetivos de las reuniones de TL.")</f>
        <v>Tiene pendiente la certif de azure para lo que va a dedicarle tiempo. Le interesaría después hacer capacitación de front, UX/UI. Sigue sintiendo que no están claros los objetivos de las reuniones de TL.</v>
      </c>
      <c r="J266" s="4" t="str">
        <f>IFERROR(__xludf.DUMMYFUNCTION("""COMPUTED_VALUE"""),"PX|Referents|RRHH")</f>
        <v>PX|Referents|RRHH</v>
      </c>
    </row>
    <row r="267" hidden="1">
      <c r="A267" s="4">
        <f>IFERROR(__xludf.DUMMYFUNCTION("""COMPUTED_VALUE"""),131.0)</f>
        <v>131</v>
      </c>
      <c r="B267" s="4" t="str">
        <f>IFERROR(__xludf.DUMMYFUNCTION("""COMPUTED_VALUE"""),"luis.luna")</f>
        <v>luis.luna</v>
      </c>
      <c r="C267" s="5">
        <f>IFERROR(__xludf.DUMMYFUNCTION("""COMPUTED_VALUE"""),45083.624350405094)</f>
        <v>45083.62435</v>
      </c>
      <c r="D267" s="5">
        <f>IFERROR(__xludf.DUMMYFUNCTION("""COMPUTED_VALUE"""),45078.0)</f>
        <v>45078</v>
      </c>
      <c r="E267" s="4" t="str">
        <f>IFERROR(__xludf.DUMMYFUNCTION("""COMPUTED_VALUE"""),"micaela.zorzetto@patagoniansys.com")</f>
        <v>micaela.zorzetto@patagoniansys.com</v>
      </c>
      <c r="F267" s="4" t="str">
        <f>IFERROR(__xludf.DUMMYFUNCTION("""COMPUTED_VALUE"""),"luis.luna@patagoniansys.com")</f>
        <v>luis.luna@patagoniansys.com</v>
      </c>
      <c r="G267" s="4" t="str">
        <f>IFERROR(__xludf.DUMMYFUNCTION("""COMPUTED_VALUE"""),"⏱ One on One")</f>
        <v>⏱ One on One</v>
      </c>
      <c r="H267" s="4" t="str">
        <f>IFERROR(__xludf.DUMMYFUNCTION("""COMPUTED_VALUE"""),"🙂 Feliz")</f>
        <v>🙂 Feliz</v>
      </c>
      <c r="I267" s="6" t="str">
        <f>IFERROR(__xludf.DUMMYFUNCTION("""COMPUTED_VALUE"""),"El lider técnico por parte del cliente le pidió que se pase a otro proyecto que se esta iniciando porque Luis tiene mucha experiencia en .Net, y es la tecnología que se va a utilizar. 
Estas últimas semanas estuvo bastante cargado de tareas, porque esta r"&amp;"ealizando la transición de un proyecto a otro.
Me comentó que el cliente lo tiene como SR en .Net")</f>
        <v>El lider técnico por parte del cliente le pidió que se pase a otro proyecto que se esta iniciando porque Luis tiene mucha experiencia en .Net, y es la tecnología que se va a utilizar. 
Estas últimas semanas estuvo bastante cargado de tareas, porque esta realizando la transición de un proyecto a otro.
Me comentó que el cliente lo tiene como SR en .Net</v>
      </c>
      <c r="J267" s="4" t="str">
        <f>IFERROR(__xludf.DUMMYFUNCTION("""COMPUTED_VALUE"""),"PX|Referents|RRHH")</f>
        <v>PX|Referents|RRHH</v>
      </c>
    </row>
    <row r="268" hidden="1">
      <c r="A268" s="4">
        <f>IFERROR(__xludf.DUMMYFUNCTION("""COMPUTED_VALUE"""),197.0)</f>
        <v>197</v>
      </c>
      <c r="B268" s="4" t="str">
        <f>IFERROR(__xludf.DUMMYFUNCTION("""COMPUTED_VALUE"""),"gianfranco.fois")</f>
        <v>gianfranco.fois</v>
      </c>
      <c r="C268" s="5">
        <f>IFERROR(__xludf.DUMMYFUNCTION("""COMPUTED_VALUE"""),45083.613090520834)</f>
        <v>45083.61309</v>
      </c>
      <c r="D268" s="5">
        <f>IFERROR(__xludf.DUMMYFUNCTION("""COMPUTED_VALUE"""),45079.0)</f>
        <v>45079</v>
      </c>
      <c r="E268" s="4" t="str">
        <f>IFERROR(__xludf.DUMMYFUNCTION("""COMPUTED_VALUE"""),"micaela.zorzetto@patagoniansys.com")</f>
        <v>micaela.zorzetto@patagoniansys.com</v>
      </c>
      <c r="F268" s="4" t="str">
        <f>IFERROR(__xludf.DUMMYFUNCTION("""COMPUTED_VALUE"""),"gianfranco.fois@patagoniansys.com")</f>
        <v>gianfranco.fois@patagoniansys.com</v>
      </c>
      <c r="G268" s="4" t="str">
        <f>IFERROR(__xludf.DUMMYFUNCTION("""COMPUTED_VALUE"""),"⏱ One on One")</f>
        <v>⏱ One on One</v>
      </c>
      <c r="H268" s="4" t="str">
        <f>IFERROR(__xludf.DUMMYFUNCTION("""COMPUTED_VALUE"""),"😐 Indiferente")</f>
        <v>😐 Indiferente</v>
      </c>
      <c r="I268" s="6" t="str">
        <f>IFERROR(__xludf.DUMMYFUNCTION("""COMPUTED_VALUE"""),"Gianfranco me comentó que esta un poco nervioso porque en unas semanas ingresa a Bench, ya que no sabe cuanto tiempo va a estar ahi. 
Ya termina el proyecto en el que esta trabajando con Santi Cendra y una vez que finaliza, ingresa por unos dias a un proy"&amp;"ecto interno de Patagonian. ")</f>
        <v>Gianfranco me comentó que esta un poco nervioso porque en unas semanas ingresa a Bench, ya que no sabe cuanto tiempo va a estar ahi. 
Ya termina el proyecto en el que esta trabajando con Santi Cendra y una vez que finaliza, ingresa por unos dias a un proyecto interno de Patagonian. </v>
      </c>
      <c r="J268" s="4" t="str">
        <f>IFERROR(__xludf.DUMMYFUNCTION("""COMPUTED_VALUE"""),"PX|Referents|RRHH")</f>
        <v>PX|Referents|RRHH</v>
      </c>
    </row>
    <row r="269" hidden="1">
      <c r="A269" s="4">
        <f>IFERROR(__xludf.DUMMYFUNCTION("""COMPUTED_VALUE"""),167.0)</f>
        <v>167</v>
      </c>
      <c r="B269" s="4" t="str">
        <f>IFERROR(__xludf.DUMMYFUNCTION("""COMPUTED_VALUE"""),"rodrigo.cibils")</f>
        <v>rodrigo.cibils</v>
      </c>
      <c r="C269" s="5">
        <f>IFERROR(__xludf.DUMMYFUNCTION("""COMPUTED_VALUE"""),45089.73890538195)</f>
        <v>45089.73891</v>
      </c>
      <c r="D269" s="5">
        <f>IFERROR(__xludf.DUMMYFUNCTION("""COMPUTED_VALUE"""),45082.0)</f>
        <v>45082</v>
      </c>
      <c r="E269" s="4" t="str">
        <f>IFERROR(__xludf.DUMMYFUNCTION("""COMPUTED_VALUE"""),"micaela.zorzetto@patagoniansys.com")</f>
        <v>micaela.zorzetto@patagoniansys.com</v>
      </c>
      <c r="F269" s="4" t="str">
        <f>IFERROR(__xludf.DUMMYFUNCTION("""COMPUTED_VALUE"""),"rodrigo.cibils@patagoniansys.com")</f>
        <v>rodrigo.cibils@patagoniansys.com</v>
      </c>
      <c r="G269" s="4" t="str">
        <f>IFERROR(__xludf.DUMMYFUNCTION("""COMPUTED_VALUE"""),"⏱ One on One")</f>
        <v>⏱ One on One</v>
      </c>
      <c r="H269" s="4" t="str">
        <f>IFERROR(__xludf.DUMMYFUNCTION("""COMPUTED_VALUE"""),"🙂 Feliz")</f>
        <v>🙂 Feliz</v>
      </c>
      <c r="I269" s="6" t="str">
        <f>IFERROR(__xludf.DUMMYFUNCTION("""COMPUTED_VALUE"""),"Esta bien, muy contento de como la empresa lo esta acompañando en el proceso de su viaje.
")</f>
        <v>Esta bien, muy contento de como la empresa lo esta acompañando en el proceso de su viaje.
</v>
      </c>
      <c r="J269" s="4" t="str">
        <f>IFERROR(__xludf.DUMMYFUNCTION("""COMPUTED_VALUE"""),"PX|Referents|RRHH")</f>
        <v>PX|Referents|RRHH</v>
      </c>
    </row>
    <row r="270">
      <c r="A270" s="4">
        <f>IFERROR(__xludf.DUMMYFUNCTION("""COMPUTED_VALUE"""),280.0)</f>
        <v>280</v>
      </c>
      <c r="B270" s="4" t="str">
        <f>IFERROR(__xludf.DUMMYFUNCTION("""COMPUTED_VALUE"""),"jose.flores")</f>
        <v>jose.flores</v>
      </c>
      <c r="C270" s="5">
        <f>IFERROR(__xludf.DUMMYFUNCTION("""COMPUTED_VALUE"""),45083.49678181712)</f>
        <v>45083.49678</v>
      </c>
      <c r="D270" s="5">
        <f>IFERROR(__xludf.DUMMYFUNCTION("""COMPUTED_VALUE"""),45083.0)</f>
        <v>45083</v>
      </c>
      <c r="E270" s="4" t="str">
        <f>IFERROR(__xludf.DUMMYFUNCTION("""COMPUTED_VALUE"""),"luciano.fuentes@patagoniansys.com")</f>
        <v>luciano.fuentes@patagoniansys.com</v>
      </c>
      <c r="F270" s="4" t="str">
        <f>IFERROR(__xludf.DUMMYFUNCTION("""COMPUTED_VALUE"""),"jose.flores@patagonian.com")</f>
        <v>jose.flores@patagonian.com</v>
      </c>
      <c r="G270" s="4" t="str">
        <f>IFERROR(__xludf.DUMMYFUNCTION("""COMPUTED_VALUE"""),"Referent One on One")</f>
        <v>Referent One on One</v>
      </c>
      <c r="H270" s="4"/>
      <c r="I270" s="6" t="str">
        <f>IFERROR(__xludf.DUMMYFUNCTION("""COMPUTED_VALUE"""),"- Interviewee e-Mail: jose.flores@patagonian.com
- Project Status Check: Avance en el backend y otras maneras de manejar migraciones de base de datos. 
- Project Changes | Notes: Se fueron dos personas del proyecto. Un desarrollador y una persona encargad"&amp;"a del ux ui. Para la parte de desarrollador contento porque se encarga de lo que el dejo y esta aprendiendo un monton de cosas. 
Con respecto a la persona de ux ui negativamente porque no tienen prototipos (esta semana se incorpora valita asi que buenisim"&amp;"o)
- Project Role | Feeling: 5
- Extra Work Hours | Amount: 0 (Ningúna)
- Techs | Research: Empezo a ver tutoriales de Angular 16 y IONIC, capacitor. Spring boot
- Techs | Recomendations: https://t.co/nYfKvjU2WC
- Techs | Recomendations check: Si. le pare"&amp;"ció bastante interesante
- Collaborator | Seniority: 👍 No, es correcto
- Alerts: Esta muy contento con el proyecto y el equipo.
- Project Techs | Learning: 1
- Techs | Research: 1
- Project Techs | Difficulty: 3
- Project Changes | Reasons: ⬇️ Reducción "&amp;"del equipo, ⬆️ Aumento del equipo
- Project Changes | Personal Impact: 4
- Project Role | Value: 5
- Project role | Notes: Es mas desafiante y mas dinámicas tareas.")</f>
        <v>- Interviewee e-Mail: jose.flores@patagonian.com
- Project Status Check: Avance en el backend y otras maneras de manejar migraciones de base de datos. 
- Project Changes | Notes: Se fueron dos personas del proyecto. Un desarrollador y una persona encargada del ux ui. Para la parte de desarrollador contento porque se encarga de lo que el dejo y esta aprendiendo un monton de cosas. 
Con respecto a la persona de ux ui negativamente porque no tienen prototipos (esta semana se incorpora valita asi que buenisimo)
- Project Role | Feeling: 5
- Extra Work Hours | Amount: 0 (Ningúna)
- Techs | Research: Empezo a ver tutoriales de Angular 16 y IONIC, capacitor. Spring boot
- Techs | Recomendations: https://t.co/nYfKvjU2WC
- Techs | Recomendations check: Si. le pareció bastante interesante
- Collaborator | Seniority: 👍 No, es correcto
- Alerts: Esta muy contento con el proyecto y el equipo.
- Project Techs | Learning: 1
- Techs | Research: 1
- Project Techs | Difficulty: 3
- Project Changes | Reasons: ⬇️ Reducción del equipo, ⬆️ Aumento del equipo
- Project Changes | Personal Impact: 4
- Project Role | Value: 5
- Project role | Notes: Es mas desafiante y mas dinámicas tareas.</v>
      </c>
      <c r="J270" s="4" t="str">
        <f>IFERROR(__xludf.DUMMYFUNCTION("""COMPUTED_VALUE"""),"Tech Referent - OneOnOne")</f>
        <v>Tech Referent - OneOnOne</v>
      </c>
    </row>
    <row r="271">
      <c r="A271" s="4">
        <f>IFERROR(__xludf.DUMMYFUNCTION("""COMPUTED_VALUE"""),73.0)</f>
        <v>73</v>
      </c>
      <c r="B271" s="4" t="str">
        <f>IFERROR(__xludf.DUMMYFUNCTION("""COMPUTED_VALUE"""),"andres.attwell")</f>
        <v>andres.attwell</v>
      </c>
      <c r="C271" s="5">
        <f>IFERROR(__xludf.DUMMYFUNCTION("""COMPUTED_VALUE"""),45083.63037612269)</f>
        <v>45083.63038</v>
      </c>
      <c r="D271" s="5">
        <f>IFERROR(__xludf.DUMMYFUNCTION("""COMPUTED_VALUE"""),45083.0)</f>
        <v>45083</v>
      </c>
      <c r="E271" s="4" t="str">
        <f>IFERROR(__xludf.DUMMYFUNCTION("""COMPUTED_VALUE"""),"andres.bolocco@patagoniansys.com")</f>
        <v>andres.bolocco@patagoniansys.com</v>
      </c>
      <c r="F271" s="4" t="str">
        <f>IFERROR(__xludf.DUMMYFUNCTION("""COMPUTED_VALUE"""),"andres.attwell@patagonian.com")</f>
        <v>andres.attwell@patagonian.com</v>
      </c>
      <c r="G271" s="4" t="str">
        <f>IFERROR(__xludf.DUMMYFUNCTION("""COMPUTED_VALUE"""),"Referent One on One")</f>
        <v>Referent One on One</v>
      </c>
      <c r="H271" s="4"/>
      <c r="I271" s="6" t="str">
        <f>IFERROR(__xludf.DUMMYFUNCTION("""COMPUTED_VALUE"""),"- Interviewee e-Mail: andres.attwell@patagonian.com
- Project Status Check: integración con un sistema que otra empresa le esta desarrollando al BID, recibiendo quejas con las entregas, falta de QA y tiempos de entrega por parte de esta nueva empresa
- Pr"&amp;"oject Role | Feeling: 4
- Extra Work Hours | Amount: 1 - 5 (Entre 1 y 5)
- Extra Work Hours | Reason: 🙋Decisión propia, mostrandole la app a la nueva chica de QA (salida de NEST)
- Techs | Research: unrelated, trabajando con cámaras IP con RTSP, proyecto"&amp;" personal para crear un administrador de las cámaras
- Collaborator | Seniority: 👍 No, es correcto
- Alerts: un poco de desgaste / burnout por fricciones relacionadas a una integración con una empresa externa al cliente y a patagonian
- Final notes: pien"&amp;"sa pedir unos días de vacaciones próximamente
- Project Techs | Learning: 3
- Techs | Research: 0
- Project Techs | Difficulty: 4
- Project Role | Value: 5
- Project role | Notes: le dejo un poco nervioso el interactuar con la empresa externa que metió ru"&amp;"ido")</f>
        <v>- Interviewee e-Mail: andres.attwell@patagonian.com
- Project Status Check: integración con un sistema que otra empresa le esta desarrollando al BID, recibiendo quejas con las entregas, falta de QA y tiempos de entrega por parte de esta nueva empresa
- Project Role | Feeling: 4
- Extra Work Hours | Amount: 1 - 5 (Entre 1 y 5)
- Extra Work Hours | Reason: 🙋Decisión propia, mostrandole la app a la nueva chica de QA (salida de NEST)
- Techs | Research: unrelated, trabajando con cámaras IP con RTSP, proyecto personal para crear un administrador de las cámaras
- Collaborator | Seniority: 👍 No, es correcto
- Alerts: un poco de desgaste / burnout por fricciones relacionadas a una integración con una empresa externa al cliente y a patagonian
- Final notes: piensa pedir unos días de vacaciones próximamente
- Project Techs | Learning: 3
- Techs | Research: 0
- Project Techs | Difficulty: 4
- Project Role | Value: 5
- Project role | Notes: le dejo un poco nervioso el interactuar con la empresa externa que metió ruido</v>
      </c>
      <c r="J271" s="4" t="str">
        <f>IFERROR(__xludf.DUMMYFUNCTION("""COMPUTED_VALUE"""),"Tech Referent - OneOnOne")</f>
        <v>Tech Referent - OneOnOne</v>
      </c>
    </row>
    <row r="272" hidden="1">
      <c r="A272" s="4">
        <f>IFERROR(__xludf.DUMMYFUNCTION("""COMPUTED_VALUE"""),22.0)</f>
        <v>22</v>
      </c>
      <c r="B272" s="4" t="str">
        <f>IFERROR(__xludf.DUMMYFUNCTION("""COMPUTED_VALUE"""),"jmartinez")</f>
        <v>jmartinez</v>
      </c>
      <c r="C272" s="5">
        <f>IFERROR(__xludf.DUMMYFUNCTION("""COMPUTED_VALUE"""),45084.501020960655)</f>
        <v>45084.50102</v>
      </c>
      <c r="D272" s="5">
        <f>IFERROR(__xludf.DUMMYFUNCTION("""COMPUTED_VALUE"""),45083.0)</f>
        <v>45083</v>
      </c>
      <c r="E272" s="4" t="str">
        <f>IFERROR(__xludf.DUMMYFUNCTION("""COMPUTED_VALUE"""),"tomas.bayley@patagoniansys.com")</f>
        <v>tomas.bayley@patagoniansys.com</v>
      </c>
      <c r="F272" s="4" t="str">
        <f>IFERROR(__xludf.DUMMYFUNCTION("""COMPUTED_VALUE"""),"jmartinez@patagoniansys.com")</f>
        <v>jmartinez@patagoniansys.com</v>
      </c>
      <c r="G272" s="4" t="str">
        <f>IFERROR(__xludf.DUMMYFUNCTION("""COMPUTED_VALUE"""),"⏱ One on One")</f>
        <v>⏱ One on One</v>
      </c>
      <c r="H272" s="4" t="str">
        <f>IFERROR(__xludf.DUMMYFUNCTION("""COMPUTED_VALUE"""),"🙂 Feliz")</f>
        <v>🙂 Feliz</v>
      </c>
      <c r="I272" s="6" t="str">
        <f>IFERROR(__xludf.DUMMYFUNCTION("""COMPUTED_VALUE"""),"Se muestra muy conforme con patagonian ")</f>
        <v>Se muestra muy conforme con patagonian </v>
      </c>
      <c r="J272" s="4" t="str">
        <f>IFERROR(__xludf.DUMMYFUNCTION("""COMPUTED_VALUE"""),"PX|Referents|RRHH")</f>
        <v>PX|Referents|RRHH</v>
      </c>
    </row>
    <row r="273" hidden="1">
      <c r="A273" s="4">
        <f>IFERROR(__xludf.DUMMYFUNCTION("""COMPUTED_VALUE"""),243.0)</f>
        <v>243</v>
      </c>
      <c r="B273" s="4" t="str">
        <f>IFERROR(__xludf.DUMMYFUNCTION("""COMPUTED_VALUE"""),"fernando.estevez")</f>
        <v>fernando.estevez</v>
      </c>
      <c r="C273" s="5">
        <f>IFERROR(__xludf.DUMMYFUNCTION("""COMPUTED_VALUE"""),45084.6401109375)</f>
        <v>45084.64011</v>
      </c>
      <c r="D273" s="5">
        <f>IFERROR(__xludf.DUMMYFUNCTION("""COMPUTED_VALUE"""),45083.0)</f>
        <v>45083</v>
      </c>
      <c r="E273" s="4" t="str">
        <f>IFERROR(__xludf.DUMMYFUNCTION("""COMPUTED_VALUE"""),"micaela.zorzetto@patagoniansys.com")</f>
        <v>micaela.zorzetto@patagoniansys.com</v>
      </c>
      <c r="F273" s="4" t="str">
        <f>IFERROR(__xludf.DUMMYFUNCTION("""COMPUTED_VALUE"""),"fernando.estevez@patagoniansys.com")</f>
        <v>fernando.estevez@patagoniansys.com</v>
      </c>
      <c r="G273" s="4" t="str">
        <f>IFERROR(__xludf.DUMMYFUNCTION("""COMPUTED_VALUE"""),"⏱ One on One")</f>
        <v>⏱ One on One</v>
      </c>
      <c r="H273" s="4" t="str">
        <f>IFERROR(__xludf.DUMMYFUNCTION("""COMPUTED_VALUE"""),"🙂 Feliz")</f>
        <v>🙂 Feliz</v>
      </c>
      <c r="I273" s="6" t="str">
        <f>IFERROR(__xludf.DUMMYFUNCTION("""COMPUTED_VALUE"""),"
Esta en proceso de cambio de proyecto, pasa de SnapClose a Ready Build. 
En Snap me comentó que estaba él solo en el pryecto, el cliente tenia mala organización, no le llegaban las tareas que el debia hacer, no tenía asignado un TL, por lo cual muchas ve"&amp;"ces se le dificultaba para avanzar. No tuvo una buena experiencia, pero le sirvió para aprender y utilizar el inglés. 
En el proyecto nuevo inicia el 12/06, esta contento porque va a tener un TL del lado de Patagonian que es Jorge Contreras, ya tuvo el on"&amp;"boarding con el cliente, donde le contaron sobre la empresa y mas acerca del proyecto, lo toma como un desafío ya que en este proyecto tiene que usar PHP, y es con una tecnología que nunca trabajó. ")</f>
        <v>
Esta en proceso de cambio de proyecto, pasa de SnapClose a Ready Build. 
En Snap me comentó que estaba él solo en el pryecto, el cliente tenia mala organización, no le llegaban las tareas que el debia hacer, no tenía asignado un TL, por lo cual muchas veces se le dificultaba para avanzar. No tuvo una buena experiencia, pero le sirvió para aprender y utilizar el inglés. 
En el proyecto nuevo inicia el 12/06, esta contento porque va a tener un TL del lado de Patagonian que es Jorge Contreras, ya tuvo el onboarding con el cliente, donde le contaron sobre la empresa y mas acerca del proyecto, lo toma como un desafío ya que en este proyecto tiene que usar PHP, y es con una tecnología que nunca trabajó. </v>
      </c>
      <c r="J273" s="4" t="str">
        <f>IFERROR(__xludf.DUMMYFUNCTION("""COMPUTED_VALUE"""),"PX|Referents|RRHH")</f>
        <v>PX|Referents|RRHH</v>
      </c>
    </row>
    <row r="274" hidden="1">
      <c r="A274" s="4">
        <f>IFERROR(__xludf.DUMMYFUNCTION("""COMPUTED_VALUE"""),174.0)</f>
        <v>174</v>
      </c>
      <c r="B274" s="4" t="str">
        <f>IFERROR(__xludf.DUMMYFUNCTION("""COMPUTED_VALUE"""),"federico.matos")</f>
        <v>federico.matos</v>
      </c>
      <c r="C274" s="5">
        <f>IFERROR(__xludf.DUMMYFUNCTION("""COMPUTED_VALUE"""),45084.71960256944)</f>
        <v>45084.7196</v>
      </c>
      <c r="D274" s="5">
        <f>IFERROR(__xludf.DUMMYFUNCTION("""COMPUTED_VALUE"""),45084.0)</f>
        <v>45084</v>
      </c>
      <c r="E274" s="4" t="str">
        <f>IFERROR(__xludf.DUMMYFUNCTION("""COMPUTED_VALUE"""),"micaela.zorzetto@patagoniansys.com")</f>
        <v>micaela.zorzetto@patagoniansys.com</v>
      </c>
      <c r="F274" s="4" t="str">
        <f>IFERROR(__xludf.DUMMYFUNCTION("""COMPUTED_VALUE"""),"federico.matos@patagoniansys.com")</f>
        <v>federico.matos@patagoniansys.com</v>
      </c>
      <c r="G274" s="4" t="str">
        <f>IFERROR(__xludf.DUMMYFUNCTION("""COMPUTED_VALUE"""),"⏱ One on One")</f>
        <v>⏱ One on One</v>
      </c>
      <c r="H274" s="4" t="str">
        <f>IFERROR(__xludf.DUMMYFUNCTION("""COMPUTED_VALUE"""),"🙂 Feliz")</f>
        <v>🙂 Feliz</v>
      </c>
      <c r="I274" s="6" t="str">
        <f>IFERROR(__xludf.DUMMYFUNCTION("""COMPUTED_VALUE"""),"Se agendará una call con él para hablar el tema de la recategorización junto que con su PM.
Solo charlamos algunos puntos adminsitrativos que tenia dudas. ")</f>
        <v>Se agendará una call con él para hablar el tema de la recategorización junto que con su PM.
Solo charlamos algunos puntos adminsitrativos que tenia dudas. </v>
      </c>
      <c r="J274" s="4" t="str">
        <f>IFERROR(__xludf.DUMMYFUNCTION("""COMPUTED_VALUE"""),"PX|Referents|RRHH")</f>
        <v>PX|Referents|RRHH</v>
      </c>
    </row>
    <row r="275">
      <c r="A275" s="4">
        <f>IFERROR(__xludf.DUMMYFUNCTION("""COMPUTED_VALUE"""),201.0)</f>
        <v>201</v>
      </c>
      <c r="B275" s="4" t="str">
        <f>IFERROR(__xludf.DUMMYFUNCTION("""COMPUTED_VALUE"""),"daniel.cardenas")</f>
        <v>daniel.cardenas</v>
      </c>
      <c r="C275" s="5">
        <f>IFERROR(__xludf.DUMMYFUNCTION("""COMPUTED_VALUE"""),45084.7895274537)</f>
        <v>45084.78953</v>
      </c>
      <c r="D275" s="5">
        <f>IFERROR(__xludf.DUMMYFUNCTION("""COMPUTED_VALUE"""),45084.0)</f>
        <v>45084</v>
      </c>
      <c r="E275" s="4" t="str">
        <f>IFERROR(__xludf.DUMMYFUNCTION("""COMPUTED_VALUE"""),"edgar.bonilla@patagoniansys.com")</f>
        <v>edgar.bonilla@patagoniansys.com</v>
      </c>
      <c r="F275" s="4" t="str">
        <f>IFERROR(__xludf.DUMMYFUNCTION("""COMPUTED_VALUE"""),"daniel.cardenas@patagoniansys.com")</f>
        <v>daniel.cardenas@patagoniansys.com</v>
      </c>
      <c r="G275" s="4" t="str">
        <f>IFERROR(__xludf.DUMMYFUNCTION("""COMPUTED_VALUE"""),"Referent One on One")</f>
        <v>Referent One on One</v>
      </c>
      <c r="H275" s="4"/>
      <c r="I275" s="6" t="str">
        <f>IFERROR(__xludf.DUMMYFUNCTION("""COMPUTED_VALUE"""),"- Interviewee e-Mail: daniel.cardenas@patagoniansys.com
- Project Status Check: Ya no le parece tan complicado Angular, está en la parte de Checkout y siente que poco a poco le va agarrando mejor el ritmo y la lógica. Lo bueno es que comenta que el equipo"&amp;" le tiene mucha paciencia y están bien con el ritmo de trabajo. También, poco a poco le van soltando más tareas y más complejas.
- Project Changes | Notes: Lo principal es que sigue enfocado muy en el front-end con Angular y al parecer así va a ser del to"&amp;"do, ya que la app mobile la van apagar luego y él será también el encargado de eso. Si bien comenta que el equipo le tiene mucha paciencia y están bien con el ritmo de trabajo, teniendo en cuenta que Angular es una tecnología nueva para él.
- Project Role"&amp;" | Feeling: 3
- Extra Work Hours | Amount: 0 (Ningúna)
- Techs | Research: Angular en este momento, pero le gustaría igual preferiblemente hacer React en el front-end, si no se puede continuar con React Native en mobile.
- Techs | Recomendations check: Si"&amp;"
- Collaborator | Seniority: 👍 No, es correcto
- Alerts: A pesar de que, debido a los cambios en el proyecto está trabajando en una tecnología nueva para él y que sus funciones actuales no concuerdan mucho con sus ideales, muestra buena actitud a seguir "&amp;"por ese camino mientras sea necesario, para satisfacer las necesidades del cliente y también de Patagonian. Se siente muy bien en esta empresa y no le molesta hacer temporalmente un trabajo que no sea el ideal para él. Diría que tanto del lado hacia el cl"&amp;"iente y del lado hacia Patagonian hay un gran sentido de pertenencia.
- Project Needs / Oportunities: Quizás desarrolladores expertos en Angular para el momento en que se le encuentre un nuevo proyecto a Daniel.
- Project Techs | Learning: 8
- Techs | Res"&amp;"earch: 8
- Project Techs | Difficulty: 3
- Project Changes | Reasons: 🏁 Cambios en los objetivos, 💻 Cambios en la manera de desarrollar
- Project Changes | Personal Impact: 3
- Project Role | Value: 3
- Project role | Notes: Angular es una tecnología nu"&amp;"eva para él que le tocó aprender para las necesidades del proyecto. Dentro del cliente él estaba enfocado en mobile con React Native y esto fue un cambio considerable para él. Siente que ahora está ""resolviendo"" las necesidades en la medida que le es po"&amp;"sible, pero claramente su rol en el proyecto ya no es principal.")</f>
        <v>- Interviewee e-Mail: daniel.cardenas@patagoniansys.com
- Project Status Check: Ya no le parece tan complicado Angular, está en la parte de Checkout y siente que poco a poco le va agarrando mejor el ritmo y la lógica. Lo bueno es que comenta que el equipo le tiene mucha paciencia y están bien con el ritmo de trabajo. También, poco a poco le van soltando más tareas y más complejas.
- Project Changes | Notes: Lo principal es que sigue enfocado muy en el front-end con Angular y al parecer así va a ser del todo, ya que la app mobile la van apagar luego y él será también el encargado de eso. Si bien comenta que el equipo le tiene mucha paciencia y están bien con el ritmo de trabajo, teniendo en cuenta que Angular es una tecnología nueva para él.
- Project Role | Feeling: 3
- Extra Work Hours | Amount: 0 (Ningúna)
- Techs | Research: Angular en este momento, pero le gustaría igual preferiblemente hacer React en el front-end, si no se puede continuar con React Native en mobile.
- Techs | Recomendations check: Si
- Collaborator | Seniority: 👍 No, es correcto
- Alerts: A pesar de que, debido a los cambios en el proyecto está trabajando en una tecnología nueva para él y que sus funciones actuales no concuerdan mucho con sus ideales, muestra buena actitud a seguir por ese camino mientras sea necesario, para satisfacer las necesidades del cliente y también de Patagonian. Se siente muy bien en esta empresa y no le molesta hacer temporalmente un trabajo que no sea el ideal para él. Diría que tanto del lado hacia el cliente y del lado hacia Patagonian hay un gran sentido de pertenencia.
- Project Needs / Oportunities: Quizás desarrolladores expertos en Angular para el momento en que se le encuentre un nuevo proyecto a Daniel.
- Project Techs | Learning: 8
- Techs | Research: 8
- Project Techs | Difficulty: 3
- Project Changes | Reasons: 🏁 Cambios en los objetivos, 💻 Cambios en la manera de desarrollar
- Project Changes | Personal Impact: 3
- Project Role | Value: 3
- Project role | Notes: Angular es una tecnología nueva para él que le tocó aprender para las necesidades del proyecto. Dentro del cliente él estaba enfocado en mobile con React Native y esto fue un cambio considerable para él. Siente que ahora está "resolviendo" las necesidades en la medida que le es posible, pero claramente su rol en el proyecto ya no es principal.</v>
      </c>
      <c r="J275" s="4" t="str">
        <f>IFERROR(__xludf.DUMMYFUNCTION("""COMPUTED_VALUE"""),"Tech Referent - OneOnOne")</f>
        <v>Tech Referent - OneOnOne</v>
      </c>
    </row>
    <row r="276">
      <c r="A276" s="4">
        <f>IFERROR(__xludf.DUMMYFUNCTION("""COMPUTED_VALUE"""),149.0)</f>
        <v>149</v>
      </c>
      <c r="B276" s="4" t="str">
        <f>IFERROR(__xludf.DUMMYFUNCTION("""COMPUTED_VALUE"""),"jonatan.ordonez")</f>
        <v>jonatan.ordonez</v>
      </c>
      <c r="C276" s="5">
        <f>IFERROR(__xludf.DUMMYFUNCTION("""COMPUTED_VALUE"""),45085.706734282416)</f>
        <v>45085.70673</v>
      </c>
      <c r="D276" s="5">
        <f>IFERROR(__xludf.DUMMYFUNCTION("""COMPUTED_VALUE"""),45085.0)</f>
        <v>45085</v>
      </c>
      <c r="E276" s="4" t="str">
        <f>IFERROR(__xludf.DUMMYFUNCTION("""COMPUTED_VALUE"""),"gonzalo.garro@patagoniansys.com")</f>
        <v>gonzalo.garro@patagoniansys.com</v>
      </c>
      <c r="F276" s="4" t="str">
        <f>IFERROR(__xludf.DUMMYFUNCTION("""COMPUTED_VALUE"""),"jonatan.ordonez@patagoniansys.com")</f>
        <v>jonatan.ordonez@patagoniansys.com</v>
      </c>
      <c r="G276" s="4" t="str">
        <f>IFERROR(__xludf.DUMMYFUNCTION("""COMPUTED_VALUE"""),"Referent One on One")</f>
        <v>Referent One on One</v>
      </c>
      <c r="H276" s="4"/>
      <c r="I276" s="6" t="str">
        <f>IFERROR(__xludf.DUMMYFUNCTION("""COMPUTED_VALUE"""),"- Interviewee e-Mail: jonatan.ordonez@patagoniansys.com
- Project Status Check: Encontraron un bug, donde un usuario explotó una falla de seguridad y les ""robo"" 7000 dólares. El usuario devolvió el dinero y el bug fue solucionado. Tuvieron una reunion c"&amp;"on gente de mongo Atlas que les dio buenos tips.
- Project Changes | Notes: Esta super contento con chatGPT y copilot. Lo ayuda mucho en el día a día.
- Project Role | Feeling: 4
- Extra Work Hours | Amount: 1 - 5 (Entre 1 y 5)
- Extra Work Hours | Reason"&amp;": 🦫 Problemas técnicos inesperados
- Techs | Recomendations check: Sigue con el curso de AWS. Esta al 80%. Veremos si para la próxima avanza. Comento que esta estancado con el curso. Pero ha aprendido algunos servicios nuevos como Cognito
- Collaborator "&amp;"| Seniority: 👍 No, es correcto
- Project Techs | Learning: 0
- Project Techs | Difficulty: 4
- Project Changes | Reasons: 💻 Cambios en la manera de desarrollar, Github copilot
- Project Changes | Personal Impact: 4
- Project Role | Value: 4
- Project ro"&amp;"le | Notes: Le han puesto tareas interesantes. Modelar desde la DB un sistema para gestionar horarios de los usuarios, como una especie de calendario. implemento AWS cognito. Esta contento con las nuevas tareas")</f>
        <v>- Interviewee e-Mail: jonatan.ordonez@patagoniansys.com
- Project Status Check: Encontraron un bug, donde un usuario explotó una falla de seguridad y les "robo" 7000 dólares. El usuario devolvió el dinero y el bug fue solucionado. Tuvieron una reunion con gente de mongo Atlas que les dio buenos tips.
- Project Changes | Notes: Esta super contento con chatGPT y copilot. Lo ayuda mucho en el día a día.
- Project Role | Feeling: 4
- Extra Work Hours | Amount: 1 - 5 (Entre 1 y 5)
- Extra Work Hours | Reason: 🦫 Problemas técnicos inesperados
- Techs | Recomendations check: Sigue con el curso de AWS. Esta al 80%. Veremos si para la próxima avanza. Comento que esta estancado con el curso. Pero ha aprendido algunos servicios nuevos como Cognito
- Collaborator | Seniority: 👍 No, es correcto
- Project Techs | Learning: 0
- Project Techs | Difficulty: 4
- Project Changes | Reasons: 💻 Cambios en la manera de desarrollar, Github copilot
- Project Changes | Personal Impact: 4
- Project Role | Value: 4
- Project role | Notes: Le han puesto tareas interesantes. Modelar desde la DB un sistema para gestionar horarios de los usuarios, como una especie de calendario. implemento AWS cognito. Esta contento con las nuevas tareas</v>
      </c>
      <c r="J276" s="4" t="str">
        <f>IFERROR(__xludf.DUMMYFUNCTION("""COMPUTED_VALUE"""),"Tech Referent - OneOnOne")</f>
        <v>Tech Referent - OneOnOne</v>
      </c>
    </row>
    <row r="277">
      <c r="A277" s="4">
        <f>IFERROR(__xludf.DUMMYFUNCTION("""COMPUTED_VALUE"""),204.0)</f>
        <v>204</v>
      </c>
      <c r="B277" s="4" t="str">
        <f>IFERROR(__xludf.DUMMYFUNCTION("""COMPUTED_VALUE"""),"luisa.fernandez")</f>
        <v>luisa.fernandez</v>
      </c>
      <c r="C277" s="5">
        <f>IFERROR(__xludf.DUMMYFUNCTION("""COMPUTED_VALUE"""),45086.47318704861)</f>
        <v>45086.47319</v>
      </c>
      <c r="D277" s="5">
        <f>IFERROR(__xludf.DUMMYFUNCTION("""COMPUTED_VALUE"""),45086.0)</f>
        <v>45086</v>
      </c>
      <c r="E277" s="4" t="str">
        <f>IFERROR(__xludf.DUMMYFUNCTION("""COMPUTED_VALUE"""),"martin.infante@patagoniansys.com")</f>
        <v>martin.infante@patagoniansys.com</v>
      </c>
      <c r="F277" s="4" t="str">
        <f>IFERROR(__xludf.DUMMYFUNCTION("""COMPUTED_VALUE"""),"luisa.fernandez@patagoniansys.com")</f>
        <v>luisa.fernandez@patagoniansys.com</v>
      </c>
      <c r="G277" s="4" t="str">
        <f>IFERROR(__xludf.DUMMYFUNCTION("""COMPUTED_VALUE"""),"Referent One on One")</f>
        <v>Referent One on One</v>
      </c>
      <c r="H277" s="4"/>
      <c r="I277" s="6" t="str">
        <f>IFERROR(__xludf.DUMMYFUNCTION("""COMPUTED_VALUE"""),"- Interviewee e-Mail: luisa.fernandez@patagoniansys.com
- Project Status Check: La asignaron a un proyecto interno para un proyecto de marketing.
- Project Changes | Notes: Proyecto nuevo. Analisis de datos utilizando las APIs de distintas redes sociales."&amp;"
Extrana un poco la dinamica de estar en un equipo tecnico.
- Project Role | Feeling: 4
- Extra Work Hours | Amount: 0 (Ningúna)
- Techs | Research: No
- Techs | Recomendations: Mirar como funciona Athena para conectar los datos que va a almacenar en S3 c"&amp;"on Looker.
- Techs | Recomendations check: No
- Collaborator | Seniority: 👍 No, es correcto
- Alerts: No
- Project Needs / Oportunities: Su proyecto suena similar al proyecto internos de datos de Patagonian. Podria haber una posibilidad de combinarlos en"&amp;" uno. Voy a levantar esta idea con Edu.
- Project Techs | Learning: 0
- Techs | Research: 0
- Project Techs | Difficulty: 3
- Project Changes | Reasons: Nuevo proyecto.
- Project Changes | Personal Impact: 4
- Project Role | Value: 4
- Project role | Note"&amp;"s: Analista de datos del proyecto. Aprendiendo cosas nuevas sobre este rol.")</f>
        <v>- Interviewee e-Mail: luisa.fernandez@patagoniansys.com
- Project Status Check: La asignaron a un proyecto interno para un proyecto de marketing.
- Project Changes | Notes: Proyecto nuevo. Analisis de datos utilizando las APIs de distintas redes sociales.
Extrana un poco la dinamica de estar en un equipo tecnico.
- Project Role | Feeling: 4
- Extra Work Hours | Amount: 0 (Ningúna)
- Techs | Research: No
- Techs | Recomendations: Mirar como funciona Athena para conectar los datos que va a almacenar en S3 con Looker.
- Techs | Recomendations check: No
- Collaborator | Seniority: 👍 No, es correcto
- Alerts: No
- Project Needs / Oportunities: Su proyecto suena similar al proyecto internos de datos de Patagonian. Podria haber una posibilidad de combinarlos en uno. Voy a levantar esta idea con Edu.
- Project Techs | Learning: 0
- Techs | Research: 0
- Project Techs | Difficulty: 3
- Project Changes | Reasons: Nuevo proyecto.
- Project Changes | Personal Impact: 4
- Project Role | Value: 4
- Project role | Notes: Analista de datos del proyecto. Aprendiendo cosas nuevas sobre este rol.</v>
      </c>
      <c r="J277" s="4" t="str">
        <f>IFERROR(__xludf.DUMMYFUNCTION("""COMPUTED_VALUE"""),"Tech Referent - OneOnOne")</f>
        <v>Tech Referent - OneOnOne</v>
      </c>
    </row>
    <row r="278" hidden="1">
      <c r="A278" s="4">
        <f>IFERROR(__xludf.DUMMYFUNCTION("""COMPUTED_VALUE"""),289.0)</f>
        <v>289</v>
      </c>
      <c r="B278" s="4" t="str">
        <f>IFERROR(__xludf.DUMMYFUNCTION("""COMPUTED_VALUE"""),"diego.vallejo")</f>
        <v>diego.vallejo</v>
      </c>
      <c r="C278" s="5">
        <f>IFERROR(__xludf.DUMMYFUNCTION("""COMPUTED_VALUE"""),45086.69181239584)</f>
        <v>45086.69181</v>
      </c>
      <c r="D278" s="5">
        <f>IFERROR(__xludf.DUMMYFUNCTION("""COMPUTED_VALUE"""),45086.0)</f>
        <v>45086</v>
      </c>
      <c r="E278" s="4" t="str">
        <f>IFERROR(__xludf.DUMMYFUNCTION("""COMPUTED_VALUE"""),"daniela.morales@patagoniansys.com")</f>
        <v>daniela.morales@patagoniansys.com</v>
      </c>
      <c r="F278" s="4" t="str">
        <f>IFERROR(__xludf.DUMMYFUNCTION("""COMPUTED_VALUE"""),"diego.vallejo@patagoniansys.com")</f>
        <v>diego.vallejo@patagoniansys.com</v>
      </c>
      <c r="G278" s="4" t="str">
        <f>IFERROR(__xludf.DUMMYFUNCTION("""COMPUTED_VALUE"""),"⏱ One on One")</f>
        <v>⏱ One on One</v>
      </c>
      <c r="H278" s="4" t="str">
        <f>IFERROR(__xludf.DUMMYFUNCTION("""COMPUTED_VALUE"""),"😐 Indiferente")</f>
        <v>😐 Indiferente</v>
      </c>
      <c r="I278" s="6" t="str">
        <f>IFERROR(__xludf.DUMMYFUNCTION("""COMPUTED_VALUE"""),"Diego comenta que está un poco aburrido debido al tema de que está en bench, además de que hay algunos proyectos disponibles pero no en las tecnologías que utiliza. También me comenta que le interesa el proyecto en el que estaba uno de sus compañeros, por"&amp;" lo que le recomendé hablar directamente con Eze para que valide la disponibilidad de pasar a ese proyecto que le interesa bastante con Laravel y React. Además de esto, Diego me comenta que está interesado en proyectos con Java y que se está capacitando e"&amp;"n React. ")</f>
        <v>Diego comenta que está un poco aburrido debido al tema de que está en bench, además de que hay algunos proyectos disponibles pero no en las tecnologías que utiliza. También me comenta que le interesa el proyecto en el que estaba uno de sus compañeros, por lo que le recomendé hablar directamente con Eze para que valide la disponibilidad de pasar a ese proyecto que le interesa bastante con Laravel y React. Además de esto, Diego me comenta que está interesado en proyectos con Java y que se está capacitando en React. </v>
      </c>
      <c r="J278" s="4" t="str">
        <f>IFERROR(__xludf.DUMMYFUNCTION("""COMPUTED_VALUE"""),"PX|Referents|RRHH")</f>
        <v>PX|Referents|RRHH</v>
      </c>
    </row>
    <row r="279" hidden="1">
      <c r="A279" s="4">
        <f>IFERROR(__xludf.DUMMYFUNCTION("""COMPUTED_VALUE"""),291.0)</f>
        <v>291</v>
      </c>
      <c r="B279" s="4" t="str">
        <f>IFERROR(__xludf.DUMMYFUNCTION("""COMPUTED_VALUE"""),"angel.gonzalez")</f>
        <v>angel.gonzalez</v>
      </c>
      <c r="C279" s="5">
        <f>IFERROR(__xludf.DUMMYFUNCTION("""COMPUTED_VALUE"""),45086.769718993055)</f>
        <v>45086.76972</v>
      </c>
      <c r="D279" s="5">
        <f>IFERROR(__xludf.DUMMYFUNCTION("""COMPUTED_VALUE"""),45086.0)</f>
        <v>45086</v>
      </c>
      <c r="E279" s="4" t="str">
        <f>IFERROR(__xludf.DUMMYFUNCTION("""COMPUTED_VALUE"""),"daniela.morales@patagoniansys.com")</f>
        <v>daniela.morales@patagoniansys.com</v>
      </c>
      <c r="F279" s="4" t="str">
        <f>IFERROR(__xludf.DUMMYFUNCTION("""COMPUTED_VALUE"""),"angel.gonzalez@patagoniansys.com")</f>
        <v>angel.gonzalez@patagoniansys.com</v>
      </c>
      <c r="G279" s="4" t="str">
        <f>IFERROR(__xludf.DUMMYFUNCTION("""COMPUTED_VALUE"""),"⏱ One on One")</f>
        <v>⏱ One on One</v>
      </c>
      <c r="H279" s="4" t="str">
        <f>IFERROR(__xludf.DUMMYFUNCTION("""COMPUTED_VALUE"""),"🙂 Feliz")</f>
        <v>🙂 Feliz</v>
      </c>
      <c r="I279" s="6" t="str">
        <f>IFERROR(__xludf.DUMMYFUNCTION("""COMPUTED_VALUE"""),"Me comenta que esta semana (precisamente hoy) ha estado mucho más tranquilo con el proyecto en el que está porque ahora siente que está más organizado en cuanto a las tareas que tienen. ")</f>
        <v>Me comenta que esta semana (precisamente hoy) ha estado mucho más tranquilo con el proyecto en el que está porque ahora siente que está más organizado en cuanto a las tareas que tienen. </v>
      </c>
      <c r="J279" s="4" t="str">
        <f>IFERROR(__xludf.DUMMYFUNCTION("""COMPUTED_VALUE"""),"PX|Referents|RRHH")</f>
        <v>PX|Referents|RRHH</v>
      </c>
    </row>
    <row r="280" hidden="1">
      <c r="A280" s="4">
        <f>IFERROR(__xludf.DUMMYFUNCTION("""COMPUTED_VALUE"""),188.0)</f>
        <v>188</v>
      </c>
      <c r="B280" s="4" t="str">
        <f>IFERROR(__xludf.DUMMYFUNCTION("""COMPUTED_VALUE"""),"mauricio.lahitte")</f>
        <v>mauricio.lahitte</v>
      </c>
      <c r="C280" s="5">
        <f>IFERROR(__xludf.DUMMYFUNCTION("""COMPUTED_VALUE"""),45093.622017534726)</f>
        <v>45093.62202</v>
      </c>
      <c r="D280" s="5">
        <f>IFERROR(__xludf.DUMMYFUNCTION("""COMPUTED_VALUE"""),45086.0)</f>
        <v>45086</v>
      </c>
      <c r="E280" s="4" t="str">
        <f>IFERROR(__xludf.DUMMYFUNCTION("""COMPUTED_VALUE"""),"micaela.zorzetto@patagoniansys.com")</f>
        <v>micaela.zorzetto@patagoniansys.com</v>
      </c>
      <c r="F280" s="4" t="str">
        <f>IFERROR(__xludf.DUMMYFUNCTION("""COMPUTED_VALUE"""),"mauricio.lahitte@patagoniansys.com")</f>
        <v>mauricio.lahitte@patagoniansys.com</v>
      </c>
      <c r="G280" s="4" t="str">
        <f>IFERROR(__xludf.DUMMYFUNCTION("""COMPUTED_VALUE"""),"⏱ One on One")</f>
        <v>⏱ One on One</v>
      </c>
      <c r="H280" s="4" t="str">
        <f>IFERROR(__xludf.DUMMYFUNCTION("""COMPUTED_VALUE"""),"🙂 Feliz")</f>
        <v>🙂 Feliz</v>
      </c>
      <c r="I280" s="6" t="str">
        <f>IFERROR(__xludf.DUMMYFUNCTION("""COMPUTED_VALUE"""),"Esta contento en el proyecto y el equipo que se formó. Estas últimas semanas, les comunicaron que van a surgir cosas nuevas en el proyecto. Tiene una relación cercana con el cliente, esta a gusto porque a su vez practica inglés.")</f>
        <v>Esta contento en el proyecto y el equipo que se formó. Estas últimas semanas, les comunicaron que van a surgir cosas nuevas en el proyecto. Tiene una relación cercana con el cliente, esta a gusto porque a su vez practica inglés.</v>
      </c>
      <c r="J280" s="4" t="str">
        <f>IFERROR(__xludf.DUMMYFUNCTION("""COMPUTED_VALUE"""),"PX|Referents|RRHH")</f>
        <v>PX|Referents|RRHH</v>
      </c>
    </row>
    <row r="281" hidden="1">
      <c r="A281" s="4">
        <f>IFERROR(__xludf.DUMMYFUNCTION("""COMPUTED_VALUE"""),190.0)</f>
        <v>190</v>
      </c>
      <c r="B281" s="4" t="str">
        <f>IFERROR(__xludf.DUMMYFUNCTION("""COMPUTED_VALUE"""),"santiago.cendra")</f>
        <v>santiago.cendra</v>
      </c>
      <c r="C281" s="5">
        <f>IFERROR(__xludf.DUMMYFUNCTION("""COMPUTED_VALUE"""),45098.686541284726)</f>
        <v>45098.68654</v>
      </c>
      <c r="D281" s="5">
        <f>IFERROR(__xludf.DUMMYFUNCTION("""COMPUTED_VALUE"""),45086.0)</f>
        <v>45086</v>
      </c>
      <c r="E281" s="4" t="str">
        <f>IFERROR(__xludf.DUMMYFUNCTION("""COMPUTED_VALUE"""),"micaela.zorzetto@patagoniansys.com")</f>
        <v>micaela.zorzetto@patagoniansys.com</v>
      </c>
      <c r="F281" s="4" t="str">
        <f>IFERROR(__xludf.DUMMYFUNCTION("""COMPUTED_VALUE"""),"santiago.cendra@patagoniansys.com")</f>
        <v>santiago.cendra@patagoniansys.com</v>
      </c>
      <c r="G281" s="4" t="str">
        <f>IFERROR(__xludf.DUMMYFUNCTION("""COMPUTED_VALUE"""),"⏱ One on One")</f>
        <v>⏱ One on One</v>
      </c>
      <c r="H281" s="4" t="str">
        <f>IFERROR(__xludf.DUMMYFUNCTION("""COMPUTED_VALUE"""),"🙂 Feliz")</f>
        <v>🙂 Feliz</v>
      </c>
      <c r="I281" s="6" t="str">
        <f>IFERROR(__xludf.DUMMYFUNCTION("""COMPUTED_VALUE"""),"Ya terminó el proyecto en el que estaba trabajando. 
Siente que hicieron un gran trabajo con el proyecto interno para Patagonian.
Esta participando del plan de carrera, el que le hace seguimiento en Dani Mansilla.")</f>
        <v>Ya terminó el proyecto en el que estaba trabajando. 
Siente que hicieron un gran trabajo con el proyecto interno para Patagonian.
Esta participando del plan de carrera, el que le hace seguimiento en Dani Mansilla.</v>
      </c>
      <c r="J281" s="4" t="str">
        <f>IFERROR(__xludf.DUMMYFUNCTION("""COMPUTED_VALUE"""),"PX|Referents|RRHH")</f>
        <v>PX|Referents|RRHH</v>
      </c>
    </row>
    <row r="282">
      <c r="A282" s="4">
        <f>IFERROR(__xludf.DUMMYFUNCTION("""COMPUTED_VALUE"""),272.0)</f>
        <v>272</v>
      </c>
      <c r="B282" s="4" t="str">
        <f>IFERROR(__xludf.DUMMYFUNCTION("""COMPUTED_VALUE"""),"santiago.grossi")</f>
        <v>santiago.grossi</v>
      </c>
      <c r="C282" s="5">
        <f>IFERROR(__xludf.DUMMYFUNCTION("""COMPUTED_VALUE"""),45089.46440019676)</f>
        <v>45089.4644</v>
      </c>
      <c r="D282" s="5">
        <f>IFERROR(__xludf.DUMMYFUNCTION("""COMPUTED_VALUE"""),45089.0)</f>
        <v>45089</v>
      </c>
      <c r="E282" s="4" t="str">
        <f>IFERROR(__xludf.DUMMYFUNCTION("""COMPUTED_VALUE"""),"bruno.molina@patagoniansys.com")</f>
        <v>bruno.molina@patagoniansys.com</v>
      </c>
      <c r="F282" s="4" t="str">
        <f>IFERROR(__xludf.DUMMYFUNCTION("""COMPUTED_VALUE"""),"santiago.grossi@patagoniansys.com")</f>
        <v>santiago.grossi@patagoniansys.com</v>
      </c>
      <c r="G282" s="4" t="str">
        <f>IFERROR(__xludf.DUMMYFUNCTION("""COMPUTED_VALUE"""),"Referent One on One")</f>
        <v>Referent One on One</v>
      </c>
      <c r="H282" s="4"/>
      <c r="I282" s="6" t="str">
        <f>IFERROR(__xludf.DUMMYFUNCTION("""COMPUTED_VALUE"""),"- Interviewee e-Mail: santiago.grossi@patagoniansys.com
- Project Status Check: Estuvo trabajando en Agrobusiness. Lo hizo entero solo y no requirio de la asistencia de Andres (TL)
- Project Role | Feeling: 3
- Extra Work Hours | Amount: 0 (Ningúna)
- Tec"&amp;"hs | Research: Lee mucho sobre NODE.js
- Techs | Recomendations: No se le recomienda debido a que lo que esta leyendo esta fuera de mi area de expertise.
- Techs | Recomendations check: Si, las cumplio
- Collaborator | Seniority: 👍 No, es correcto
- Aler"&amp;"ts: Creo que merece un ajuste salarial debido a sus progresos y crecimiento personal en el ambito de la empresa
- Project Needs / Oportunities: En cuanto a los proyectos creo que no hay oportunidades de mejoras clara.
- Final notes: Sin comentarios adicio"&amp;"nales
- Project Techs | Learning: 0
- Techs | Research: 4
- Project Techs | Difficulty: 3
- Project Changes | Reasons: 🟰 No hubo cambios
- Project Role | Value: 4
- Project role | Notes: El colaborador siente que se le estan dando nuevas responsabilidade"&amp;"s")</f>
        <v>- Interviewee e-Mail: santiago.grossi@patagoniansys.com
- Project Status Check: Estuvo trabajando en Agrobusiness. Lo hizo entero solo y no requirio de la asistencia de Andres (TL)
- Project Role | Feeling: 3
- Extra Work Hours | Amount: 0 (Ningúna)
- Techs | Research: Lee mucho sobre NODE.js
- Techs | Recomendations: No se le recomienda debido a que lo que esta leyendo esta fuera de mi area de expertise.
- Techs | Recomendations check: Si, las cumplio
- Collaborator | Seniority: 👍 No, es correcto
- Alerts: Creo que merece un ajuste salarial debido a sus progresos y crecimiento personal en el ambito de la empresa
- Project Needs / Oportunities: En cuanto a los proyectos creo que no hay oportunidades de mejoras clara.
- Final notes: Sin comentarios adicionales
- Project Techs | Learning: 0
- Techs | Research: 4
- Project Techs | Difficulty: 3
- Project Changes | Reasons: 🟰 No hubo cambios
- Project Role | Value: 4
- Project role | Notes: El colaborador siente que se le estan dando nuevas responsabilidades</v>
      </c>
      <c r="J282" s="4" t="str">
        <f>IFERROR(__xludf.DUMMYFUNCTION("""COMPUTED_VALUE"""),"Tech Referent - OneOnOne")</f>
        <v>Tech Referent - OneOnOne</v>
      </c>
    </row>
    <row r="283" hidden="1">
      <c r="A283" s="4">
        <f>IFERROR(__xludf.DUMMYFUNCTION("""COMPUTED_VALUE"""),273.0)</f>
        <v>273</v>
      </c>
      <c r="B283" s="4" t="str">
        <f>IFERROR(__xludf.DUMMYFUNCTION("""COMPUTED_VALUE"""),"laura.oviedo")</f>
        <v>laura.oviedo</v>
      </c>
      <c r="C283" s="5">
        <f>IFERROR(__xludf.DUMMYFUNCTION("""COMPUTED_VALUE"""),45089.73353203703)</f>
        <v>45089.73353</v>
      </c>
      <c r="D283" s="5">
        <f>IFERROR(__xludf.DUMMYFUNCTION("""COMPUTED_VALUE"""),45089.0)</f>
        <v>45089</v>
      </c>
      <c r="E283" s="4" t="str">
        <f>IFERROR(__xludf.DUMMYFUNCTION("""COMPUTED_VALUE"""),"micaela.zorzetto@patagoniansys.com")</f>
        <v>micaela.zorzetto@patagoniansys.com</v>
      </c>
      <c r="F283" s="4" t="str">
        <f>IFERROR(__xludf.DUMMYFUNCTION("""COMPUTED_VALUE"""),"laura.oviedo@patagoniansys.com")</f>
        <v>laura.oviedo@patagoniansys.com</v>
      </c>
      <c r="G283" s="4" t="str">
        <f>IFERROR(__xludf.DUMMYFUNCTION("""COMPUTED_VALUE"""),"⏱ One on One")</f>
        <v>⏱ One on One</v>
      </c>
      <c r="H283" s="4" t="str">
        <f>IFERROR(__xludf.DUMMYFUNCTION("""COMPUTED_VALUE"""),"🙂 Feliz")</f>
        <v>🙂 Feliz</v>
      </c>
      <c r="I283" s="6" t="str">
        <f>IFERROR(__xludf.DUMMYFUNCTION("""COMPUTED_VALUE"""),"Esta en Halli próximo a terminar el proyecto. Cree que a fin de mes ya se termina, le costo acostumbrarse a la forma de trabajar del cliente, porque tiene mucha burocracia. Me comentó que muchas veces no respetan los horarios para agendar reuniones, pero "&amp;"a pesar de lo dificil, a ella le sirvió mucho ya que aprendió. 
Ahora esta también, trabajando con Vali en el rediseño de Piwe, le gusta realizar estas tareas que le permiten ser creativa. 
Solicitó que se revea el seniority, me comentó que en el actual "&amp;"proyecto esta realizando tareas de SSR, y hoy para la empresa es JR.")</f>
        <v>Esta en Halli próximo a terminar el proyecto. Cree que a fin de mes ya se termina, le costo acostumbrarse a la forma de trabajar del cliente, porque tiene mucha burocracia. Me comentó que muchas veces no respetan los horarios para agendar reuniones, pero a pesar de lo dificil, a ella le sirvió mucho ya que aprendió. 
Ahora esta también, trabajando con Vali en el rediseño de Piwe, le gusta realizar estas tareas que le permiten ser creativa. 
Solicitó que se revea el seniority, me comentó que en el actual proyecto esta realizando tareas de SSR, y hoy para la empresa es JR.</v>
      </c>
      <c r="J283" s="4" t="str">
        <f>IFERROR(__xludf.DUMMYFUNCTION("""COMPUTED_VALUE"""),"PX|Referents|RRHH")</f>
        <v>PX|Referents|RRHH</v>
      </c>
    </row>
    <row r="284" hidden="1">
      <c r="A284" s="4">
        <f>IFERROR(__xludf.DUMMYFUNCTION("""COMPUTED_VALUE"""),227.0)</f>
        <v>227</v>
      </c>
      <c r="B284" s="4" t="str">
        <f>IFERROR(__xludf.DUMMYFUNCTION("""COMPUTED_VALUE"""),"martin.infante")</f>
        <v>martin.infante</v>
      </c>
      <c r="C284" s="5">
        <f>IFERROR(__xludf.DUMMYFUNCTION("""COMPUTED_VALUE"""),45098.701086030094)</f>
        <v>45098.70109</v>
      </c>
      <c r="D284" s="5">
        <f>IFERROR(__xludf.DUMMYFUNCTION("""COMPUTED_VALUE"""),45089.0)</f>
        <v>45089</v>
      </c>
      <c r="E284" s="4" t="str">
        <f>IFERROR(__xludf.DUMMYFUNCTION("""COMPUTED_VALUE"""),"micaela.zorzetto@patagoniansys.com")</f>
        <v>micaela.zorzetto@patagoniansys.com</v>
      </c>
      <c r="F284" s="4" t="str">
        <f>IFERROR(__xludf.DUMMYFUNCTION("""COMPUTED_VALUE"""),"martin.infante@patagoniansys.com")</f>
        <v>martin.infante@patagoniansys.com</v>
      </c>
      <c r="G284" s="4" t="str">
        <f>IFERROR(__xludf.DUMMYFUNCTION("""COMPUTED_VALUE"""),"⏱ One on One")</f>
        <v>⏱ One on One</v>
      </c>
      <c r="H284" s="4" t="str">
        <f>IFERROR(__xludf.DUMMYFUNCTION("""COMPUTED_VALUE"""),"🙂 Feliz")</f>
        <v>🙂 Feliz</v>
      </c>
      <c r="I284" s="6" t="str">
        <f>IFERROR(__xludf.DUMMYFUNCTION("""COMPUTED_VALUE"""),"Esta muy contento con el proyecto y cliente. Solo tuvo un inconveniente con una persona que ingreso al proyecto por parte del cliente, pero supo como manejarlo y dejar en evidencia ciertas actitudes.")</f>
        <v>Esta muy contento con el proyecto y cliente. Solo tuvo un inconveniente con una persona que ingreso al proyecto por parte del cliente, pero supo como manejarlo y dejar en evidencia ciertas actitudes.</v>
      </c>
      <c r="J284" s="4" t="str">
        <f>IFERROR(__xludf.DUMMYFUNCTION("""COMPUTED_VALUE"""),"PX|Referents|RRHH")</f>
        <v>PX|Referents|RRHH</v>
      </c>
    </row>
    <row r="285" hidden="1">
      <c r="A285" s="4">
        <f>IFERROR(__xludf.DUMMYFUNCTION("""COMPUTED_VALUE"""),187.0)</f>
        <v>187</v>
      </c>
      <c r="B285" s="4" t="str">
        <f>IFERROR(__xludf.DUMMYFUNCTION("""COMPUTED_VALUE"""),"christian.amu")</f>
        <v>christian.amu</v>
      </c>
      <c r="C285" s="5">
        <f>IFERROR(__xludf.DUMMYFUNCTION("""COMPUTED_VALUE"""),45090.56206844907)</f>
        <v>45090.56207</v>
      </c>
      <c r="D285" s="5">
        <f>IFERROR(__xludf.DUMMYFUNCTION("""COMPUTED_VALUE"""),45090.0)</f>
        <v>45090</v>
      </c>
      <c r="E285" s="4" t="str">
        <f>IFERROR(__xludf.DUMMYFUNCTION("""COMPUTED_VALUE"""),"daniela.morales@patagoniansys.com")</f>
        <v>daniela.morales@patagoniansys.com</v>
      </c>
      <c r="F285" s="4" t="str">
        <f>IFERROR(__xludf.DUMMYFUNCTION("""COMPUTED_VALUE"""),"christian.amu@patagoniansys.com")</f>
        <v>christian.amu@patagoniansys.com</v>
      </c>
      <c r="G285" s="4" t="str">
        <f>IFERROR(__xludf.DUMMYFUNCTION("""COMPUTED_VALUE"""),"⏱ One on One")</f>
        <v>⏱ One on One</v>
      </c>
      <c r="H285" s="4" t="str">
        <f>IFERROR(__xludf.DUMMYFUNCTION("""COMPUTED_VALUE"""),"🙂 Feliz")</f>
        <v>🙂 Feliz</v>
      </c>
      <c r="I285" s="6" t="str">
        <f>IFERROR(__xludf.DUMMYFUNCTION("""COMPUTED_VALUE"""),"Actualmente también se está capacitando directamente con un plan que armó Almundo frente a temas de habilidades blandas y técnicas, abarcando inteligencia emocional, administración del tiempo y procesos de Java, Github y Lambda. Me cuenta que le interesa "&amp;"tomar la certificación de AWS pero no ha organizado bien el tiempo para realizarla, además de estar buscando también el proceso de recategorización. ")</f>
        <v>Actualmente también se está capacitando directamente con un plan que armó Almundo frente a temas de habilidades blandas y técnicas, abarcando inteligencia emocional, administración del tiempo y procesos de Java, Github y Lambda. Me cuenta que le interesa tomar la certificación de AWS pero no ha organizado bien el tiempo para realizarla, además de estar buscando también el proceso de recategorización. </v>
      </c>
      <c r="J285" s="4" t="str">
        <f>IFERROR(__xludf.DUMMYFUNCTION("""COMPUTED_VALUE"""),"PX|Referents|RRHH")</f>
        <v>PX|Referents|RRHH</v>
      </c>
    </row>
    <row r="286" hidden="1">
      <c r="A286" s="4">
        <f>IFERROR(__xludf.DUMMYFUNCTION("""COMPUTED_VALUE"""),199.0)</f>
        <v>199</v>
      </c>
      <c r="B286" s="4" t="str">
        <f>IFERROR(__xludf.DUMMYFUNCTION("""COMPUTED_VALUE"""),"eileen.guerrero")</f>
        <v>eileen.guerrero</v>
      </c>
      <c r="C286" s="5">
        <f>IFERROR(__xludf.DUMMYFUNCTION("""COMPUTED_VALUE"""),45090.5972991088)</f>
        <v>45090.5973</v>
      </c>
      <c r="D286" s="5">
        <f>IFERROR(__xludf.DUMMYFUNCTION("""COMPUTED_VALUE"""),45090.0)</f>
        <v>45090</v>
      </c>
      <c r="E286" s="4" t="str">
        <f>IFERROR(__xludf.DUMMYFUNCTION("""COMPUTED_VALUE"""),"daniela.morales@patagoniansys.com")</f>
        <v>daniela.morales@patagoniansys.com</v>
      </c>
      <c r="F286" s="4" t="str">
        <f>IFERROR(__xludf.DUMMYFUNCTION("""COMPUTED_VALUE"""),"eileen.guerrero@patagoniansys.com")</f>
        <v>eileen.guerrero@patagoniansys.com</v>
      </c>
      <c r="G286" s="4" t="str">
        <f>IFERROR(__xludf.DUMMYFUNCTION("""COMPUTED_VALUE"""),"⏱ One on One")</f>
        <v>⏱ One on One</v>
      </c>
      <c r="H286" s="4" t="str">
        <f>IFERROR(__xludf.DUMMYFUNCTION("""COMPUTED_VALUE"""),"😀 Sumamente Feliz")</f>
        <v>😀 Sumamente Feliz</v>
      </c>
      <c r="I286" s="6" t="str">
        <f>IFERROR(__xludf.DUMMYFUNCTION("""COMPUTED_VALUE"""),"Le gustaría tener espacios para compartir conocimiento sobre Java, puede ver la posibilidad de armar un Deck sobre este tema, también para tener un crecimiento más profesional. Le gustaría tener Roadmap para desarrollo profesional, una sugerencia de curso"&amp;"s basados en su líder técnico y a sus conocimientos. Le gustaría tener retroalimentaciones más continuas sobre sus habilidades técnicas. Le preocupa también que no hay un líder técnico al que pueda acudir por temas específicos de Java. ")</f>
        <v>Le gustaría tener espacios para compartir conocimiento sobre Java, puede ver la posibilidad de armar un Deck sobre este tema, también para tener un crecimiento más profesional. Le gustaría tener Roadmap para desarrollo profesional, una sugerencia de cursos basados en su líder técnico y a sus conocimientos. Le gustaría tener retroalimentaciones más continuas sobre sus habilidades técnicas. Le preocupa también que no hay un líder técnico al que pueda acudir por temas específicos de Java. </v>
      </c>
      <c r="J286" s="4" t="str">
        <f>IFERROR(__xludf.DUMMYFUNCTION("""COMPUTED_VALUE"""),"PX|Referents|RRHH")</f>
        <v>PX|Referents|RRHH</v>
      </c>
    </row>
    <row r="287">
      <c r="A287" s="4">
        <f>IFERROR(__xludf.DUMMYFUNCTION("""COMPUTED_VALUE"""),254.0)</f>
        <v>254</v>
      </c>
      <c r="B287" s="4" t="str">
        <f>IFERROR(__xludf.DUMMYFUNCTION("""COMPUTED_VALUE"""),"ismael.cespedes")</f>
        <v>ismael.cespedes</v>
      </c>
      <c r="C287" s="5">
        <f>IFERROR(__xludf.DUMMYFUNCTION("""COMPUTED_VALUE"""),45090.703240902774)</f>
        <v>45090.70324</v>
      </c>
      <c r="D287" s="5">
        <f>IFERROR(__xludf.DUMMYFUNCTION("""COMPUTED_VALUE"""),45090.0)</f>
        <v>45090</v>
      </c>
      <c r="E287" s="4" t="str">
        <f>IFERROR(__xludf.DUMMYFUNCTION("""COMPUTED_VALUE"""),"juan.calou@patagoniansys.com")</f>
        <v>juan.calou@patagoniansys.com</v>
      </c>
      <c r="F287" s="4" t="str">
        <f>IFERROR(__xludf.DUMMYFUNCTION("""COMPUTED_VALUE"""),"ismael.cespedes@patagoniansys.com")</f>
        <v>ismael.cespedes@patagoniansys.com</v>
      </c>
      <c r="G287" s="4" t="str">
        <f>IFERROR(__xludf.DUMMYFUNCTION("""COMPUTED_VALUE"""),"Referent One on One")</f>
        <v>Referent One on One</v>
      </c>
      <c r="H287" s="4"/>
      <c r="I287" s="6" t="str">
        <f>IFERROR(__xludf.DUMMYFUNCTION("""COMPUTED_VALUE"""),"- Interviewee e-Mail: ismael.cespedes@patagoniansys.com
- Project Status Check: Entro en Suka. 
- Project Changes | Notes: Esta interesante. Estoy trabajando como fullstack,. backend en strapi
- Project Role | Feeling: 4
- Extra Work Hours | Amount: 0 (Ni"&amp;"ngúna)
- Collaborator | Seniority: 👍 No, es correcto
- Final notes: Entro en un nuevo proyecto y esta muy contento. Esta trabajando de fullstack, y le gusta lo que hace y el proyecto. Venia de una experiencia rara con el proyecto anterior porque se habia"&amp;" terminado y habia pasado a bench, asi que lo vi contento. Tambien estuvo colaborando con lo de career path.
- Project Techs | Learning: 1
- Project Techs | Difficulty: 4
- Project Changes | Reasons: Nuevo proyecto
- Project Changes | Personal Impact: 4
-"&amp;" Project Role | Value: 4
- Project role | Notes: fullstack")</f>
        <v>- Interviewee e-Mail: ismael.cespedes@patagoniansys.com
- Project Status Check: Entro en Suka. 
- Project Changes | Notes: Esta interesante. Estoy trabajando como fullstack,. backend en strapi
- Project Role | Feeling: 4
- Extra Work Hours | Amount: 0 (Ningúna)
- Collaborator | Seniority: 👍 No, es correcto
- Final notes: Entro en un nuevo proyecto y esta muy contento. Esta trabajando de fullstack, y le gusta lo que hace y el proyecto. Venia de una experiencia rara con el proyecto anterior porque se habia terminado y habia pasado a bench, asi que lo vi contento. Tambien estuvo colaborando con lo de career path.
- Project Techs | Learning: 1
- Project Techs | Difficulty: 4
- Project Changes | Reasons: Nuevo proyecto
- Project Changes | Personal Impact: 4
- Project Role | Value: 4
- Project role | Notes: fullstack</v>
      </c>
      <c r="J287" s="4" t="str">
        <f>IFERROR(__xludf.DUMMYFUNCTION("""COMPUTED_VALUE"""),"Tech Referent - OneOnOne")</f>
        <v>Tech Referent - OneOnOne</v>
      </c>
    </row>
    <row r="288" hidden="1">
      <c r="A288" s="4">
        <f>IFERROR(__xludf.DUMMYFUNCTION("""COMPUTED_VALUE"""),293.0)</f>
        <v>293</v>
      </c>
      <c r="B288" s="4" t="str">
        <f>IFERROR(__xludf.DUMMYFUNCTION("""COMPUTED_VALUE"""),"andres.caceres")</f>
        <v>andres.caceres</v>
      </c>
      <c r="C288" s="5">
        <f>IFERROR(__xludf.DUMMYFUNCTION("""COMPUTED_VALUE"""),45090.71098975694)</f>
        <v>45090.71099</v>
      </c>
      <c r="D288" s="5">
        <f>IFERROR(__xludf.DUMMYFUNCTION("""COMPUTED_VALUE"""),45090.0)</f>
        <v>45090</v>
      </c>
      <c r="E288" s="4" t="str">
        <f>IFERROR(__xludf.DUMMYFUNCTION("""COMPUTED_VALUE"""),"daniela.morales@patagoniansys.com")</f>
        <v>daniela.morales@patagoniansys.com</v>
      </c>
      <c r="F288" s="4" t="str">
        <f>IFERROR(__xludf.DUMMYFUNCTION("""COMPUTED_VALUE"""),"andres.caceres@patagoniansys.com")</f>
        <v>andres.caceres@patagoniansys.com</v>
      </c>
      <c r="G288" s="4" t="str">
        <f>IFERROR(__xludf.DUMMYFUNCTION("""COMPUTED_VALUE"""),"⏱ One on One")</f>
        <v>⏱ One on One</v>
      </c>
      <c r="H288" s="4" t="str">
        <f>IFERROR(__xludf.DUMMYFUNCTION("""COMPUTED_VALUE"""),"😀 Sumamente Feliz")</f>
        <v>😀 Sumamente Feliz</v>
      </c>
      <c r="I288" s="6" t="str">
        <f>IFERROR(__xludf.DUMMYFUNCTION("""COMPUTED_VALUE"""),"Comenta que se encuentra contento con el nuevo proyecto en el que está (Mbody), le parece un gran nuevo reto pasar a usar React, además de que siente apoyo y paciencia por parte de su equipo. Está bastante animado y contento con Patagonian y la oportunida"&amp;"d que le dan de aprender nuevas cosas. También se está capacitando en Udemy y está atento de buscar certificaciones. Me cuenta que está interesado en hacer un workation a Cali y en trabajar temas de Java en Flash tech talks o en un Deck de Java")</f>
        <v>Comenta que se encuentra contento con el nuevo proyecto en el que está (Mbody), le parece un gran nuevo reto pasar a usar React, además de que siente apoyo y paciencia por parte de su equipo. Está bastante animado y contento con Patagonian y la oportunidad que le dan de aprender nuevas cosas. También se está capacitando en Udemy y está atento de buscar certificaciones. Me cuenta que está interesado en hacer un workation a Cali y en trabajar temas de Java en Flash tech talks o en un Deck de Java</v>
      </c>
      <c r="J288" s="4" t="str">
        <f>IFERROR(__xludf.DUMMYFUNCTION("""COMPUTED_VALUE"""),"PX|Referents|RRHH")</f>
        <v>PX|Referents|RRHH</v>
      </c>
    </row>
    <row r="289" hidden="1">
      <c r="A289" s="4">
        <f>IFERROR(__xludf.DUMMYFUNCTION("""COMPUTED_VALUE"""),230.0)</f>
        <v>230</v>
      </c>
      <c r="B289" s="4" t="str">
        <f>IFERROR(__xludf.DUMMYFUNCTION("""COMPUTED_VALUE"""),"jorge.contreras")</f>
        <v>jorge.contreras</v>
      </c>
      <c r="C289" s="5">
        <f>IFERROR(__xludf.DUMMYFUNCTION("""COMPUTED_VALUE"""),45090.73879314815)</f>
        <v>45090.73879</v>
      </c>
      <c r="D289" s="5">
        <f>IFERROR(__xludf.DUMMYFUNCTION("""COMPUTED_VALUE"""),45090.0)</f>
        <v>45090</v>
      </c>
      <c r="E289" s="4" t="str">
        <f>IFERROR(__xludf.DUMMYFUNCTION("""COMPUTED_VALUE"""),"daniela.morales@patagoniansys.com")</f>
        <v>daniela.morales@patagoniansys.com</v>
      </c>
      <c r="F289" s="4" t="str">
        <f>IFERROR(__xludf.DUMMYFUNCTION("""COMPUTED_VALUE"""),"jorge.contreras@patagoniansys.com")</f>
        <v>jorge.contreras@patagoniansys.com</v>
      </c>
      <c r="G289" s="4" t="str">
        <f>IFERROR(__xludf.DUMMYFUNCTION("""COMPUTED_VALUE"""),"⏱ One on One")</f>
        <v>⏱ One on One</v>
      </c>
      <c r="H289" s="4" t="str">
        <f>IFERROR(__xludf.DUMMYFUNCTION("""COMPUTED_VALUE"""),"🙂 Feliz")</f>
        <v>🙂 Feliz</v>
      </c>
      <c r="I289" s="6" t="str">
        <f>IFERROR(__xludf.DUMMYFUNCTION("""COMPUTED_VALUE"""),"Me comenta que está cómodo con el proyecto en el que está aunque al inicio hubo una confusión frente a la tecnología que debería usar, en este momento está apoyando con React y ciertas apreciaciones de PHP. En general me cuenta que está contento con su pr"&amp;"omoción al cargo de arquitecto, pero que le gustaría profundizar más en ese rol, cosa que no ha podido hacer del todo debido a su asignación a un proyecto con rol de Dev. Me cuenta también que en el futuro le gustaría terminar el proyecto y dedicarse full"&amp;"time a su rol de Arquitectura, frente al que encuentra un gran nuevo reto. ")</f>
        <v>Me comenta que está cómodo con el proyecto en el que está aunque al inicio hubo una confusión frente a la tecnología que debería usar, en este momento está apoyando con React y ciertas apreciaciones de PHP. En general me cuenta que está contento con su promoción al cargo de arquitecto, pero que le gustaría profundizar más en ese rol, cosa que no ha podido hacer del todo debido a su asignación a un proyecto con rol de Dev. Me cuenta también que en el futuro le gustaría terminar el proyecto y dedicarse fulltime a su rol de Arquitectura, frente al que encuentra un gran nuevo reto. </v>
      </c>
      <c r="J289" s="4" t="str">
        <f>IFERROR(__xludf.DUMMYFUNCTION("""COMPUTED_VALUE"""),"PX|Referents|RRHH")</f>
        <v>PX|Referents|RRHH</v>
      </c>
    </row>
    <row r="290" hidden="1">
      <c r="A290" s="4">
        <f>IFERROR(__xludf.DUMMYFUNCTION("""COMPUTED_VALUE"""),182.0)</f>
        <v>182</v>
      </c>
      <c r="B290" s="4" t="str">
        <f>IFERROR(__xludf.DUMMYFUNCTION("""COMPUTED_VALUE"""),"exequiel.soto")</f>
        <v>exequiel.soto</v>
      </c>
      <c r="C290" s="5">
        <f>IFERROR(__xludf.DUMMYFUNCTION("""COMPUTED_VALUE"""),45100.84336755786)</f>
        <v>45100.84337</v>
      </c>
      <c r="D290" s="5">
        <f>IFERROR(__xludf.DUMMYFUNCTION("""COMPUTED_VALUE"""),45090.0)</f>
        <v>45090</v>
      </c>
      <c r="E290" s="4" t="str">
        <f>IFERROR(__xludf.DUMMYFUNCTION("""COMPUTED_VALUE"""),"micaela.zorzetto@patagoniansys.com")</f>
        <v>micaela.zorzetto@patagoniansys.com</v>
      </c>
      <c r="F290" s="4" t="str">
        <f>IFERROR(__xludf.DUMMYFUNCTION("""COMPUTED_VALUE"""),"exequiel.soto@patagoniansys.com")</f>
        <v>exequiel.soto@patagoniansys.com</v>
      </c>
      <c r="G290" s="4" t="str">
        <f>IFERROR(__xludf.DUMMYFUNCTION("""COMPUTED_VALUE"""),"⏱ One on One")</f>
        <v>⏱ One on One</v>
      </c>
      <c r="H290" s="4" t="str">
        <f>IFERROR(__xludf.DUMMYFUNCTION("""COMPUTED_VALUE"""),"🙂 Feliz")</f>
        <v>🙂 Feliz</v>
      </c>
      <c r="I290" s="6" t="str">
        <f>IFERROR(__xludf.DUMMYFUNCTION("""COMPUTED_VALUE"""),"E")</f>
        <v>E</v>
      </c>
      <c r="J290" s="4" t="str">
        <f>IFERROR(__xludf.DUMMYFUNCTION("""COMPUTED_VALUE"""),"PX|Referents|RRHH")</f>
        <v>PX|Referents|RRHH</v>
      </c>
    </row>
    <row r="291" hidden="1">
      <c r="A291" s="4">
        <f>IFERROR(__xludf.DUMMYFUNCTION("""COMPUTED_VALUE"""),235.0)</f>
        <v>235</v>
      </c>
      <c r="B291" s="4" t="str">
        <f>IFERROR(__xludf.DUMMYFUNCTION("""COMPUTED_VALUE"""),"jose.acosta")</f>
        <v>jose.acosta</v>
      </c>
      <c r="C291" s="5">
        <f>IFERROR(__xludf.DUMMYFUNCTION("""COMPUTED_VALUE"""),45091.51239128472)</f>
        <v>45091.51239</v>
      </c>
      <c r="D291" s="5">
        <f>IFERROR(__xludf.DUMMYFUNCTION("""COMPUTED_VALUE"""),45091.0)</f>
        <v>45091</v>
      </c>
      <c r="E291" s="4" t="str">
        <f>IFERROR(__xludf.DUMMYFUNCTION("""COMPUTED_VALUE"""),"daniela.morales@patagoniansys.com")</f>
        <v>daniela.morales@patagoniansys.com</v>
      </c>
      <c r="F291" s="4" t="str">
        <f>IFERROR(__xludf.DUMMYFUNCTION("""COMPUTED_VALUE"""),"jose.acosta@patagoniansys.com")</f>
        <v>jose.acosta@patagoniansys.com</v>
      </c>
      <c r="G291" s="4" t="str">
        <f>IFERROR(__xludf.DUMMYFUNCTION("""COMPUTED_VALUE"""),"⏱ One on One")</f>
        <v>⏱ One on One</v>
      </c>
      <c r="H291" s="4" t="str">
        <f>IFERROR(__xludf.DUMMYFUNCTION("""COMPUTED_VALUE"""),"😐 Indiferente")</f>
        <v>😐 Indiferente</v>
      </c>
      <c r="I291" s="6" t="str">
        <f>IFERROR(__xludf.DUMMYFUNCTION("""COMPUTED_VALUE"""),"Está contento con el proyecto, le gusta el equipo, es bastante colaborativo. Lo que ve es que el proyecto es un poco desordenado pero nada del otro mundo. Le parece un proyecto retador y de buscar información pero se ha sentido muy a gusto, además de que "&amp;"ha podido integrarse un poco más con sus compañeros. ")</f>
        <v>Está contento con el proyecto, le gusta el equipo, es bastante colaborativo. Lo que ve es que el proyecto es un poco desordenado pero nada del otro mundo. Le parece un proyecto retador y de buscar información pero se ha sentido muy a gusto, además de que ha podido integrarse un poco más con sus compañeros. </v>
      </c>
      <c r="J291" s="4" t="str">
        <f>IFERROR(__xludf.DUMMYFUNCTION("""COMPUTED_VALUE"""),"PX|Referents|RRHH")</f>
        <v>PX|Referents|RRHH</v>
      </c>
    </row>
    <row r="292" hidden="1">
      <c r="A292" s="4">
        <f>IFERROR(__xludf.DUMMYFUNCTION("""COMPUTED_VALUE"""),298.0)</f>
        <v>298</v>
      </c>
      <c r="B292" s="4" t="str">
        <f>IFERROR(__xludf.DUMMYFUNCTION("""COMPUTED_VALUE"""),"manuel.ortega")</f>
        <v>manuel.ortega</v>
      </c>
      <c r="C292" s="5">
        <f>IFERROR(__xludf.DUMMYFUNCTION("""COMPUTED_VALUE"""),45091.53909288195)</f>
        <v>45091.53909</v>
      </c>
      <c r="D292" s="5">
        <f>IFERROR(__xludf.DUMMYFUNCTION("""COMPUTED_VALUE"""),45091.0)</f>
        <v>45091</v>
      </c>
      <c r="E292" s="4" t="str">
        <f>IFERROR(__xludf.DUMMYFUNCTION("""COMPUTED_VALUE"""),"daniela.morales@patagoniansys.com")</f>
        <v>daniela.morales@patagoniansys.com</v>
      </c>
      <c r="F292" s="4" t="str">
        <f>IFERROR(__xludf.DUMMYFUNCTION("""COMPUTED_VALUE"""),"manuel.ortega@patagoniansys.com")</f>
        <v>manuel.ortega@patagoniansys.com</v>
      </c>
      <c r="G292" s="4" t="str">
        <f>IFERROR(__xludf.DUMMYFUNCTION("""COMPUTED_VALUE"""),"⏱ One on One")</f>
        <v>⏱ One on One</v>
      </c>
      <c r="H292" s="4" t="str">
        <f>IFERROR(__xludf.DUMMYFUNCTION("""COMPUTED_VALUE"""),"🙂 Feliz")</f>
        <v>🙂 Feliz</v>
      </c>
      <c r="I292" s="6" t="str">
        <f>IFERROR(__xludf.DUMMYFUNCTION("""COMPUTED_VALUE"""),"Se siente a gusto con el proyecto, ha tenido la posibilidad de hacer cursos y de aprender nuevas tecnologías. Le interesa seguir haciendo algunos cursos y en general está bastante bien con su equipo y con el proyecto. ")</f>
        <v>Se siente a gusto con el proyecto, ha tenido la posibilidad de hacer cursos y de aprender nuevas tecnologías. Le interesa seguir haciendo algunos cursos y en general está bastante bien con su equipo y con el proyecto. </v>
      </c>
      <c r="J292" s="4" t="str">
        <f>IFERROR(__xludf.DUMMYFUNCTION("""COMPUTED_VALUE"""),"PX|Referents|RRHH")</f>
        <v>PX|Referents|RRHH</v>
      </c>
    </row>
    <row r="293">
      <c r="A293" s="4">
        <f>IFERROR(__xludf.DUMMYFUNCTION("""COMPUTED_VALUE"""),311.0)</f>
        <v>311</v>
      </c>
      <c r="B293" s="4" t="str">
        <f>IFERROR(__xludf.DUMMYFUNCTION("""COMPUTED_VALUE"""),"andres.murillo")</f>
        <v>andres.murillo</v>
      </c>
      <c r="C293" s="5">
        <f>IFERROR(__xludf.DUMMYFUNCTION("""COMPUTED_VALUE"""),45091.64808228009)</f>
        <v>45091.64808</v>
      </c>
      <c r="D293" s="5">
        <f>IFERROR(__xludf.DUMMYFUNCTION("""COMPUTED_VALUE"""),45091.0)</f>
        <v>45091</v>
      </c>
      <c r="E293" s="4" t="str">
        <f>IFERROR(__xludf.DUMMYFUNCTION("""COMPUTED_VALUE"""),"leonardo.buret@patagoniansys.com")</f>
        <v>leonardo.buret@patagoniansys.com</v>
      </c>
      <c r="F293" s="4" t="str">
        <f>IFERROR(__xludf.DUMMYFUNCTION("""COMPUTED_VALUE"""),"andres.murillo@patagoniansys.com")</f>
        <v>andres.murillo@patagoniansys.com</v>
      </c>
      <c r="G293" s="4" t="str">
        <f>IFERROR(__xludf.DUMMYFUNCTION("""COMPUTED_VALUE"""),"Initial gathering")</f>
        <v>Initial gathering</v>
      </c>
      <c r="H293" s="4"/>
      <c r="I293" s="6" t="str">
        <f>IFERROR(__xludf.DUMMYFUNCTION("""COMPUTED_VALUE"""),"- Interviewee e-Mail: andres.murillo@patagoniansys.com
- Project name: Adroitt
- Project | Role: Frontend Developer, QA Manual, UI/UX, Errores en componentes generados por otros y algo de Backend
- Project | Description: Aplicación OTC para alertas de inv"&amp;"ersiones a través de actualizaciones automáticas del mercado de valores. 
- Project | technologies: .NET, C#, Blazor, gRPC, Javascript, CSS, HTML
- Happiness in project technology: 😐 Indiferente
- Happiness in project technology | Description: Lo desmoti"&amp;"va trabajar con CSS y no le gusta mucho. 
- Project | The best/coolest thing: Expandir sus conocimientos en Blazor, desarrollar librerías de Javascript
- Project | The worst thing: Tiene mucho trabajo de UI y CSS y no le gusta
- Project | Improvements: Se"&amp;" equivocaron con Blazor y uso de Telerik para esta aplicación en particular. Comunicación en el equipo. Telerik se ""rompe"" seguido
- Team | TL: Anthony
- Team | PX: Nicholas
- Team | QA: 1
- Team | QA Automation: 👎 No
- Team | QA | Notes: Equipo de QA "&amp;"no visible a ""Manuel""
- Team | UI/UX: 0
- Team | UI/UX | Notes: No
- Team | DevOps: 1
- Team | DevOps | Notes: Es el TL
- Team | Data Engineer: 0")</f>
        <v>- Interviewee e-Mail: andres.murillo@patagoniansys.com
- Project name: Adroitt
- Project | Role: Frontend Developer, QA Manual, UI/UX, Errores en componentes generados por otros y algo de Backend
- Project | Description: Aplicación OTC para alertas de inversiones a través de actualizaciones automáticas del mercado de valores. 
- Project | technologies: .NET, C#, Blazor, gRPC, Javascript, CSS, HTML
- Happiness in project technology: 😐 Indiferente
- Happiness in project technology | Description: Lo desmotiva trabajar con CSS y no le gusta mucho. 
- Project | The best/coolest thing: Expandir sus conocimientos en Blazor, desarrollar librerías de Javascript
- Project | The worst thing: Tiene mucho trabajo de UI y CSS y no le gusta
- Project | Improvements: Se equivocaron con Blazor y uso de Telerik para esta aplicación en particular. Comunicación en el equipo. Telerik se "rompe" seguido
- Team | TL: Anthony
- Team | PX: Nicholas
- Team | QA: 1
- Team | QA Automation: 👎 No
- Team | QA | Notes: Equipo de QA no visible a "Manuel"
- Team | UI/UX: 0
- Team | UI/UX | Notes: No
- Team | DevOps: 1
- Team | DevOps | Notes: Es el TL
- Team | Data Engineer: 0</v>
      </c>
      <c r="J293" s="4" t="str">
        <f>IFERROR(__xludf.DUMMYFUNCTION("""COMPUTED_VALUE"""),"Tech Referent - Initial gathering")</f>
        <v>Tech Referent - Initial gathering</v>
      </c>
    </row>
    <row r="294">
      <c r="A294" s="4">
        <f>IFERROR(__xludf.DUMMYFUNCTION("""COMPUTED_VALUE"""),145.0)</f>
        <v>145</v>
      </c>
      <c r="B294" s="4" t="str">
        <f>IFERROR(__xludf.DUMMYFUNCTION("""COMPUTED_VALUE"""),"victor.abitu")</f>
        <v>victor.abitu</v>
      </c>
      <c r="C294" s="5">
        <f>IFERROR(__xludf.DUMMYFUNCTION("""COMPUTED_VALUE"""),45091.68497328703)</f>
        <v>45091.68497</v>
      </c>
      <c r="D294" s="5">
        <f>IFERROR(__xludf.DUMMYFUNCTION("""COMPUTED_VALUE"""),45091.0)</f>
        <v>45091</v>
      </c>
      <c r="E294" s="4" t="str">
        <f>IFERROR(__xludf.DUMMYFUNCTION("""COMPUTED_VALUE"""),"rodrigo.cibils@patagoniansys.com")</f>
        <v>rodrigo.cibils@patagoniansys.com</v>
      </c>
      <c r="F294" s="4" t="str">
        <f>IFERROR(__xludf.DUMMYFUNCTION("""COMPUTED_VALUE"""),"victor.abitu@patagoniansys.com")</f>
        <v>victor.abitu@patagoniansys.com</v>
      </c>
      <c r="G294" s="4" t="str">
        <f>IFERROR(__xludf.DUMMYFUNCTION("""COMPUTED_VALUE"""),"Referent One on One")</f>
        <v>Referent One on One</v>
      </c>
      <c r="H294" s="4"/>
      <c r="I294" s="6" t="str">
        <f>IFERROR(__xludf.DUMMYFUNCTION("""COMPUTED_VALUE"""),"- Interviewee e-Mail: victor.abitu@patagoniansys.com
- Project Status Check: Servicio para enviar datos a la nube. Vienen trabados, van a hacer call con USA con un equipo de alla para verlo juntos y destrabar. Halliburton les tiene que dar la infraestruct"&amp;"ura (no tienen acceso a nada, les deben dar acceso). Ellos como team no tienen tanta experiencia con Azure (servicios de Big Data y Analytics).
- Project Changes | Notes: No lo afectaron los cambios. El dev que se fue fue de Halliburton y se sabia hace me"&amp;"ses que se iba a ir para esta epoca del equipo asi que hubo preparacion de sobra.
- Project Role | Feeling: 4
- Extra Work Hours | Amount: 0 (Ningúna)
- Techs | Research: Azure, porque necesita saber mas para el proyecto.
- Techs | Recomendations: Ya vien"&amp;"e capacitandose en Azure asi que en ese sentido no considero que hagan falta recomendaciones de mi parte.
- Techs | Recomendations check: Es la primera 1.1 post initial gathering
- Collaborator | Seniority: 👍 No, es correcto
- Alerts: No hay alertas.
- P"&amp;"roject Needs / Oportunities: Patagonian podria ofrecer alguna persona con experiencia en Azure para cubrir esa necesidad del equipo.
- Project Techs | Learning: 2
- Techs | Research: 2
- Project Techs | Difficulty: 3
- Project Changes | Reasons: ⬇️ Reducc"&amp;"ión del equipo, Hubo cambio de diseñador UX/UI.
- Project Changes | Personal Impact: 3
- Project Role | Value: 4
- Project role | Notes: Esta contento y considera que esta aprendiendo. El team se apoya mutuamente.")</f>
        <v>- Interviewee e-Mail: victor.abitu@patagoniansys.com
- Project Status Check: Servicio para enviar datos a la nube. Vienen trabados, van a hacer call con USA con un equipo de alla para verlo juntos y destrabar. Halliburton les tiene que dar la infraestructura (no tienen acceso a nada, les deben dar acceso). Ellos como team no tienen tanta experiencia con Azure (servicios de Big Data y Analytics).
- Project Changes | Notes: No lo afectaron los cambios. El dev que se fue fue de Halliburton y se sabia hace meses que se iba a ir para esta epoca del equipo asi que hubo preparacion de sobra.
- Project Role | Feeling: 4
- Extra Work Hours | Amount: 0 (Ningúna)
- Techs | Research: Azure, porque necesita saber mas para el proyecto.
- Techs | Recomendations: Ya viene capacitandose en Azure asi que en ese sentido no considero que hagan falta recomendaciones de mi parte.
- Techs | Recomendations check: Es la primera 1.1 post initial gathering
- Collaborator | Seniority: 👍 No, es correcto
- Alerts: No hay alertas.
- Project Needs / Oportunities: Patagonian podria ofrecer alguna persona con experiencia en Azure para cubrir esa necesidad del equipo.
- Project Techs | Learning: 2
- Techs | Research: 2
- Project Techs | Difficulty: 3
- Project Changes | Reasons: ⬇️ Reducción del equipo, Hubo cambio de diseñador UX/UI.
- Project Changes | Personal Impact: 3
- Project Role | Value: 4
- Project role | Notes: Esta contento y considera que esta aprendiendo. El team se apoya mutuamente.</v>
      </c>
      <c r="J294" s="4" t="str">
        <f>IFERROR(__xludf.DUMMYFUNCTION("""COMPUTED_VALUE"""),"Tech Referent - OneOnOne")</f>
        <v>Tech Referent - OneOnOne</v>
      </c>
    </row>
    <row r="295" hidden="1">
      <c r="A295" s="4">
        <f>IFERROR(__xludf.DUMMYFUNCTION("""COMPUTED_VALUE"""),203.0)</f>
        <v>203</v>
      </c>
      <c r="B295" s="4" t="str">
        <f>IFERROR(__xludf.DUMMYFUNCTION("""COMPUTED_VALUE"""),"duverney.hernandez")</f>
        <v>duverney.hernandez</v>
      </c>
      <c r="C295" s="5">
        <f>IFERROR(__xludf.DUMMYFUNCTION("""COMPUTED_VALUE"""),45091.71488670139)</f>
        <v>45091.71489</v>
      </c>
      <c r="D295" s="5">
        <f>IFERROR(__xludf.DUMMYFUNCTION("""COMPUTED_VALUE"""),45091.0)</f>
        <v>45091</v>
      </c>
      <c r="E295" s="4" t="str">
        <f>IFERROR(__xludf.DUMMYFUNCTION("""COMPUTED_VALUE"""),"daniela.morales@patagoniansys.com")</f>
        <v>daniela.morales@patagoniansys.com</v>
      </c>
      <c r="F295" s="4" t="str">
        <f>IFERROR(__xludf.DUMMYFUNCTION("""COMPUTED_VALUE"""),"duverney.hernandez@patagoniansys.com")</f>
        <v>duverney.hernandez@patagoniansys.com</v>
      </c>
      <c r="G295" s="4" t="str">
        <f>IFERROR(__xludf.DUMMYFUNCTION("""COMPUTED_VALUE"""),"⏱ One on One")</f>
        <v>⏱ One on One</v>
      </c>
      <c r="H295" s="4" t="str">
        <f>IFERROR(__xludf.DUMMYFUNCTION("""COMPUTED_VALUE"""),"🙂 Feliz")</f>
        <v>🙂 Feliz</v>
      </c>
      <c r="I295" s="6" t="str">
        <f>IFERROR(__xludf.DUMMYFUNCTION("""COMPUTED_VALUE"""),"Está bastante contento con el proyecto, está aprendiendo bastante de Angular y de otras tecnologías. Le interesa también hacer cursos y seguir aprendiendo. Tiene interés en hacer un viaje a Cali para integrarse más con el resto del equipo y hacer activida"&amp;"des diferentes. ")</f>
        <v>Está bastante contento con el proyecto, está aprendiendo bastante de Angular y de otras tecnologías. Le interesa también hacer cursos y seguir aprendiendo. Tiene interés en hacer un viaje a Cali para integrarse más con el resto del equipo y hacer actividades diferentes. </v>
      </c>
      <c r="J295" s="4" t="str">
        <f>IFERROR(__xludf.DUMMYFUNCTION("""COMPUTED_VALUE"""),"PX|Referents|RRHH")</f>
        <v>PX|Referents|RRHH</v>
      </c>
    </row>
    <row r="296" hidden="1">
      <c r="A296" s="4">
        <f>IFERROR(__xludf.DUMMYFUNCTION("""COMPUTED_VALUE"""),177.0)</f>
        <v>177</v>
      </c>
      <c r="B296" s="4" t="str">
        <f>IFERROR(__xludf.DUMMYFUNCTION("""COMPUTED_VALUE"""),"juan.marin")</f>
        <v>juan.marin</v>
      </c>
      <c r="C296" s="5">
        <f>IFERROR(__xludf.DUMMYFUNCTION("""COMPUTED_VALUE"""),45091.7350928588)</f>
        <v>45091.73509</v>
      </c>
      <c r="D296" s="5">
        <f>IFERROR(__xludf.DUMMYFUNCTION("""COMPUTED_VALUE"""),45091.0)</f>
        <v>45091</v>
      </c>
      <c r="E296" s="4" t="str">
        <f>IFERROR(__xludf.DUMMYFUNCTION("""COMPUTED_VALUE"""),"juan.villamizar@patagoniansys.com")</f>
        <v>juan.villamizar@patagoniansys.com</v>
      </c>
      <c r="F296" s="4" t="str">
        <f>IFERROR(__xludf.DUMMYFUNCTION("""COMPUTED_VALUE"""),"juan.marin@patagoniansys.com")</f>
        <v>juan.marin@patagoniansys.com</v>
      </c>
      <c r="G296" s="4" t="str">
        <f>IFERROR(__xludf.DUMMYFUNCTION("""COMPUTED_VALUE"""),"⏱ One on One")</f>
        <v>⏱ One on One</v>
      </c>
      <c r="H296" s="4" t="str">
        <f>IFERROR(__xludf.DUMMYFUNCTION("""COMPUTED_VALUE"""),"🙂 Feliz")</f>
        <v>🙂 Feliz</v>
      </c>
      <c r="I296" s="6" t="str">
        <f>IFERROR(__xludf.DUMMYFUNCTION("""COMPUTED_VALUE"""),"Acorde con la asignación de tareas, ha estado implementando pipeline en azure, repositorios en bitbutket. Por ahora el trabajo con Jess está bien, aunque tiene mejor comunicación con Hernesto Parada (TL) arquitecto del proyecto.")</f>
        <v>Acorde con la asignación de tareas, ha estado implementando pipeline en azure, repositorios en bitbutket. Por ahora el trabajo con Jess está bien, aunque tiene mejor comunicación con Hernesto Parada (TL) arquitecto del proyecto.</v>
      </c>
      <c r="J296" s="4" t="str">
        <f>IFERROR(__xludf.DUMMYFUNCTION("""COMPUTED_VALUE"""),"PX|Referents|RRHH")</f>
        <v>PX|Referents|RRHH</v>
      </c>
    </row>
    <row r="297" hidden="1">
      <c r="A297" s="4">
        <f>IFERROR(__xludf.DUMMYFUNCTION("""COMPUTED_VALUE"""),224.0)</f>
        <v>224</v>
      </c>
      <c r="B297" s="4" t="str">
        <f>IFERROR(__xludf.DUMMYFUNCTION("""COMPUTED_VALUE"""),"luciano.fuentes")</f>
        <v>luciano.fuentes</v>
      </c>
      <c r="C297" s="5">
        <f>IFERROR(__xludf.DUMMYFUNCTION("""COMPUTED_VALUE"""),45098.70386112269)</f>
        <v>45098.70386</v>
      </c>
      <c r="D297" s="5">
        <f>IFERROR(__xludf.DUMMYFUNCTION("""COMPUTED_VALUE"""),45091.0)</f>
        <v>45091</v>
      </c>
      <c r="E297" s="4" t="str">
        <f>IFERROR(__xludf.DUMMYFUNCTION("""COMPUTED_VALUE"""),"micaela.zorzetto@patagoniansys.com")</f>
        <v>micaela.zorzetto@patagoniansys.com</v>
      </c>
      <c r="F297" s="4" t="str">
        <f>IFERROR(__xludf.DUMMYFUNCTION("""COMPUTED_VALUE"""),"luciano.fuentes@patagoniansys.com")</f>
        <v>luciano.fuentes@patagoniansys.com</v>
      </c>
      <c r="G297" s="4" t="str">
        <f>IFERROR(__xludf.DUMMYFUNCTION("""COMPUTED_VALUE"""),"⏱ One on One")</f>
        <v>⏱ One on One</v>
      </c>
      <c r="H297" s="4" t="str">
        <f>IFERROR(__xludf.DUMMYFUNCTION("""COMPUTED_VALUE"""),"🙂 Feliz")</f>
        <v>🙂 Feliz</v>
      </c>
      <c r="I297" s="6" t="str">
        <f>IFERROR(__xludf.DUMMYFUNCTION("""COMPUTED_VALUE"""),"En dos semanas termina el proyecto en el que esta colaborando de Halli Mexico, y continua con Halli Región.
Le gustaría dedicarle un poco más de tiempo a Patagonian, hacer certificaciones, participard de los desk, realizar alguna flashtask. Pero el proyec"&amp;"to no le deja tiempo extra para realizar esas actividades. 
Me cuenta que ingresó Valita al proyecto, fue un gran ingresó, ya que el proyecto lo necesitaba hace tiempo.")</f>
        <v>En dos semanas termina el proyecto en el que esta colaborando de Halli Mexico, y continua con Halli Región.
Le gustaría dedicarle un poco más de tiempo a Patagonian, hacer certificaciones, participard de los desk, realizar alguna flashtask. Pero el proyecto no le deja tiempo extra para realizar esas actividades. 
Me cuenta que ingresó Valita al proyecto, fue un gran ingresó, ya que el proyecto lo necesitaba hace tiempo.</v>
      </c>
      <c r="J297" s="4" t="str">
        <f>IFERROR(__xludf.DUMMYFUNCTION("""COMPUTED_VALUE"""),"PX|Referents|RRHH")</f>
        <v>PX|Referents|RRHH</v>
      </c>
    </row>
    <row r="298" hidden="1">
      <c r="A298" s="4">
        <f>IFERROR(__xludf.DUMMYFUNCTION("""COMPUTED_VALUE"""),205.0)</f>
        <v>205</v>
      </c>
      <c r="B298" s="4" t="str">
        <f>IFERROR(__xludf.DUMMYFUNCTION("""COMPUTED_VALUE"""),"manuel.abruzzo")</f>
        <v>manuel.abruzzo</v>
      </c>
      <c r="C298" s="5">
        <f>IFERROR(__xludf.DUMMYFUNCTION("""COMPUTED_VALUE"""),45100.84013089121)</f>
        <v>45100.84013</v>
      </c>
      <c r="D298" s="5">
        <f>IFERROR(__xludf.DUMMYFUNCTION("""COMPUTED_VALUE"""),45091.0)</f>
        <v>45091</v>
      </c>
      <c r="E298" s="4" t="str">
        <f>IFERROR(__xludf.DUMMYFUNCTION("""COMPUTED_VALUE"""),"micaela.zorzetto@patagoniansys.com")</f>
        <v>micaela.zorzetto@patagoniansys.com</v>
      </c>
      <c r="F298" s="4" t="str">
        <f>IFERROR(__xludf.DUMMYFUNCTION("""COMPUTED_VALUE"""),"manuel.abruzzo@patagoniansys.com")</f>
        <v>manuel.abruzzo@patagoniansys.com</v>
      </c>
      <c r="G298" s="4" t="str">
        <f>IFERROR(__xludf.DUMMYFUNCTION("""COMPUTED_VALUE"""),"⏱ One on One")</f>
        <v>⏱ One on One</v>
      </c>
      <c r="H298" s="4" t="str">
        <f>IFERROR(__xludf.DUMMYFUNCTION("""COMPUTED_VALUE"""),"🙂 Feliz")</f>
        <v>🙂 Feliz</v>
      </c>
      <c r="I298" s="6" t="str">
        <f>IFERROR(__xludf.DUMMYFUNCTION("""COMPUTED_VALUE"""),"Manu viene de una semana estresante, porque ocurrió un problema grande en el proyecto. Desde este gran problema, puedo notar que son un gran equipo, que todos tiran para el mismo lado y se apoyan. 
También, el lado positivo, fue que les sirvió para replan"&amp;"tearse muchas cosas que venian haciendo en el proyecto que capaz que no funcionaban del todo bien. 
Antes le daba un poco de ""miedo hablar con Nati"" pero hoy se siente más seguro a la hora de proponer mejoras y dar su punto de vista. Tal vez anteriormen"&amp;"te sentia que era mas un asistente y hoy se siente parte de equipo/proyecto. 
Lo esta ayudando mucho estar preparandose para rendir la certificación. 
")</f>
        <v>Manu viene de una semana estresante, porque ocurrió un problema grande en el proyecto. Desde este gran problema, puedo notar que son un gran equipo, que todos tiran para el mismo lado y se apoyan. 
También, el lado positivo, fue que les sirvió para replantearse muchas cosas que venian haciendo en el proyecto que capaz que no funcionaban del todo bien. 
Antes le daba un poco de "miedo hablar con Nati" pero hoy se siente más seguro a la hora de proponer mejoras y dar su punto de vista. Tal vez anteriormente sentia que era mas un asistente y hoy se siente parte de equipo/proyecto. 
Lo esta ayudando mucho estar preparandose para rendir la certificación. 
</v>
      </c>
      <c r="J298" s="4" t="str">
        <f>IFERROR(__xludf.DUMMYFUNCTION("""COMPUTED_VALUE"""),"PX|Referents|RRHH")</f>
        <v>PX|Referents|RRHH</v>
      </c>
    </row>
    <row r="299" hidden="1">
      <c r="A299" s="4">
        <f>IFERROR(__xludf.DUMMYFUNCTION("""COMPUTED_VALUE"""),296.0)</f>
        <v>296</v>
      </c>
      <c r="B299" s="4" t="str">
        <f>IFERROR(__xludf.DUMMYFUNCTION("""COMPUTED_VALUE"""),"jefersson.galvez")</f>
        <v>jefersson.galvez</v>
      </c>
      <c r="C299" s="5">
        <f>IFERROR(__xludf.DUMMYFUNCTION("""COMPUTED_VALUE"""),45092.605422002314)</f>
        <v>45092.60542</v>
      </c>
      <c r="D299" s="5">
        <f>IFERROR(__xludf.DUMMYFUNCTION("""COMPUTED_VALUE"""),45092.0)</f>
        <v>45092</v>
      </c>
      <c r="E299" s="4" t="str">
        <f>IFERROR(__xludf.DUMMYFUNCTION("""COMPUTED_VALUE"""),"daniela.morales@patagoniansys.com")</f>
        <v>daniela.morales@patagoniansys.com</v>
      </c>
      <c r="F299" s="4" t="str">
        <f>IFERROR(__xludf.DUMMYFUNCTION("""COMPUTED_VALUE"""),"jefersson.galvez@patagoniansys.com")</f>
        <v>jefersson.galvez@patagoniansys.com</v>
      </c>
      <c r="G299" s="4" t="str">
        <f>IFERROR(__xludf.DUMMYFUNCTION("""COMPUTED_VALUE"""),"⏱ One on One")</f>
        <v>⏱ One on One</v>
      </c>
      <c r="H299" s="4" t="str">
        <f>IFERROR(__xludf.DUMMYFUNCTION("""COMPUTED_VALUE"""),"🙂 Feliz")</f>
        <v>🙂 Feliz</v>
      </c>
      <c r="I299" s="6" t="str">
        <f>IFERROR(__xludf.DUMMYFUNCTION("""COMPUTED_VALUE"""),"Se siente a gusto con el proyecto, ha estado contento con los nuevos retos y por saber que ahora el cliente les asignó más tareas, por lo que se siente más ocupado y productivo. Por otro lado, se siente un poco abandonado por la empresa por el hecho de qu"&amp;"e no ha visto un acompañamiento grande por parte de su PM, no ha vuelto a tener 1:1 desde que sucedió todo lo del proyecto y por eso siente que está un poco dejado de lado. Le interesa la posibilidad de los workation, sobre todo para integrarse más con su"&amp;"s compañeros, pues se ha sentido muy dejado de lado. Tiene la idea de hacer retos de programación y tecnologías dentro de la empresa, en los que puedan retarse e ir aprendiendo cosas nuevas (sololearn app) puntajes por responder y crear retos. También ve "&amp;"la necesidad de romper el hielo para conocer las dinámicas de los demás. ")</f>
        <v>Se siente a gusto con el proyecto, ha estado contento con los nuevos retos y por saber que ahora el cliente les asignó más tareas, por lo que se siente más ocupado y productivo. Por otro lado, se siente un poco abandonado por la empresa por el hecho de que no ha visto un acompañamiento grande por parte de su PM, no ha vuelto a tener 1:1 desde que sucedió todo lo del proyecto y por eso siente que está un poco dejado de lado. Le interesa la posibilidad de los workation, sobre todo para integrarse más con sus compañeros, pues se ha sentido muy dejado de lado. Tiene la idea de hacer retos de programación y tecnologías dentro de la empresa, en los que puedan retarse e ir aprendiendo cosas nuevas (sololearn app) puntajes por responder y crear retos. También ve la necesidad de romper el hielo para conocer las dinámicas de los demás. </v>
      </c>
      <c r="J299" s="4" t="str">
        <f>IFERROR(__xludf.DUMMYFUNCTION("""COMPUTED_VALUE"""),"PX|Referents|RRHH")</f>
        <v>PX|Referents|RRHH</v>
      </c>
    </row>
    <row r="300" hidden="1">
      <c r="A300" s="4">
        <f>IFERROR(__xludf.DUMMYFUNCTION("""COMPUTED_VALUE"""),294.0)</f>
        <v>294</v>
      </c>
      <c r="B300" s="4" t="str">
        <f>IFERROR(__xludf.DUMMYFUNCTION("""COMPUTED_VALUE"""),"yhon.laverde")</f>
        <v>yhon.laverde</v>
      </c>
      <c r="C300" s="5">
        <f>IFERROR(__xludf.DUMMYFUNCTION("""COMPUTED_VALUE"""),45092.74287822917)</f>
        <v>45092.74288</v>
      </c>
      <c r="D300" s="5">
        <f>IFERROR(__xludf.DUMMYFUNCTION("""COMPUTED_VALUE"""),45092.0)</f>
        <v>45092</v>
      </c>
      <c r="E300" s="4" t="str">
        <f>IFERROR(__xludf.DUMMYFUNCTION("""COMPUTED_VALUE"""),"daniela.morales@patagoniansys.com")</f>
        <v>daniela.morales@patagoniansys.com</v>
      </c>
      <c r="F300" s="4" t="str">
        <f>IFERROR(__xludf.DUMMYFUNCTION("""COMPUTED_VALUE"""),"yhon.laverde@patagoniansys.com")</f>
        <v>yhon.laverde@patagoniansys.com</v>
      </c>
      <c r="G300" s="4" t="str">
        <f>IFERROR(__xludf.DUMMYFUNCTION("""COMPUTED_VALUE"""),"⏱ One on One")</f>
        <v>⏱ One on One</v>
      </c>
      <c r="H300" s="4" t="str">
        <f>IFERROR(__xludf.DUMMYFUNCTION("""COMPUTED_VALUE"""),"🙂 Feliz")</f>
        <v>🙂 Feliz</v>
      </c>
      <c r="I300" s="6" t="str">
        <f>IFERROR(__xludf.DUMMYFUNCTION("""COMPUTED_VALUE"""),"Está bien en este momento, está haciendo cursos y estudiante por su cuenta. Pregunta también por la posibilidad de usar el presupuesto de certificaciones en clases de inglés presenciales. ")</f>
        <v>Está bien en este momento, está haciendo cursos y estudiante por su cuenta. Pregunta también por la posibilidad de usar el presupuesto de certificaciones en clases de inglés presenciales. </v>
      </c>
      <c r="J300" s="4" t="str">
        <f>IFERROR(__xludf.DUMMYFUNCTION("""COMPUTED_VALUE"""),"PX|Referents|RRHH")</f>
        <v>PX|Referents|RRHH</v>
      </c>
    </row>
    <row r="301" hidden="1">
      <c r="A301" s="4">
        <f>IFERROR(__xludf.DUMMYFUNCTION("""COMPUTED_VALUE"""),265.0)</f>
        <v>265</v>
      </c>
      <c r="B301" s="4" t="str">
        <f>IFERROR(__xludf.DUMMYFUNCTION("""COMPUTED_VALUE"""),"pablo.gomez")</f>
        <v>pablo.gomez</v>
      </c>
      <c r="C301" s="5">
        <f>IFERROR(__xludf.DUMMYFUNCTION("""COMPUTED_VALUE"""),45100.84520028935)</f>
        <v>45100.8452</v>
      </c>
      <c r="D301" s="5">
        <f>IFERROR(__xludf.DUMMYFUNCTION("""COMPUTED_VALUE"""),45093.0)</f>
        <v>45093</v>
      </c>
      <c r="E301" s="4" t="str">
        <f>IFERROR(__xludf.DUMMYFUNCTION("""COMPUTED_VALUE"""),"micaela.zorzetto@patagoniansys.com")</f>
        <v>micaela.zorzetto@patagoniansys.com</v>
      </c>
      <c r="F301" s="4" t="str">
        <f>IFERROR(__xludf.DUMMYFUNCTION("""COMPUTED_VALUE"""),"pablo.gomez@patagoniansys.com")</f>
        <v>pablo.gomez@patagoniansys.com</v>
      </c>
      <c r="G301" s="4" t="str">
        <f>IFERROR(__xludf.DUMMYFUNCTION("""COMPUTED_VALUE"""),"⏱ One on One")</f>
        <v>⏱ One on One</v>
      </c>
      <c r="H301" s="4" t="str">
        <f>IFERROR(__xludf.DUMMYFUNCTION("""COMPUTED_VALUE"""),"🙂 Feliz")</f>
        <v>🙂 Feliz</v>
      </c>
      <c r="I301" s="6" t="str">
        <f>IFERROR(__xludf.DUMMYFUNCTION("""COMPUTED_VALUE"""),"Pablo esta muy contento en la empresa, se siente acompañado y tenido en cuenta ya sea por mi o por Marce. 
Volvío hacer más desarrollo, se había alejado un poco del desarrollo porque cambios que hubo en el equipo de Forge, pero hoy ya esta desarrollando n"&amp;"uevamente que es lo que le gusta. ")</f>
        <v>Pablo esta muy contento en la empresa, se siente acompañado y tenido en cuenta ya sea por mi o por Marce. 
Volvío hacer más desarrollo, se había alejado un poco del desarrollo porque cambios que hubo en el equipo de Forge, pero hoy ya esta desarrollando nuevamente que es lo que le gusta. </v>
      </c>
      <c r="J301" s="4" t="str">
        <f>IFERROR(__xludf.DUMMYFUNCTION("""COMPUTED_VALUE"""),"PX|Referents|RRHH")</f>
        <v>PX|Referents|RRHH</v>
      </c>
    </row>
    <row r="302" hidden="1">
      <c r="A302" s="4">
        <f>IFERROR(__xludf.DUMMYFUNCTION("""COMPUTED_VALUE"""),248.0)</f>
        <v>248</v>
      </c>
      <c r="B302" s="4" t="str">
        <f>IFERROR(__xludf.DUMMYFUNCTION("""COMPUTED_VALUE"""),"geronimo.cornou")</f>
        <v>geronimo.cornou</v>
      </c>
      <c r="C302" s="5">
        <f>IFERROR(__xludf.DUMMYFUNCTION("""COMPUTED_VALUE"""),45103.62641185185)</f>
        <v>45103.62641</v>
      </c>
      <c r="D302" s="5">
        <f>IFERROR(__xludf.DUMMYFUNCTION("""COMPUTED_VALUE"""),45093.0)</f>
        <v>45093</v>
      </c>
      <c r="E302" s="4" t="str">
        <f>IFERROR(__xludf.DUMMYFUNCTION("""COMPUTED_VALUE"""),"micaela.zorzetto@patagoniansys.com")</f>
        <v>micaela.zorzetto@patagoniansys.com</v>
      </c>
      <c r="F302" s="4" t="str">
        <f>IFERROR(__xludf.DUMMYFUNCTION("""COMPUTED_VALUE"""),"geronimo.cornou@patagoniansys.com")</f>
        <v>geronimo.cornou@patagoniansys.com</v>
      </c>
      <c r="G302" s="4" t="str">
        <f>IFERROR(__xludf.DUMMYFUNCTION("""COMPUTED_VALUE"""),"⏱ One on One")</f>
        <v>⏱ One on One</v>
      </c>
      <c r="H302" s="4" t="str">
        <f>IFERROR(__xludf.DUMMYFUNCTION("""COMPUTED_VALUE"""),"🙂 Feliz")</f>
        <v>🙂 Feliz</v>
      </c>
      <c r="I302" s="6" t="str">
        <f>IFERROR(__xludf.DUMMYFUNCTION("""COMPUTED_VALUE"""),"Esta muy bien en ambos proyectos.
Está estudiando para rendir la certificación, dice que le da un poco de miedo la forma en la que se rinde. ")</f>
        <v>Esta muy bien en ambos proyectos.
Está estudiando para rendir la certificación, dice que le da un poco de miedo la forma en la que se rinde. </v>
      </c>
      <c r="J302" s="4" t="str">
        <f>IFERROR(__xludf.DUMMYFUNCTION("""COMPUTED_VALUE"""),"PX|Referents|RRHH")</f>
        <v>PX|Referents|RRHH</v>
      </c>
    </row>
    <row r="303" hidden="1">
      <c r="A303" s="4">
        <f>IFERROR(__xludf.DUMMYFUNCTION("""COMPUTED_VALUE"""),173.0)</f>
        <v>173</v>
      </c>
      <c r="B303" s="4" t="str">
        <f>IFERROR(__xludf.DUMMYFUNCTION("""COMPUTED_VALUE"""),"elias.caram")</f>
        <v>elias.caram</v>
      </c>
      <c r="C303" s="5">
        <f>IFERROR(__xludf.DUMMYFUNCTION("""COMPUTED_VALUE"""),45103.7131584375)</f>
        <v>45103.71316</v>
      </c>
      <c r="D303" s="5">
        <f>IFERROR(__xludf.DUMMYFUNCTION("""COMPUTED_VALUE"""),45093.0)</f>
        <v>45093</v>
      </c>
      <c r="E303" s="4" t="str">
        <f>IFERROR(__xludf.DUMMYFUNCTION("""COMPUTED_VALUE"""),"micaela.zorzetto@patagoniansys.com")</f>
        <v>micaela.zorzetto@patagoniansys.com</v>
      </c>
      <c r="F303" s="4" t="str">
        <f>IFERROR(__xludf.DUMMYFUNCTION("""COMPUTED_VALUE"""),"elias.caram@patagoniansys.com")</f>
        <v>elias.caram@patagoniansys.com</v>
      </c>
      <c r="G303" s="4" t="str">
        <f>IFERROR(__xludf.DUMMYFUNCTION("""COMPUTED_VALUE"""),"⏱ One on One")</f>
        <v>⏱ One on One</v>
      </c>
      <c r="H303" s="4" t="str">
        <f>IFERROR(__xludf.DUMMYFUNCTION("""COMPUTED_VALUE"""),"😐 Indiferente")</f>
        <v>😐 Indiferente</v>
      </c>
      <c r="I303" s="6" t="str">
        <f>IFERROR(__xludf.DUMMYFUNCTION("""COMPUTED_VALUE"""),"Ahora esta trabajando en la página web de patagonian. 
Esta bien y cómodo en la empresa. Espera pronto tener un nuevo cliente")</f>
        <v>Ahora esta trabajando en la página web de patagonian. 
Esta bien y cómodo en la empresa. Espera pronto tener un nuevo cliente</v>
      </c>
      <c r="J303" s="4" t="str">
        <f>IFERROR(__xludf.DUMMYFUNCTION("""COMPUTED_VALUE"""),"PX|Referents|RRHH")</f>
        <v>PX|Referents|RRHH</v>
      </c>
    </row>
    <row r="304" hidden="1">
      <c r="A304" s="4">
        <f>IFERROR(__xludf.DUMMYFUNCTION("""COMPUTED_VALUE"""),249.0)</f>
        <v>249</v>
      </c>
      <c r="B304" s="4" t="str">
        <f>IFERROR(__xludf.DUMMYFUNCTION("""COMPUTED_VALUE"""),"nahuel.diaz")</f>
        <v>nahuel.diaz</v>
      </c>
      <c r="C304" s="5">
        <f>IFERROR(__xludf.DUMMYFUNCTION("""COMPUTED_VALUE"""),45106.48659270833)</f>
        <v>45106.48659</v>
      </c>
      <c r="D304" s="5">
        <f>IFERROR(__xludf.DUMMYFUNCTION("""COMPUTED_VALUE"""),45093.0)</f>
        <v>45093</v>
      </c>
      <c r="E304" s="4" t="str">
        <f>IFERROR(__xludf.DUMMYFUNCTION("""COMPUTED_VALUE"""),"micaela.zorzetto@patagoniansys.com")</f>
        <v>micaela.zorzetto@patagoniansys.com</v>
      </c>
      <c r="F304" s="4" t="str">
        <f>IFERROR(__xludf.DUMMYFUNCTION("""COMPUTED_VALUE"""),"nahuel.diaz@patagoniansys.com")</f>
        <v>nahuel.diaz@patagoniansys.com</v>
      </c>
      <c r="G304" s="4" t="str">
        <f>IFERROR(__xludf.DUMMYFUNCTION("""COMPUTED_VALUE"""),"⏱ One on One")</f>
        <v>⏱ One on One</v>
      </c>
      <c r="H304" s="4" t="str">
        <f>IFERROR(__xludf.DUMMYFUNCTION("""COMPUTED_VALUE"""),"🙂 Feliz")</f>
        <v>🙂 Feliz</v>
      </c>
      <c r="I304" s="6" t="str">
        <f>IFERROR(__xludf.DUMMYFUNCTION("""COMPUTED_VALUE"""),"Esta un poco nervioso porque esta en Bench. Espera que pronto surja un proyecto para poder participar. Ahora esta aprovechando a capacitarse y participar del desk.
Esta muy contento en Patagonian.
")</f>
        <v>Esta un poco nervioso porque esta en Bench. Espera que pronto surja un proyecto para poder participar. Ahora esta aprovechando a capacitarse y participar del desk.
Esta muy contento en Patagonian.
</v>
      </c>
      <c r="J304" s="4" t="str">
        <f>IFERROR(__xludf.DUMMYFUNCTION("""COMPUTED_VALUE"""),"PX|Referents|RRHH")</f>
        <v>PX|Referents|RRHH</v>
      </c>
    </row>
    <row r="305" hidden="1">
      <c r="A305" s="4">
        <f>IFERROR(__xludf.DUMMYFUNCTION("""COMPUTED_VALUE"""),272.0)</f>
        <v>272</v>
      </c>
      <c r="B305" s="4" t="str">
        <f>IFERROR(__xludf.DUMMYFUNCTION("""COMPUTED_VALUE"""),"santiago.grossi")</f>
        <v>santiago.grossi</v>
      </c>
      <c r="C305" s="5">
        <f>IFERROR(__xludf.DUMMYFUNCTION("""COMPUTED_VALUE"""),45106.490340717595)</f>
        <v>45106.49034</v>
      </c>
      <c r="D305" s="5">
        <f>IFERROR(__xludf.DUMMYFUNCTION("""COMPUTED_VALUE"""),45093.0)</f>
        <v>45093</v>
      </c>
      <c r="E305" s="4" t="str">
        <f>IFERROR(__xludf.DUMMYFUNCTION("""COMPUTED_VALUE"""),"micaela.zorzetto@patagoniansys.com")</f>
        <v>micaela.zorzetto@patagoniansys.com</v>
      </c>
      <c r="F305" s="4" t="str">
        <f>IFERROR(__xludf.DUMMYFUNCTION("""COMPUTED_VALUE"""),"santiago.grossi@patagoniansys.com")</f>
        <v>santiago.grossi@patagoniansys.com</v>
      </c>
      <c r="G305" s="4" t="str">
        <f>IFERROR(__xludf.DUMMYFUNCTION("""COMPUTED_VALUE"""),"⏱ One on One")</f>
        <v>⏱ One on One</v>
      </c>
      <c r="H305" s="4" t="str">
        <f>IFERROR(__xludf.DUMMYFUNCTION("""COMPUTED_VALUE"""),"🙂 Feliz")</f>
        <v>🙂 Feliz</v>
      </c>
      <c r="I305" s="6" t="str">
        <f>IFERROR(__xludf.DUMMYFUNCTION("""COMPUTED_VALUE"""),"
Hubo cambios en el proyecto, le estan dando más responsabilidades y desafíos. Esto le hace bien y se esta esforzando para estar al nivel que esperan de él.")</f>
        <v>
Hubo cambios en el proyecto, le estan dando más responsabilidades y desafíos. Esto le hace bien y se esta esforzando para estar al nivel que esperan de él.</v>
      </c>
      <c r="J305" s="4" t="str">
        <f>IFERROR(__xludf.DUMMYFUNCTION("""COMPUTED_VALUE"""),"PX|Referents|RRHH")</f>
        <v>PX|Referents|RRHH</v>
      </c>
    </row>
    <row r="306" hidden="1">
      <c r="A306" s="4">
        <f>IFERROR(__xludf.DUMMYFUNCTION("""COMPUTED_VALUE"""),241.0)</f>
        <v>241</v>
      </c>
      <c r="B306" s="4" t="str">
        <f>IFERROR(__xludf.DUMMYFUNCTION("""COMPUTED_VALUE"""),"stuard.romero")</f>
        <v>stuard.romero</v>
      </c>
      <c r="C306" s="5">
        <f>IFERROR(__xludf.DUMMYFUNCTION("""COMPUTED_VALUE"""),45097.53939423611)</f>
        <v>45097.53939</v>
      </c>
      <c r="D306" s="5">
        <f>IFERROR(__xludf.DUMMYFUNCTION("""COMPUTED_VALUE"""),45097.0)</f>
        <v>45097</v>
      </c>
      <c r="E306" s="4" t="str">
        <f>IFERROR(__xludf.DUMMYFUNCTION("""COMPUTED_VALUE"""),"daniela.morales@patagoniansys.com")</f>
        <v>daniela.morales@patagoniansys.com</v>
      </c>
      <c r="F306" s="4" t="str">
        <f>IFERROR(__xludf.DUMMYFUNCTION("""COMPUTED_VALUE"""),"stuard.romero@patagoniansys.com")</f>
        <v>stuard.romero@patagoniansys.com</v>
      </c>
      <c r="G306" s="4" t="str">
        <f>IFERROR(__xludf.DUMMYFUNCTION("""COMPUTED_VALUE"""),"⏱ One on One")</f>
        <v>⏱ One on One</v>
      </c>
      <c r="H306" s="4" t="str">
        <f>IFERROR(__xludf.DUMMYFUNCTION("""COMPUTED_VALUE"""),"🙂 Feliz")</f>
        <v>🙂 Feliz</v>
      </c>
      <c r="I306" s="6" t="str">
        <f>IFERROR(__xludf.DUMMYFUNCTION("""COMPUTED_VALUE"""),"Ha estado muy contento con el equipo y con el proyecto, le gusta mucho que su PM (jimena) integra mucho al equipo y busca formas de unirlos con juegos y actividades. Sin embargo, con la cliente han tenido ciertas dificultades en cuestiones de planificació"&amp;"n de tiempos, siente que está tenso el ambiente, nota ciertos roces entre la PM y el cliente cuando tienen reuniones de Demos. También me cuenta que en el equipo no conocen los cronogramas ni los requerimientos del cliente, solo le pasan las tareas en Jir"&amp;"a que debe hacer, sin tener una visión global del proyecto. ")</f>
        <v>Ha estado muy contento con el equipo y con el proyecto, le gusta mucho que su PM (jimena) integra mucho al equipo y busca formas de unirlos con juegos y actividades. Sin embargo, con la cliente han tenido ciertas dificultades en cuestiones de planificación de tiempos, siente que está tenso el ambiente, nota ciertos roces entre la PM y el cliente cuando tienen reuniones de Demos. También me cuenta que en el equipo no conocen los cronogramas ni los requerimientos del cliente, solo le pasan las tareas en Jira que debe hacer, sin tener una visión global del proyecto. </v>
      </c>
      <c r="J306" s="4" t="str">
        <f>IFERROR(__xludf.DUMMYFUNCTION("""COMPUTED_VALUE"""),"PX|Referents|RRHH")</f>
        <v>PX|Referents|RRHH</v>
      </c>
    </row>
    <row r="307" hidden="1">
      <c r="A307" s="4">
        <f>IFERROR(__xludf.DUMMYFUNCTION("""COMPUTED_VALUE"""),310.0)</f>
        <v>310</v>
      </c>
      <c r="B307" s="4" t="str">
        <f>IFERROR(__xludf.DUMMYFUNCTION("""COMPUTED_VALUE"""),"xosed.penaloza")</f>
        <v>xosed.penaloza</v>
      </c>
      <c r="C307" s="5">
        <f>IFERROR(__xludf.DUMMYFUNCTION("""COMPUTED_VALUE"""),45097.56254737268)</f>
        <v>45097.56255</v>
      </c>
      <c r="D307" s="5">
        <f>IFERROR(__xludf.DUMMYFUNCTION("""COMPUTED_VALUE"""),45097.0)</f>
        <v>45097</v>
      </c>
      <c r="E307" s="4" t="str">
        <f>IFERROR(__xludf.DUMMYFUNCTION("""COMPUTED_VALUE"""),"daniela.morales@patagoniansys.com")</f>
        <v>daniela.morales@patagoniansys.com</v>
      </c>
      <c r="F307" s="4" t="str">
        <f>IFERROR(__xludf.DUMMYFUNCTION("""COMPUTED_VALUE"""),"xosed.penaloza@patagoniansys.com")</f>
        <v>xosed.penaloza@patagoniansys.com</v>
      </c>
      <c r="G307" s="4" t="str">
        <f>IFERROR(__xludf.DUMMYFUNCTION("""COMPUTED_VALUE"""),"⏱ One on One")</f>
        <v>⏱ One on One</v>
      </c>
      <c r="H307" s="4" t="str">
        <f>IFERROR(__xludf.DUMMYFUNCTION("""COMPUTED_VALUE"""),"🙂 Feliz")</f>
        <v>🙂 Feliz</v>
      </c>
      <c r="I307" s="6" t="str">
        <f>IFERROR(__xludf.DUMMYFUNCTION("""COMPUTED_VALUE"""),"Está bien con el proyecto, ya sabe que va hasta este último mes y se siente tranquilo con estar en bench para poder estudiar más de otras tecnologías y también tomar días de descanso. ")</f>
        <v>Está bien con el proyecto, ya sabe que va hasta este último mes y se siente tranquilo con estar en bench para poder estudiar más de otras tecnologías y también tomar días de descanso. </v>
      </c>
      <c r="J307" s="4" t="str">
        <f>IFERROR(__xludf.DUMMYFUNCTION("""COMPUTED_VALUE"""),"PX|Referents|RRHH")</f>
        <v>PX|Referents|RRHH</v>
      </c>
    </row>
    <row r="308" hidden="1">
      <c r="A308" s="4">
        <f>IFERROR(__xludf.DUMMYFUNCTION("""COMPUTED_VALUE"""),149.0)</f>
        <v>149</v>
      </c>
      <c r="B308" s="4" t="str">
        <f>IFERROR(__xludf.DUMMYFUNCTION("""COMPUTED_VALUE"""),"jonatan.ordonez")</f>
        <v>jonatan.ordonez</v>
      </c>
      <c r="C308" s="5">
        <f>IFERROR(__xludf.DUMMYFUNCTION("""COMPUTED_VALUE"""),45097.737314432874)</f>
        <v>45097.73731</v>
      </c>
      <c r="D308" s="5">
        <f>IFERROR(__xludf.DUMMYFUNCTION("""COMPUTED_VALUE"""),45097.0)</f>
        <v>45097</v>
      </c>
      <c r="E308" s="4" t="str">
        <f>IFERROR(__xludf.DUMMYFUNCTION("""COMPUTED_VALUE"""),"daniela.morales@patagoniansys.com")</f>
        <v>daniela.morales@patagoniansys.com</v>
      </c>
      <c r="F308" s="4" t="str">
        <f>IFERROR(__xludf.DUMMYFUNCTION("""COMPUTED_VALUE"""),"jonatan.ordonez@patagoniansys.com")</f>
        <v>jonatan.ordonez@patagoniansys.com</v>
      </c>
      <c r="G308" s="4" t="str">
        <f>IFERROR(__xludf.DUMMYFUNCTION("""COMPUTED_VALUE"""),"⏱ One on One")</f>
        <v>⏱ One on One</v>
      </c>
      <c r="H308" s="4" t="str">
        <f>IFERROR(__xludf.DUMMYFUNCTION("""COMPUTED_VALUE"""),"😐 Indiferente")</f>
        <v>😐 Indiferente</v>
      </c>
      <c r="I308" s="6" t="str">
        <f>IFERROR(__xludf.DUMMYFUNCTION("""COMPUTED_VALUE"""),"Me cuenta que últimamente ha tenido más responsabilidades en el proyecto, ha tenido también más tareas y ha tomado un rol más de liderazgo y de estar presente con el proyecto, incluso trabajando los fines de semana. Se siente bastante desmotivado porque s"&amp;"iente que su compensación salarial no se ajusta con lo que está haciendo realmente. Desde hace aproximadamente 6 meses se está sintiendo así de incómodo por la compensación del proyecto. Me cuenta que se siente frustrado y un poco estancado porque previam"&amp;"ente había levantado esta situación y no se le había dado atención. ")</f>
        <v>Me cuenta que últimamente ha tenido más responsabilidades en el proyecto, ha tenido también más tareas y ha tomado un rol más de liderazgo y de estar presente con el proyecto, incluso trabajando los fines de semana. Se siente bastante desmotivado porque siente que su compensación salarial no se ajusta con lo que está haciendo realmente. Desde hace aproximadamente 6 meses se está sintiendo así de incómodo por la compensación del proyecto. Me cuenta que se siente frustrado y un poco estancado porque previamente había levantado esta situación y no se le había dado atención. </v>
      </c>
      <c r="J308" s="4" t="str">
        <f>IFERROR(__xludf.DUMMYFUNCTION("""COMPUTED_VALUE"""),"PX|Referents|RRHH")</f>
        <v>PX|Referents|RRHH</v>
      </c>
    </row>
    <row r="309">
      <c r="A309" s="4">
        <f>IFERROR(__xludf.DUMMYFUNCTION("""COMPUTED_VALUE"""),243.0)</f>
        <v>243</v>
      </c>
      <c r="B309" s="4" t="str">
        <f>IFERROR(__xludf.DUMMYFUNCTION("""COMPUTED_VALUE"""),"fernando.estevez")</f>
        <v>fernando.estevez</v>
      </c>
      <c r="C309" s="5">
        <f>IFERROR(__xludf.DUMMYFUNCTION("""COMPUTED_VALUE"""),45098.471982731484)</f>
        <v>45098.47198</v>
      </c>
      <c r="D309" s="5">
        <f>IFERROR(__xludf.DUMMYFUNCTION("""COMPUTED_VALUE"""),45098.0)</f>
        <v>45098</v>
      </c>
      <c r="E309" s="4" t="str">
        <f>IFERROR(__xludf.DUMMYFUNCTION("""COMPUTED_VALUE"""),"juan.calou@patagoniansys.com")</f>
        <v>juan.calou@patagoniansys.com</v>
      </c>
      <c r="F309" s="4" t="str">
        <f>IFERROR(__xludf.DUMMYFUNCTION("""COMPUTED_VALUE"""),"fernando.estevez@patagoniansys.com")</f>
        <v>fernando.estevez@patagoniansys.com</v>
      </c>
      <c r="G309" s="4" t="str">
        <f>IFERROR(__xludf.DUMMYFUNCTION("""COMPUTED_VALUE"""),"Initial gathering")</f>
        <v>Initial gathering</v>
      </c>
      <c r="H309" s="4"/>
      <c r="I309" s="6" t="str">
        <f>IFERROR(__xludf.DUMMYFUNCTION("""COMPUTED_VALUE"""),"- Interviewee e-Mail: fernando.estevez@patagoniansys.com
- Project name: Grapevine
- Project | Role: Frontend Developer
- Project | Description: Administrar proyectos de construccion. Una especie de Jira pero de algo de contruccion.
- Project | technologi"&amp;"es: React - material UI + PHP
- Happiness in project technology: 😀 Sumamente Feliz
- Project | The best/coolest thing: todo con material UI, documentacion
- Project | The worst thing: no sabe mucho PHP
- Team | TL: Jorge contreras
- Team | PX: Nati Aguir"&amp;"re
- Team | QA: 0
- Team | QA Automation: 🤔 No lo se
- Team | UI/UX: 0
- Team | UI/UX | Notes: hay diseño en figma pero no sabe si es de ellos
- Team | DevOps: 0
- Team | Data Engineer: 0")</f>
        <v>- Interviewee e-Mail: fernando.estevez@patagoniansys.com
- Project name: Grapevine
- Project | Role: Frontend Developer
- Project | Description: Administrar proyectos de construccion. Una especie de Jira pero de algo de contruccion.
- Project | technologies: React - material UI + PHP
- Happiness in project technology: 😀 Sumamente Feliz
- Project | The best/coolest thing: todo con material UI, documentacion
- Project | The worst thing: no sabe mucho PHP
- Team | TL: Jorge contreras
- Team | PX: Nati Aguirre
- Team | QA: 0
- Team | QA Automation: 🤔 No lo se
- Team | UI/UX: 0
- Team | UI/UX | Notes: hay diseño en figma pero no sabe si es de ellos
- Team | DevOps: 0
- Team | Data Engineer: 0</v>
      </c>
      <c r="J309" s="4" t="str">
        <f>IFERROR(__xludf.DUMMYFUNCTION("""COMPUTED_VALUE"""),"Tech Referent - Initial gathering")</f>
        <v>Tech Referent - Initial gathering</v>
      </c>
    </row>
    <row r="310" hidden="1">
      <c r="A310" s="4">
        <f>IFERROR(__xludf.DUMMYFUNCTION("""COMPUTED_VALUE"""),256.0)</f>
        <v>256</v>
      </c>
      <c r="B310" s="4" t="str">
        <f>IFERROR(__xludf.DUMMYFUNCTION("""COMPUTED_VALUE"""),"kevin.lopez")</f>
        <v>kevin.lopez</v>
      </c>
      <c r="C310" s="5">
        <f>IFERROR(__xludf.DUMMYFUNCTION("""COMPUTED_VALUE"""),45098.66315670138)</f>
        <v>45098.66316</v>
      </c>
      <c r="D310" s="5">
        <f>IFERROR(__xludf.DUMMYFUNCTION("""COMPUTED_VALUE"""),45098.0)</f>
        <v>45098</v>
      </c>
      <c r="E310" s="4" t="str">
        <f>IFERROR(__xludf.DUMMYFUNCTION("""COMPUTED_VALUE"""),"micaela.zorzetto@patagoniansys.com")</f>
        <v>micaela.zorzetto@patagoniansys.com</v>
      </c>
      <c r="F310" s="4" t="str">
        <f>IFERROR(__xludf.DUMMYFUNCTION("""COMPUTED_VALUE"""),"kevin.lopez@patagoniansys.com")</f>
        <v>kevin.lopez@patagoniansys.com</v>
      </c>
      <c r="G310" s="4" t="str">
        <f>IFERROR(__xludf.DUMMYFUNCTION("""COMPUTED_VALUE"""),"⏱ One on One")</f>
        <v>⏱ One on One</v>
      </c>
      <c r="H310" s="4" t="str">
        <f>IFERROR(__xludf.DUMMYFUNCTION("""COMPUTED_VALUE"""),"🙂 Feliz")</f>
        <v>🙂 Feliz</v>
      </c>
      <c r="I310" s="6" t="str">
        <f>IFERROR(__xludf.DUMMYFUNCTION("""COMPUTED_VALUE"""),"Hace unas semanas termino el proyecto en el que estaba, ahora esta en Bench. Se siente tranquilo y esta aprovechando la oportunidad para aprender y capacitarse. 
Esta colaborando en los desk, en la parte de Node y Mobile, y también está de soporte en un e"&amp;"quipo de la empresa que tiene un solo desallorador. 
Esta muy contento en Patagonian, le gusta la cultura.
")</f>
        <v>Hace unas semanas termino el proyecto en el que estaba, ahora esta en Bench. Se siente tranquilo y esta aprovechando la oportunidad para aprender y capacitarse. 
Esta colaborando en los desk, en la parte de Node y Mobile, y también está de soporte en un equipo de la empresa que tiene un solo desallorador. 
Esta muy contento en Patagonian, le gusta la cultura.
</v>
      </c>
      <c r="J310" s="4" t="str">
        <f>IFERROR(__xludf.DUMMYFUNCTION("""COMPUTED_VALUE"""),"PX|Referents|RRHH")</f>
        <v>PX|Referents|RRHH</v>
      </c>
    </row>
    <row r="311" hidden="1">
      <c r="A311" s="4">
        <f>IFERROR(__xludf.DUMMYFUNCTION("""COMPUTED_VALUE"""),136.0)</f>
        <v>136</v>
      </c>
      <c r="B311" s="4" t="str">
        <f>IFERROR(__xludf.DUMMYFUNCTION("""COMPUTED_VALUE"""),"freddy.orozco")</f>
        <v>freddy.orozco</v>
      </c>
      <c r="C311" s="5">
        <f>IFERROR(__xludf.DUMMYFUNCTION("""COMPUTED_VALUE"""),45098.71272974536)</f>
        <v>45098.71273</v>
      </c>
      <c r="D311" s="5">
        <f>IFERROR(__xludf.DUMMYFUNCTION("""COMPUTED_VALUE"""),45098.0)</f>
        <v>45098</v>
      </c>
      <c r="E311" s="4" t="str">
        <f>IFERROR(__xludf.DUMMYFUNCTION("""COMPUTED_VALUE"""),"daniela.morales@patagoniansys.com")</f>
        <v>daniela.morales@patagoniansys.com</v>
      </c>
      <c r="F311" s="4" t="str">
        <f>IFERROR(__xludf.DUMMYFUNCTION("""COMPUTED_VALUE"""),"freddy.orozco@patagoniansys.com")</f>
        <v>freddy.orozco@patagoniansys.com</v>
      </c>
      <c r="G311" s="4" t="str">
        <f>IFERROR(__xludf.DUMMYFUNCTION("""COMPUTED_VALUE"""),"⏱ One on One")</f>
        <v>⏱ One on One</v>
      </c>
      <c r="H311" s="4" t="str">
        <f>IFERROR(__xludf.DUMMYFUNCTION("""COMPUTED_VALUE"""),"😐 Indiferente")</f>
        <v>😐 Indiferente</v>
      </c>
      <c r="I311" s="6" t="str">
        <f>IFERROR(__xludf.DUMMYFUNCTION("""COMPUTED_VALUE"""),"En términos generales me dice que está bien con el proyecto, aunque ha sido bastante retador porque además de la tarea de programar también estaba el reto de hacer toda la parte de diseño. Me cuenta que el proyecto pudo ser mejor en temas de planeación in"&amp;"icial. Se siente bien con el equipo y siente apoyo. En el momento siente un poco de presión por parte del proyecto, temor a los retrasos y a los errores. Se siente un poco temeroso porque siente que no hay claridad con los proyectos futuros y no siente qu"&amp;"e se esté ubicando a las personas en proyectos que realmente se ajusten a sus skills. ")</f>
        <v>En términos generales me dice que está bien con el proyecto, aunque ha sido bastante retador porque además de la tarea de programar también estaba el reto de hacer toda la parte de diseño. Me cuenta que el proyecto pudo ser mejor en temas de planeación inicial. Se siente bien con el equipo y siente apoyo. En el momento siente un poco de presión por parte del proyecto, temor a los retrasos y a los errores. Se siente un poco temeroso porque siente que no hay claridad con los proyectos futuros y no siente que se esté ubicando a las personas en proyectos que realmente se ajusten a sus skills. </v>
      </c>
      <c r="J311" s="4" t="str">
        <f>IFERROR(__xludf.DUMMYFUNCTION("""COMPUTED_VALUE"""),"PX|Referents|RRHH")</f>
        <v>PX|Referents|RRHH</v>
      </c>
    </row>
    <row r="312" hidden="1">
      <c r="A312" s="4">
        <f>IFERROR(__xludf.DUMMYFUNCTION("""COMPUTED_VALUE"""),255.0)</f>
        <v>255</v>
      </c>
      <c r="B312" s="4" t="str">
        <f>IFERROR(__xludf.DUMMYFUNCTION("""COMPUTED_VALUE"""),"hubert.alfaro")</f>
        <v>hubert.alfaro</v>
      </c>
      <c r="C312" s="5">
        <f>IFERROR(__xludf.DUMMYFUNCTION("""COMPUTED_VALUE"""),45106.5667968287)</f>
        <v>45106.5668</v>
      </c>
      <c r="D312" s="5">
        <f>IFERROR(__xludf.DUMMYFUNCTION("""COMPUTED_VALUE"""),45098.0)</f>
        <v>45098</v>
      </c>
      <c r="E312" s="4" t="str">
        <f>IFERROR(__xludf.DUMMYFUNCTION("""COMPUTED_VALUE"""),"micaela.zorzetto@patagoniansys.com")</f>
        <v>micaela.zorzetto@patagoniansys.com</v>
      </c>
      <c r="F312" s="4" t="str">
        <f>IFERROR(__xludf.DUMMYFUNCTION("""COMPUTED_VALUE"""),"hubert.alfaro@patagoniansys.com")</f>
        <v>hubert.alfaro@patagoniansys.com</v>
      </c>
      <c r="G312" s="4" t="str">
        <f>IFERROR(__xludf.DUMMYFUNCTION("""COMPUTED_VALUE"""),"⏱ One on One")</f>
        <v>⏱ One on One</v>
      </c>
      <c r="H312" s="4" t="str">
        <f>IFERROR(__xludf.DUMMYFUNCTION("""COMPUTED_VALUE"""),"🙂 Feliz")</f>
        <v>🙂 Feliz</v>
      </c>
      <c r="I312" s="6" t="str">
        <f>IFERROR(__xludf.DUMMYFUNCTION("""COMPUTED_VALUE""")," Se siente a gusto en Patagonian, le gusta porque lo tienen en cuenta para diferentes actividades, como entrenar a los nestie, participar de los desk. Hace poco ingreso a un nuevo proycto luego de estar en bench. 
Esta realizando capacitaciones y aprendie"&amp;"ndo tecnología que no tenia conocimiento.")</f>
        <v> Se siente a gusto en Patagonian, le gusta porque lo tienen en cuenta para diferentes actividades, como entrenar a los nestie, participar de los desk. Hace poco ingreso a un nuevo proycto luego de estar en bench. 
Esta realizando capacitaciones y aprendiendo tecnología que no tenia conocimiento.</v>
      </c>
      <c r="J312" s="4" t="str">
        <f>IFERROR(__xludf.DUMMYFUNCTION("""COMPUTED_VALUE"""),"PX|Referents|RRHH")</f>
        <v>PX|Referents|RRHH</v>
      </c>
    </row>
    <row r="313" hidden="1">
      <c r="A313" s="4">
        <f>IFERROR(__xludf.DUMMYFUNCTION("""COMPUTED_VALUE"""),130.0)</f>
        <v>130</v>
      </c>
      <c r="B313" s="4" t="str">
        <f>IFERROR(__xludf.DUMMYFUNCTION("""COMPUTED_VALUE"""),"edgar.bonilla")</f>
        <v>edgar.bonilla</v>
      </c>
      <c r="C313" s="5">
        <f>IFERROR(__xludf.DUMMYFUNCTION("""COMPUTED_VALUE"""),45117.73421020833)</f>
        <v>45117.73421</v>
      </c>
      <c r="D313" s="5">
        <f>IFERROR(__xludf.DUMMYFUNCTION("""COMPUTED_VALUE"""),45098.0)</f>
        <v>45098</v>
      </c>
      <c r="E313" s="4" t="str">
        <f>IFERROR(__xludf.DUMMYFUNCTION("""COMPUTED_VALUE"""),"gonzalo.garro@patagoniansys.com")</f>
        <v>gonzalo.garro@patagoniansys.com</v>
      </c>
      <c r="F313" s="4" t="str">
        <f>IFERROR(__xludf.DUMMYFUNCTION("""COMPUTED_VALUE"""),"edgar.bonilla@patagoniansys.com")</f>
        <v>edgar.bonilla@patagoniansys.com</v>
      </c>
      <c r="G313" s="4" t="str">
        <f>IFERROR(__xludf.DUMMYFUNCTION("""COMPUTED_VALUE"""),"Leader - Specialist - One on one")</f>
        <v>Leader - Specialist - One on one</v>
      </c>
      <c r="H313" s="4" t="str">
        <f>IFERROR(__xludf.DUMMYFUNCTION("""COMPUTED_VALUE"""),"🙂 Feliz")</f>
        <v>🙂 Feliz</v>
      </c>
      <c r="I313" s="6" t="str">
        <f>IFERROR(__xludf.DUMMYFUNCTION("""COMPUTED_VALUE"""),"- No detecto alertas significativas. 
- Daniel cárdenas necesita más atención, más que nada porque al umno mobile la van a apagar. Esta como front Angular pero no le gusta mucho, el quiere hacer mobile. Esta contento con Patagonian. Le gustaría volver a m"&amp;"obile en el corto o mediano plazo. No manifiesta que esté pensando en cambiar, no esta aburrido.
- Tito parada. Le gustaría cerrar su ciclo en mBody, quedar como TL o para revisión. Le gustaría aprender como para ser arquitecto o cloud.
- Seguimiento medi"&amp;"a hora le parece bien, para la inicial 45 minutos.")</f>
        <v>- No detecto alertas significativas. 
- Daniel cárdenas necesita más atención, más que nada porque al umno mobile la van a apagar. Esta como front Angular pero no le gusta mucho, el quiere hacer mobile. Esta contento con Patagonian. Le gustaría volver a mobile en el corto o mediano plazo. No manifiesta que esté pensando en cambiar, no esta aburrido.
- Tito parada. Le gustaría cerrar su ciclo en mBody, quedar como TL o para revisión. Le gustaría aprender como para ser arquitecto o cloud.
- Seguimiento media hora le parece bien, para la inicial 45 minutos.</v>
      </c>
      <c r="J313" s="4" t="str">
        <f>IFERROR(__xludf.DUMMYFUNCTION("""COMPUTED_VALUE"""),"PX|Referents|RRHH")</f>
        <v>PX|Referents|RRHH</v>
      </c>
    </row>
    <row r="314">
      <c r="A314" s="4">
        <f>IFERROR(__xludf.DUMMYFUNCTION("""COMPUTED_VALUE"""),41.0)</f>
        <v>41</v>
      </c>
      <c r="B314" s="4" t="str">
        <f>IFERROR(__xludf.DUMMYFUNCTION("""COMPUTED_VALUE"""),"ezequiel.cortes")</f>
        <v>ezequiel.cortes</v>
      </c>
      <c r="C314" s="5">
        <f>IFERROR(__xludf.DUMMYFUNCTION("""COMPUTED_VALUE"""),45099.65161854167)</f>
        <v>45099.65162</v>
      </c>
      <c r="D314" s="5">
        <f>IFERROR(__xludf.DUMMYFUNCTION("""COMPUTED_VALUE"""),45099.0)</f>
        <v>45099</v>
      </c>
      <c r="E314" s="4" t="str">
        <f>IFERROR(__xludf.DUMMYFUNCTION("""COMPUTED_VALUE"""),"jorge.contreras@patagoniansys.com")</f>
        <v>jorge.contreras@patagoniansys.com</v>
      </c>
      <c r="F314" s="4" t="str">
        <f>IFERROR(__xludf.DUMMYFUNCTION("""COMPUTED_VALUE"""),"ezequiel.cortes@patagonian.com")</f>
        <v>ezequiel.cortes@patagonian.com</v>
      </c>
      <c r="G314" s="4" t="str">
        <f>IFERROR(__xludf.DUMMYFUNCTION("""COMPUTED_VALUE"""),"Referent One on One")</f>
        <v>Referent One on One</v>
      </c>
      <c r="H314" s="4"/>
      <c r="I314" s="6" t="str">
        <f>IFERROR(__xludf.DUMMYFUNCTION("""COMPUTED_VALUE"""),"- Interviewee e-Mail: ezequiel.cortes@patagonian.com
- Project Status Check: Overplay
- Project Changes | Notes: No, no hubo cambios, solo crecimiento
- Project Role | Feeling: 5
- Extra Work Hours | Amount: 0 (Ningúna)
- Techs | Research: Cosas de inteli"&amp;"gencia artificial
- Techs | Recomendations: Se recomiendan libros de psicología como ""Thinking, Fast and Slow"" como para manejar temas más personal o laboral que técnicos.
- Techs | Recomendations check: No
- Collaborator | Seniority: 👍 No, es correcto"&amp;"
- Alerts: Ninguna
- Project Needs / Oportunities: Por ahora, todo bien
- Project Techs | Learning: 1
- Techs | Research: 5
- Project Techs | Difficulty: 5
- Project Changes | Reasons: 🟰 No hubo cambios
- Project Changes | Personal Impact: 5
- Project Ro"&amp;"le | Value: 5
- Project role | Notes: Sigue en el mismo proyecto. Resuelto el tema de Admin JS con Mongoose, que era un tema de migración.")</f>
        <v>- Interviewee e-Mail: ezequiel.cortes@patagonian.com
- Project Status Check: Overplay
- Project Changes | Notes: No, no hubo cambios, solo crecimiento
- Project Role | Feeling: 5
- Extra Work Hours | Amount: 0 (Ningúna)
- Techs | Research: Cosas de inteligencia artificial
- Techs | Recomendations: Se recomiendan libros de psicología como "Thinking, Fast and Slow" como para manejar temas más personal o laboral que técnicos.
- Techs | Recomendations check: No
- Collaborator | Seniority: 👍 No, es correcto
- Alerts: Ninguna
- Project Needs / Oportunities: Por ahora, todo bien
- Project Techs | Learning: 1
- Techs | Research: 5
- Project Techs | Difficulty: 5
- Project Changes | Reasons: 🟰 No hubo cambios
- Project Changes | Personal Impact: 5
- Project Role | Value: 5
- Project role | Notes: Sigue en el mismo proyecto. Resuelto el tema de Admin JS con Mongoose, que era un tema de migración.</v>
      </c>
      <c r="J314" s="4" t="str">
        <f>IFERROR(__xludf.DUMMYFUNCTION("""COMPUTED_VALUE"""),"Tech Referent - OneOnOne")</f>
        <v>Tech Referent - OneOnOne</v>
      </c>
    </row>
    <row r="315">
      <c r="A315" s="4">
        <f>IFERROR(__xludf.DUMMYFUNCTION("""COMPUTED_VALUE"""),296.0)</f>
        <v>296</v>
      </c>
      <c r="B315" s="4" t="str">
        <f>IFERROR(__xludf.DUMMYFUNCTION("""COMPUTED_VALUE"""),"jefersson.galvez")</f>
        <v>jefersson.galvez</v>
      </c>
      <c r="C315" s="5">
        <f>IFERROR(__xludf.DUMMYFUNCTION("""COMPUTED_VALUE"""),45099.66506025463)</f>
        <v>45099.66506</v>
      </c>
      <c r="D315" s="5">
        <f>IFERROR(__xludf.DUMMYFUNCTION("""COMPUTED_VALUE"""),45099.0)</f>
        <v>45099</v>
      </c>
      <c r="E315" s="4" t="str">
        <f>IFERROR(__xludf.DUMMYFUNCTION("""COMPUTED_VALUE"""),"andres.bolocco@patagoniansys.com")</f>
        <v>andres.bolocco@patagoniansys.com</v>
      </c>
      <c r="F315" s="4" t="str">
        <f>IFERROR(__xludf.DUMMYFUNCTION("""COMPUTED_VALUE"""),"jefersson.galvez@patagoniansys.com")</f>
        <v>jefersson.galvez@patagoniansys.com</v>
      </c>
      <c r="G315" s="4" t="str">
        <f>IFERROR(__xludf.DUMMYFUNCTION("""COMPUTED_VALUE"""),"Initial gathering")</f>
        <v>Initial gathering</v>
      </c>
      <c r="H315" s="4"/>
      <c r="I315" s="6" t="str">
        <f>IFERROR(__xludf.DUMMYFUNCTION("""COMPUTED_VALUE"""),"- Interviewee e-Mail: jefersson.galvez@patagoniansys.com
- Project name: Halliburton
- Project | Role: Backend Developer, Frontend Developer
- Project | Description: no hay arquitecto ni TL ni DBA, el equipo se achicó de 8 a 1 y quedó solo Jefferson. ahor"&amp;"a estan estancados en el desarrollo de cara al cliente.
- Project | technologies: Typescript
- Happiness in project technology: 😀 Sumamente Feliz
- Happiness in project technology | Description: se presentó como desarrollador Node, y luego el proyecto ca"&amp;"mbió a Laravel, tuvo q hacer un curso, le gustó y aprendió PHP, luego cambiaron a NodeJS que le sirvió.
- Project | The best/coolest thing: nada, pero sí aprecia el reto de afrontar la parte de arquitectura sin TL ni arquitecto, proponiendo cosas nuevas e"&amp;" innovadores.
- Project | The worst thing: cosas pendientes por definir. el cambio a laravel sirvió para hacer un curso más
- Project | Improvements: falta personal, falta TL y tiene q dedicar tiempo a dar feedback a otros desarrolladores, y la falta de u"&amp;"n DBA.
- Team | TL: de Pata no quedó nadie, del lado del cliente está Eduardo Herere
- Team | PX: John Cubillo en Halliburton
- Team | QA: 2
- Team | QA Automation: 👎 No
- Team | QA | Notes: el team es de halli, la responsabilidad de testing está recayen"&amp;"do sobre los desarrolladores 
- Team | UI/UX: 5
- Team | UI/UX | Notes: sí, los UI/UX son de Patagonian, con un líder de CoPetrol
- Team | DevOps: 👀 Otra situación
- Team | DevOps | Notes: hay gente de devops de parte de halliburton, pero las tareas en d"&amp;"evops las están haciendo los desarrolladores tambien, con otras gestiones demoradas por parte de otros recursos devops halliburton, no tienen a nadie asignado full
- Team | Data Engineer: 0")</f>
        <v>- Interviewee e-Mail: jefersson.galvez@patagoniansys.com
- Project name: Halliburton
- Project | Role: Backend Developer, Frontend Developer
- Project | Description: no hay arquitecto ni TL ni DBA, el equipo se achicó de 8 a 1 y quedó solo Jefferson. ahora estan estancados en el desarrollo de cara al cliente.
- Project | technologies: Typescript
- Happiness in project technology: 😀 Sumamente Feliz
- Happiness in project technology | Description: se presentó como desarrollador Node, y luego el proyecto cambió a Laravel, tuvo q hacer un curso, le gustó y aprendió PHP, luego cambiaron a NodeJS que le sirvió.
- Project | The best/coolest thing: nada, pero sí aprecia el reto de afrontar la parte de arquitectura sin TL ni arquitecto, proponiendo cosas nuevas e innovadores.
- Project | The worst thing: cosas pendientes por definir. el cambio a laravel sirvió para hacer un curso más
- Project | Improvements: falta personal, falta TL y tiene q dedicar tiempo a dar feedback a otros desarrolladores, y la falta de un DBA.
- Team | TL: de Pata no quedó nadie, del lado del cliente está Eduardo Herere
- Team | PX: John Cubillo en Halliburton
- Team | QA: 2
- Team | QA Automation: 👎 No
- Team | QA | Notes: el team es de halli, la responsabilidad de testing está recayendo sobre los desarrolladores 
- Team | UI/UX: 5
- Team | UI/UX | Notes: sí, los UI/UX son de Patagonian, con un líder de CoPetrol
- Team | DevOps: 👀 Otra situación
- Team | DevOps | Notes: hay gente de devops de parte de halliburton, pero las tareas en devops las están haciendo los desarrolladores tambien, con otras gestiones demoradas por parte de otros recursos devops halliburton, no tienen a nadie asignado full
- Team | Data Engineer: 0</v>
      </c>
      <c r="J315" s="4" t="str">
        <f>IFERROR(__xludf.DUMMYFUNCTION("""COMPUTED_VALUE"""),"Tech Referent - Initial gathering")</f>
        <v>Tech Referent - Initial gathering</v>
      </c>
    </row>
    <row r="316" hidden="1">
      <c r="A316" s="4">
        <f>IFERROR(__xludf.DUMMYFUNCTION("""COMPUTED_VALUE"""),177.0)</f>
        <v>177</v>
      </c>
      <c r="B316" s="4" t="str">
        <f>IFERROR(__xludf.DUMMYFUNCTION("""COMPUTED_VALUE"""),"juan.marin")</f>
        <v>juan.marin</v>
      </c>
      <c r="C316" s="5">
        <f>IFERROR(__xludf.DUMMYFUNCTION("""COMPUTED_VALUE"""),45099.70915099537)</f>
        <v>45099.70915</v>
      </c>
      <c r="D316" s="5">
        <f>IFERROR(__xludf.DUMMYFUNCTION("""COMPUTED_VALUE"""),45099.0)</f>
        <v>45099</v>
      </c>
      <c r="E316" s="4" t="str">
        <f>IFERROR(__xludf.DUMMYFUNCTION("""COMPUTED_VALUE"""),"daniela.morales@patagoniansys.com")</f>
        <v>daniela.morales@patagoniansys.com</v>
      </c>
      <c r="F316" s="4" t="str">
        <f>IFERROR(__xludf.DUMMYFUNCTION("""COMPUTED_VALUE"""),"juan.marin@patagoniansys.com")</f>
        <v>juan.marin@patagoniansys.com</v>
      </c>
      <c r="G316" s="4" t="str">
        <f>IFERROR(__xludf.DUMMYFUNCTION("""COMPUTED_VALUE"""),"⏱ One on One")</f>
        <v>⏱ One on One</v>
      </c>
      <c r="H316" s="4" t="str">
        <f>IFERROR(__xludf.DUMMYFUNCTION("""COMPUTED_VALUE"""),"😐 Indiferente")</f>
        <v>😐 Indiferente</v>
      </c>
      <c r="I316" s="6" t="str">
        <f>IFERROR(__xludf.DUMMYFUNCTION("""COMPUTED_VALUE"""),"Me cuenta que en general está bastante bien, está certificándose en Kubernetes así que está gestionando más su tiempo. Se siente a gusto con su equipo y con su líder, aunque me cuenta que le gustaría tener un poco más de feedback técnico. Tiene interés en"&amp;" charlas de desarrollo personal sobre finanzas personales, no tiene claridad sobre quien es su PM en este momento. En general se encuentra bien con la empresa y con su grupo de trabajo, aunque me expresa que ha visto comentarios un poco machistas de parte"&amp;" de sus compañeros. ")</f>
        <v>Me cuenta que en general está bastante bien, está certificándose en Kubernetes así que está gestionando más su tiempo. Se siente a gusto con su equipo y con su líder, aunque me cuenta que le gustaría tener un poco más de feedback técnico. Tiene interés en charlas de desarrollo personal sobre finanzas personales, no tiene claridad sobre quien es su PM en este momento. En general se encuentra bien con la empresa y con su grupo de trabajo, aunque me expresa que ha visto comentarios un poco machistas de parte de sus compañeros. </v>
      </c>
      <c r="J316" s="4" t="str">
        <f>IFERROR(__xludf.DUMMYFUNCTION("""COMPUTED_VALUE"""),"PX|Referents|RRHH")</f>
        <v>PX|Referents|RRHH</v>
      </c>
    </row>
    <row r="317" hidden="1">
      <c r="A317" s="4">
        <f>IFERROR(__xludf.DUMMYFUNCTION("""COMPUTED_VALUE"""),204.0)</f>
        <v>204</v>
      </c>
      <c r="B317" s="4" t="str">
        <f>IFERROR(__xludf.DUMMYFUNCTION("""COMPUTED_VALUE"""),"luisa.fernandez")</f>
        <v>luisa.fernandez</v>
      </c>
      <c r="C317" s="5">
        <f>IFERROR(__xludf.DUMMYFUNCTION("""COMPUTED_VALUE"""),45099.75461994213)</f>
        <v>45099.75462</v>
      </c>
      <c r="D317" s="5">
        <f>IFERROR(__xludf.DUMMYFUNCTION("""COMPUTED_VALUE"""),45099.0)</f>
        <v>45099</v>
      </c>
      <c r="E317" s="4" t="str">
        <f>IFERROR(__xludf.DUMMYFUNCTION("""COMPUTED_VALUE"""),"daniela.morales@patagoniansys.com")</f>
        <v>daniela.morales@patagoniansys.com</v>
      </c>
      <c r="F317" s="4" t="str">
        <f>IFERROR(__xludf.DUMMYFUNCTION("""COMPUTED_VALUE"""),"luisa.fernandez@patagoniansys.com")</f>
        <v>luisa.fernandez@patagoniansys.com</v>
      </c>
      <c r="G317" s="4" t="str">
        <f>IFERROR(__xludf.DUMMYFUNCTION("""COMPUTED_VALUE"""),"⏱ One on One")</f>
        <v>⏱ One on One</v>
      </c>
      <c r="H317" s="4" t="str">
        <f>IFERROR(__xludf.DUMMYFUNCTION("""COMPUTED_VALUE"""),"🙂 Feliz")</f>
        <v>🙂 Feliz</v>
      </c>
      <c r="I317" s="6" t="str">
        <f>IFERROR(__xludf.DUMMYFUNCTION("""COMPUTED_VALUE"""),"En el momento está en un proyecto interno sobre datos apoyando a Marketing y Comunicaciones. En el momento no tiene un equipo de Devs, pero igual busca apoyo de otros compañeros. No le gusta el hecho de que no tiene personas con conocimientos técnicos alr"&amp;"ededor, ha tenido que ser muy autónoma con este proyecto interno, no tiene deadlines establecidos, los establece ella. En el momento siente que no hay claridad frente a los proyectos, que la comunicación no es muy fluida, varias personas le ofrecen las mi"&amp;"smas vacantes, tiene poca claridad de si le están buscando proyecto o no.    ")</f>
        <v>En el momento está en un proyecto interno sobre datos apoyando a Marketing y Comunicaciones. En el momento no tiene un equipo de Devs, pero igual busca apoyo de otros compañeros. No le gusta el hecho de que no tiene personas con conocimientos técnicos alrededor, ha tenido que ser muy autónoma con este proyecto interno, no tiene deadlines establecidos, los establece ella. En el momento siente que no hay claridad frente a los proyectos, que la comunicación no es muy fluida, varias personas le ofrecen las mismas vacantes, tiene poca claridad de si le están buscando proyecto o no.    </v>
      </c>
      <c r="J317" s="4" t="str">
        <f>IFERROR(__xludf.DUMMYFUNCTION("""COMPUTED_VALUE"""),"PX|Referents|RRHH")</f>
        <v>PX|Referents|RRHH</v>
      </c>
    </row>
    <row r="318" hidden="1">
      <c r="A318" s="4">
        <f>IFERROR(__xludf.DUMMYFUNCTION("""COMPUTED_VALUE"""),201.0)</f>
        <v>201</v>
      </c>
      <c r="B318" s="4" t="str">
        <f>IFERROR(__xludf.DUMMYFUNCTION("""COMPUTED_VALUE"""),"daniel.cardenas")</f>
        <v>daniel.cardenas</v>
      </c>
      <c r="C318" s="5">
        <f>IFERROR(__xludf.DUMMYFUNCTION("""COMPUTED_VALUE"""),45100.6004937963)</f>
        <v>45100.60049</v>
      </c>
      <c r="D318" s="5">
        <f>IFERROR(__xludf.DUMMYFUNCTION("""COMPUTED_VALUE"""),45100.0)</f>
        <v>45100</v>
      </c>
      <c r="E318" s="4" t="str">
        <f>IFERROR(__xludf.DUMMYFUNCTION("""COMPUTED_VALUE"""),"daniela.morales@patagoniansys.com")</f>
        <v>daniela.morales@patagoniansys.com</v>
      </c>
      <c r="F318" s="4" t="str">
        <f>IFERROR(__xludf.DUMMYFUNCTION("""COMPUTED_VALUE"""),"daniel.cardenas@patagoniansys.com")</f>
        <v>daniel.cardenas@patagoniansys.com</v>
      </c>
      <c r="G318" s="4" t="str">
        <f>IFERROR(__xludf.DUMMYFUNCTION("""COMPUTED_VALUE"""),"⏱ One on One")</f>
        <v>⏱ One on One</v>
      </c>
      <c r="H318" s="4" t="str">
        <f>IFERROR(__xludf.DUMMYFUNCTION("""COMPUTED_VALUE"""),"🙂 Feliz")</f>
        <v>🙂 Feliz</v>
      </c>
      <c r="I318" s="6" t="str">
        <f>IFERROR(__xludf.DUMMYFUNCTION("""COMPUTED_VALUE"""),"Me cuenta que en general se siente bastante bien con el proyecto, aunque últimamente han habido cambios en el proyecto y cuando debe trabajar con tecnologías que no maneja bien se siente un poco desmotivado/frustrado, en general ve la situación como un re"&amp;"to, por lo que tampoco le incomoda y está contento. Siente apoyo por parte de su equipo (tanto del proyecto, como de patagonian). ")</f>
        <v>Me cuenta que en general se siente bastante bien con el proyecto, aunque últimamente han habido cambios en el proyecto y cuando debe trabajar con tecnologías que no maneja bien se siente un poco desmotivado/frustrado, en general ve la situación como un reto, por lo que tampoco le incomoda y está contento. Siente apoyo por parte de su equipo (tanto del proyecto, como de patagonian). </v>
      </c>
      <c r="J318" s="4" t="str">
        <f>IFERROR(__xludf.DUMMYFUNCTION("""COMPUTED_VALUE"""),"PX|Referents|RRHH")</f>
        <v>PX|Referents|RRHH</v>
      </c>
    </row>
    <row r="319" hidden="1">
      <c r="A319" s="4">
        <f>IFERROR(__xludf.DUMMYFUNCTION("""COMPUTED_VALUE"""),82.0)</f>
        <v>82</v>
      </c>
      <c r="B319" s="4" t="str">
        <f>IFERROR(__xludf.DUMMYFUNCTION("""COMPUTED_VALUE"""),"juan.calou")</f>
        <v>juan.calou</v>
      </c>
      <c r="C319" s="5">
        <f>IFERROR(__xludf.DUMMYFUNCTION("""COMPUTED_VALUE"""),45100.60065630787)</f>
        <v>45100.60066</v>
      </c>
      <c r="D319" s="5">
        <f>IFERROR(__xludf.DUMMYFUNCTION("""COMPUTED_VALUE"""),45100.0)</f>
        <v>45100</v>
      </c>
      <c r="E319" s="4" t="str">
        <f>IFERROR(__xludf.DUMMYFUNCTION("""COMPUTED_VALUE"""),"marcela.benavides@patagoniansys.com")</f>
        <v>marcela.benavides@patagoniansys.com</v>
      </c>
      <c r="F319" s="4" t="str">
        <f>IFERROR(__xludf.DUMMYFUNCTION("""COMPUTED_VALUE"""),"juan.calou@patagoniansys.com")</f>
        <v>juan.calou@patagoniansys.com</v>
      </c>
      <c r="G319" s="4" t="str">
        <f>IFERROR(__xludf.DUMMYFUNCTION("""COMPUTED_VALUE"""),"⏱ One on One")</f>
        <v>⏱ One on One</v>
      </c>
      <c r="H319" s="4" t="str">
        <f>IFERROR(__xludf.DUMMYFUNCTION("""COMPUTED_VALUE"""),"🙂 Feliz")</f>
        <v>🙂 Feliz</v>
      </c>
      <c r="I319" s="6" t="str">
        <f>IFERROR(__xludf.DUMMYFUNCTION("""COMPUTED_VALUE"""),"Juan continua a gusto en el proyecto y con el cliente, menciona que ""siempre hay mucho por hacer"". Adicional se encuentra participando en Patagonian en el planteamiento del Career Path para desarrolladores y apoyando parte de ideas para llevar las entre"&amp;"vistas técnicas. ")</f>
        <v>Juan continua a gusto en el proyecto y con el cliente, menciona que "siempre hay mucho por hacer". Adicional se encuentra participando en Patagonian en el planteamiento del Career Path para desarrolladores y apoyando parte de ideas para llevar las entrevistas técnicas. </v>
      </c>
      <c r="J319" s="4" t="str">
        <f>IFERROR(__xludf.DUMMYFUNCTION("""COMPUTED_VALUE"""),"PX|Referents|RRHH")</f>
        <v>PX|Referents|RRHH</v>
      </c>
    </row>
    <row r="320" hidden="1">
      <c r="A320" s="4">
        <f>IFERROR(__xludf.DUMMYFUNCTION("""COMPUTED_VALUE"""),284.0)</f>
        <v>284</v>
      </c>
      <c r="B320" s="4" t="str">
        <f>IFERROR(__xludf.DUMMYFUNCTION("""COMPUTED_VALUE"""),"emmanuel.trassani")</f>
        <v>emmanuel.trassani</v>
      </c>
      <c r="C320" s="5">
        <f>IFERROR(__xludf.DUMMYFUNCTION("""COMPUTED_VALUE"""),45113.501237523145)</f>
        <v>45113.50124</v>
      </c>
      <c r="D320" s="5">
        <f>IFERROR(__xludf.DUMMYFUNCTION("""COMPUTED_VALUE"""),45100.0)</f>
        <v>45100</v>
      </c>
      <c r="E320" s="4" t="str">
        <f>IFERROR(__xludf.DUMMYFUNCTION("""COMPUTED_VALUE"""),"micaela.zorzetto@patagoniansys.com")</f>
        <v>micaela.zorzetto@patagoniansys.com</v>
      </c>
      <c r="F320" s="4" t="str">
        <f>IFERROR(__xludf.DUMMYFUNCTION("""COMPUTED_VALUE"""),"emmanuel.trassani@patagoniansys.com")</f>
        <v>emmanuel.trassani@patagoniansys.com</v>
      </c>
      <c r="G320" s="4" t="str">
        <f>IFERROR(__xludf.DUMMYFUNCTION("""COMPUTED_VALUE"""),"⏱ One on One")</f>
        <v>⏱ One on One</v>
      </c>
      <c r="H320" s="4" t="str">
        <f>IFERROR(__xludf.DUMMYFUNCTION("""COMPUTED_VALUE"""),"🙂 Feliz")</f>
        <v>🙂 Feliz</v>
      </c>
      <c r="I320" s="6" t="str">
        <f>IFERROR(__xludf.DUMMYFUNCTION("""COMPUTED_VALUE"""),"Emma se siente bien en el proyecto, tiene una muy buena relación con su compañero Mauri Lahitte. Ahora le estan asignando más responsabilidades, y se siente con confianza.
Esta yendo a clases de inglés, porque quiere mejorar, es uno de sus objetivos. ")</f>
        <v>Emma se siente bien en el proyecto, tiene una muy buena relación con su compañero Mauri Lahitte. Ahora le estan asignando más responsabilidades, y se siente con confianza.
Esta yendo a clases de inglés, porque quiere mejorar, es uno de sus objetivos. </v>
      </c>
      <c r="J320" s="4" t="str">
        <f>IFERROR(__xludf.DUMMYFUNCTION("""COMPUTED_VALUE"""),"PX|Referents|RRHH")</f>
        <v>PX|Referents|RRHH</v>
      </c>
    </row>
    <row r="321" hidden="1">
      <c r="A321" s="4">
        <f>IFERROR(__xludf.DUMMYFUNCTION("""COMPUTED_VALUE"""),106.0)</f>
        <v>106</v>
      </c>
      <c r="B321" s="4" t="str">
        <f>IFERROR(__xludf.DUMMYFUNCTION("""COMPUTED_VALUE"""),"natalia.martinez")</f>
        <v>natalia.martinez</v>
      </c>
      <c r="C321" s="5">
        <f>IFERROR(__xludf.DUMMYFUNCTION("""COMPUTED_VALUE"""),45113.50391636574)</f>
        <v>45113.50392</v>
      </c>
      <c r="D321" s="5">
        <f>IFERROR(__xludf.DUMMYFUNCTION("""COMPUTED_VALUE"""),45100.0)</f>
        <v>45100</v>
      </c>
      <c r="E321" s="4" t="str">
        <f>IFERROR(__xludf.DUMMYFUNCTION("""COMPUTED_VALUE"""),"micaela.zorzetto@patagoniansys.com")</f>
        <v>micaela.zorzetto@patagoniansys.com</v>
      </c>
      <c r="F321" s="4" t="str">
        <f>IFERROR(__xludf.DUMMYFUNCTION("""COMPUTED_VALUE"""),"natalia.martinez@patagoniansys.com")</f>
        <v>natalia.martinez@patagoniansys.com</v>
      </c>
      <c r="G321" s="4" t="str">
        <f>IFERROR(__xludf.DUMMYFUNCTION("""COMPUTED_VALUE"""),"⏱ One on One")</f>
        <v>⏱ One on One</v>
      </c>
      <c r="H321" s="4" t="str">
        <f>IFERROR(__xludf.DUMMYFUNCTION("""COMPUTED_VALUE"""),"😀 Sumamente Feliz")</f>
        <v>😀 Sumamente Feliz</v>
      </c>
      <c r="I321" s="6" t="str">
        <f>IFERROR(__xludf.DUMMYFUNCTION("""COMPUTED_VALUE"""),"Hoy en el proyecto esta mucho mas tranquila, luego del cambio de PM. 
Isa se adapto rapidamente al equipo y tiene otra manera de trabajar. 
Se siente bien en Patagonian y con el proyecto.")</f>
        <v>Hoy en el proyecto esta mucho mas tranquila, luego del cambio de PM. 
Isa se adapto rapidamente al equipo y tiene otra manera de trabajar. 
Se siente bien en Patagonian y con el proyecto.</v>
      </c>
      <c r="J321" s="4" t="str">
        <f>IFERROR(__xludf.DUMMYFUNCTION("""COMPUTED_VALUE"""),"PX|Referents|RRHH")</f>
        <v>PX|Referents|RRHH</v>
      </c>
    </row>
    <row r="322" hidden="1">
      <c r="A322" s="4">
        <f>IFERROR(__xludf.DUMMYFUNCTION("""COMPUTED_VALUE"""),149.0)</f>
        <v>149</v>
      </c>
      <c r="B322" s="4" t="str">
        <f>IFERROR(__xludf.DUMMYFUNCTION("""COMPUTED_VALUE"""),"jonatan.ordonez")</f>
        <v>jonatan.ordonez</v>
      </c>
      <c r="C322" s="5">
        <f>IFERROR(__xludf.DUMMYFUNCTION("""COMPUTED_VALUE"""),45114.56543603009)</f>
        <v>45114.56544</v>
      </c>
      <c r="D322" s="5">
        <f>IFERROR(__xludf.DUMMYFUNCTION("""COMPUTED_VALUE"""),45100.0)</f>
        <v>45100</v>
      </c>
      <c r="E322" s="4" t="str">
        <f>IFERROR(__xludf.DUMMYFUNCTION("""COMPUTED_VALUE"""),"maria.llano@patagoniansys.com")</f>
        <v>maria.llano@patagoniansys.com</v>
      </c>
      <c r="F322" s="4" t="str">
        <f>IFERROR(__xludf.DUMMYFUNCTION("""COMPUTED_VALUE"""),"jonatan.ordonez@patagoniansys.com")</f>
        <v>jonatan.ordonez@patagoniansys.com</v>
      </c>
      <c r="G322" s="4" t="str">
        <f>IFERROR(__xludf.DUMMYFUNCTION("""COMPUTED_VALUE"""),"⏱ One on One")</f>
        <v>⏱ One on One</v>
      </c>
      <c r="H322" s="4" t="str">
        <f>IFERROR(__xludf.DUMMYFUNCTION("""COMPUTED_VALUE"""),"🙂 Feliz")</f>
        <v>🙂 Feliz</v>
      </c>
      <c r="I322" s="6" t="str">
        <f>IFERROR(__xludf.DUMMYFUNCTION("""COMPUTED_VALUE"""),"Jonatan pidio una revision de seniority y aumento salarial. Lo cual ya se hizo efectivo por conveniencia de las partes: People, TL y PM.
Su seniority nuevo: SSR+ 
")</f>
        <v>Jonatan pidio una revision de seniority y aumento salarial. Lo cual ya se hizo efectivo por conveniencia de las partes: People, TL y PM.
Su seniority nuevo: SSR+ 
</v>
      </c>
      <c r="J322" s="4" t="str">
        <f>IFERROR(__xludf.DUMMYFUNCTION("""COMPUTED_VALUE"""),"PX|Referents|RRHH")</f>
        <v>PX|Referents|RRHH</v>
      </c>
    </row>
    <row r="323" hidden="1">
      <c r="A323" s="4">
        <f>IFERROR(__xludf.DUMMYFUNCTION("""COMPUTED_VALUE"""),282.0)</f>
        <v>282</v>
      </c>
      <c r="B323" s="4" t="str">
        <f>IFERROR(__xludf.DUMMYFUNCTION("""COMPUTED_VALUE"""),"julian.zambroni")</f>
        <v>julian.zambroni</v>
      </c>
      <c r="C323" s="5">
        <f>IFERROR(__xludf.DUMMYFUNCTION("""COMPUTED_VALUE"""),45114.56649629629)</f>
        <v>45114.5665</v>
      </c>
      <c r="D323" s="5">
        <f>IFERROR(__xludf.DUMMYFUNCTION("""COMPUTED_VALUE"""),45100.0)</f>
        <v>45100</v>
      </c>
      <c r="E323" s="4" t="str">
        <f>IFERROR(__xludf.DUMMYFUNCTION("""COMPUTED_VALUE"""),"maria.llano@patagoniansys.com")</f>
        <v>maria.llano@patagoniansys.com</v>
      </c>
      <c r="F323" s="4" t="str">
        <f>IFERROR(__xludf.DUMMYFUNCTION("""COMPUTED_VALUE"""),"julian.zambroni@patagoniansys.com")</f>
        <v>julian.zambroni@patagoniansys.com</v>
      </c>
      <c r="G323" s="4" t="str">
        <f>IFERROR(__xludf.DUMMYFUNCTION("""COMPUTED_VALUE"""),"⏱ One on One")</f>
        <v>⏱ One on One</v>
      </c>
      <c r="H323" s="4" t="str">
        <f>IFERROR(__xludf.DUMMYFUNCTION("""COMPUTED_VALUE"""),"🙂 Feliz")</f>
        <v>🙂 Feliz</v>
      </c>
      <c r="I323" s="6" t="str">
        <f>IFERROR(__xludf.DUMMYFUNCTION("""COMPUTED_VALUE"""),"Juli esta a gusto, esta contento y motivado. Se siente acompañado por el equipo en su crecimiento profesional. Le gustaria recibir mas feedback del TL. ")</f>
        <v>Juli esta a gusto, esta contento y motivado. Se siente acompañado por el equipo en su crecimiento profesional. Le gustaria recibir mas feedback del TL. </v>
      </c>
      <c r="J323" s="4" t="str">
        <f>IFERROR(__xludf.DUMMYFUNCTION("""COMPUTED_VALUE"""),"PX|Referents|RRHH")</f>
        <v>PX|Referents|RRHH</v>
      </c>
    </row>
    <row r="324" hidden="1">
      <c r="A324" s="4">
        <f>IFERROR(__xludf.DUMMYFUNCTION("""COMPUTED_VALUE"""),279.0)</f>
        <v>279</v>
      </c>
      <c r="B324" s="4" t="str">
        <f>IFERROR(__xludf.DUMMYFUNCTION("""COMPUTED_VALUE"""),"emerson.pereira")</f>
        <v>emerson.pereira</v>
      </c>
      <c r="C324" s="5">
        <f>IFERROR(__xludf.DUMMYFUNCTION("""COMPUTED_VALUE"""),45103.52977645834)</f>
        <v>45103.52978</v>
      </c>
      <c r="D324" s="5">
        <f>IFERROR(__xludf.DUMMYFUNCTION("""COMPUTED_VALUE"""),45103.0)</f>
        <v>45103</v>
      </c>
      <c r="E324" s="4" t="str">
        <f>IFERROR(__xludf.DUMMYFUNCTION("""COMPUTED_VALUE"""),"micaela.zorzetto@patagoniansys.com")</f>
        <v>micaela.zorzetto@patagoniansys.com</v>
      </c>
      <c r="F324" s="4" t="str">
        <f>IFERROR(__xludf.DUMMYFUNCTION("""COMPUTED_VALUE"""),"emerson.pereira@patagoniansys.com")</f>
        <v>emerson.pereira@patagoniansys.com</v>
      </c>
      <c r="G324" s="4" t="str">
        <f>IFERROR(__xludf.DUMMYFUNCTION("""COMPUTED_VALUE"""),"⏱ One on One")</f>
        <v>⏱ One on One</v>
      </c>
      <c r="H324" s="4" t="str">
        <f>IFERROR(__xludf.DUMMYFUNCTION("""COMPUTED_VALUE"""),"🙂 Feliz")</f>
        <v>🙂 Feliz</v>
      </c>
      <c r="I324" s="6" t="str">
        <f>IFERROR(__xludf.DUMMYFUNCTION("""COMPUTED_VALUE"""),"
En el proyecto se siente cómodo, de patagonian esta él solo en ese equipo del cliente. El cliente no usa scrum o jira, lo cual se complica a la hora de saber a quien consultarle por algún obstaculo que surge en el día a día.
Su Pm siempre esta atenta a r"&amp;"esponder cualquier consulta que tenga.
Se siente cómodo trabajando en Patagonian, le gusta que siempre estamos cerca y nos interesa mantentener la cercanía, eso le sorprendió porque es la primera vez que le pasa en una empresa.")</f>
        <v>
En el proyecto se siente cómodo, de patagonian esta él solo en ese equipo del cliente. El cliente no usa scrum o jira, lo cual se complica a la hora de saber a quien consultarle por algún obstaculo que surge en el día a día.
Su Pm siempre esta atenta a responder cualquier consulta que tenga.
Se siente cómodo trabajando en Patagonian, le gusta que siempre estamos cerca y nos interesa mantentener la cercanía, eso le sorprendió porque es la primera vez que le pasa en una empresa.</v>
      </c>
      <c r="J324" s="4" t="str">
        <f>IFERROR(__xludf.DUMMYFUNCTION("""COMPUTED_VALUE"""),"PX|Referents|RRHH")</f>
        <v>PX|Referents|RRHH</v>
      </c>
    </row>
    <row r="325" hidden="1">
      <c r="A325" s="4">
        <f>IFERROR(__xludf.DUMMYFUNCTION("""COMPUTED_VALUE"""),88.0)</f>
        <v>88</v>
      </c>
      <c r="B325" s="4" t="str">
        <f>IFERROR(__xludf.DUMMYFUNCTION("""COMPUTED_VALUE"""),"andres.bolocco")</f>
        <v>andres.bolocco</v>
      </c>
      <c r="C325" s="5">
        <f>IFERROR(__xludf.DUMMYFUNCTION("""COMPUTED_VALUE"""),45103.99370429398)</f>
        <v>45103.9937</v>
      </c>
      <c r="D325" s="5">
        <f>IFERROR(__xludf.DUMMYFUNCTION("""COMPUTED_VALUE"""),45103.0)</f>
        <v>45103</v>
      </c>
      <c r="E325" s="4" t="str">
        <f>IFERROR(__xludf.DUMMYFUNCTION("""COMPUTED_VALUE"""),"marcela.benavides@patagoniansys.com")</f>
        <v>marcela.benavides@patagoniansys.com</v>
      </c>
      <c r="F325" s="4" t="str">
        <f>IFERROR(__xludf.DUMMYFUNCTION("""COMPUTED_VALUE"""),"andres.bolocco@patagoniansys.com")</f>
        <v>andres.bolocco@patagoniansys.com</v>
      </c>
      <c r="G325" s="4" t="str">
        <f>IFERROR(__xludf.DUMMYFUNCTION("""COMPUTED_VALUE"""),"⏱ One on One")</f>
        <v>⏱ One on One</v>
      </c>
      <c r="H325" s="4" t="str">
        <f>IFERROR(__xludf.DUMMYFUNCTION("""COMPUTED_VALUE"""),"😀 Sumamente Feliz")</f>
        <v>😀 Sumamente Feliz</v>
      </c>
      <c r="I325" s="6" t="str">
        <f>IFERROR(__xludf.DUMMYFUNCTION("""COMPUTED_VALUE"""),"Ando se siente bien, tranquilo, considera que es un ""lujo de proyecto-Grapevine"". La carga de su rol en arquitectura viene bien. ")</f>
        <v>Ando se siente bien, tranquilo, considera que es un "lujo de proyecto-Grapevine". La carga de su rol en arquitectura viene bien. </v>
      </c>
      <c r="J325" s="4" t="str">
        <f>IFERROR(__xludf.DUMMYFUNCTION("""COMPUTED_VALUE"""),"PX|Referents|RRHH")</f>
        <v>PX|Referents|RRHH</v>
      </c>
    </row>
    <row r="326">
      <c r="A326" s="4">
        <f>IFERROR(__xludf.DUMMYFUNCTION("""COMPUTED_VALUE"""),234.0)</f>
        <v>234</v>
      </c>
      <c r="B326" s="4" t="str">
        <f>IFERROR(__xludf.DUMMYFUNCTION("""COMPUTED_VALUE"""),"matias.gudar")</f>
        <v>matias.gudar</v>
      </c>
      <c r="C326" s="5">
        <f>IFERROR(__xludf.DUMMYFUNCTION("""COMPUTED_VALUE"""),45104.4590775463)</f>
        <v>45104.45908</v>
      </c>
      <c r="D326" s="5">
        <f>IFERROR(__xludf.DUMMYFUNCTION("""COMPUTED_VALUE"""),45104.0)</f>
        <v>45104</v>
      </c>
      <c r="E326" s="4" t="str">
        <f>IFERROR(__xludf.DUMMYFUNCTION("""COMPUTED_VALUE"""),"martin.infante@patagoniansys.com")</f>
        <v>martin.infante@patagoniansys.com</v>
      </c>
      <c r="F326" s="4" t="str">
        <f>IFERROR(__xludf.DUMMYFUNCTION("""COMPUTED_VALUE"""),"matias.gudar@patagoniansys.com")</f>
        <v>matias.gudar@patagoniansys.com</v>
      </c>
      <c r="G326" s="4" t="str">
        <f>IFERROR(__xludf.DUMMYFUNCTION("""COMPUTED_VALUE"""),"Referent One on One")</f>
        <v>Referent One on One</v>
      </c>
      <c r="H326" s="4"/>
      <c r="I326" s="6" t="str">
        <f>IFERROR(__xludf.DUMMYFUNCTION("""COMPUTED_VALUE"""),"- Interviewee e-Mail: matias.gudar@patagoniansys.com
- Project Status Check: No hubo cambios. No necesita ayuda.
- Project Changes | Notes: Por el momento no lo afecto pero vamos a necesitas realizar un training para esta nueva persona.
- Project Role | F"&amp;"eeling: 4
- Extra Work Hours | Amount: 0 (Ningúna)
- Techs | Research: Empezo a utilizar copilot.
Repaso general de AWS para la certificacion.
- Techs | Certifications: snowflake hands on essentials
- Techs | Recomendations: https://aws.amazon.com/blogs/a"&amp;"rchitecture/
- Collaborator | Seniority: 👍 No, es correcto
- Project Techs | Learning: 0
- Techs | Research: 30
- Project Techs | Difficulty: 4
- Project Changes | Reasons: ⬆️ Aumento del equipo
- Project Changes | Personal Impact: 3
- Project Role | Val"&amp;"ue: 5
- Project role | Notes: Bien, pero es un poco molesto el hecho de probar nuevas tecnologias que claramente no aportan a nuestros casos de uso. A veces se hacen cosas que no aportan valor y se suele saber de antemano que no van a aportar valor pero e"&amp;"l cliente insiste en hacerlas de todos modos.")</f>
        <v>- Interviewee e-Mail: matias.gudar@patagoniansys.com
- Project Status Check: No hubo cambios. No necesita ayuda.
- Project Changes | Notes: Por el momento no lo afecto pero vamos a necesitas realizar un training para esta nueva persona.
- Project Role | Feeling: 4
- Extra Work Hours | Amount: 0 (Ningúna)
- Techs | Research: Empezo a utilizar copilot.
Repaso general de AWS para la certificacion.
- Techs | Certifications: snowflake hands on essentials
- Techs | Recomendations: https://aws.amazon.com/blogs/architecture/
- Collaborator | Seniority: 👍 No, es correcto
- Project Techs | Learning: 0
- Techs | Research: 30
- Project Techs | Difficulty: 4
- Project Changes | Reasons: ⬆️ Aumento del equipo
- Project Changes | Personal Impact: 3
- Project Role | Value: 5
- Project role | Notes: Bien, pero es un poco molesto el hecho de probar nuevas tecnologias que claramente no aportan a nuestros casos de uso. A veces se hacen cosas que no aportan valor y se suele saber de antemano que no van a aportar valor pero el cliente insiste en hacerlas de todos modos.</v>
      </c>
      <c r="J326" s="4" t="str">
        <f>IFERROR(__xludf.DUMMYFUNCTION("""COMPUTED_VALUE"""),"Tech Referent - OneOnOne")</f>
        <v>Tech Referent - OneOnOne</v>
      </c>
    </row>
    <row r="327">
      <c r="A327" s="4">
        <f>IFERROR(__xludf.DUMMYFUNCTION("""COMPUTED_VALUE"""),284.0)</f>
        <v>284</v>
      </c>
      <c r="B327" s="4" t="str">
        <f>IFERROR(__xludf.DUMMYFUNCTION("""COMPUTED_VALUE"""),"emmanuel.trassani")</f>
        <v>emmanuel.trassani</v>
      </c>
      <c r="C327" s="5">
        <f>IFERROR(__xludf.DUMMYFUNCTION("""COMPUTED_VALUE"""),45104.48987511574)</f>
        <v>45104.48988</v>
      </c>
      <c r="D327" s="5">
        <f>IFERROR(__xludf.DUMMYFUNCTION("""COMPUTED_VALUE"""),45104.0)</f>
        <v>45104</v>
      </c>
      <c r="E327" s="4" t="str">
        <f>IFERROR(__xludf.DUMMYFUNCTION("""COMPUTED_VALUE"""),"juan.calou@patagoniansys.com")</f>
        <v>juan.calou@patagoniansys.com</v>
      </c>
      <c r="F327" s="4" t="str">
        <f>IFERROR(__xludf.DUMMYFUNCTION("""COMPUTED_VALUE"""),"emmanuel.trassani@patagoniansys.com")</f>
        <v>emmanuel.trassani@patagoniansys.com</v>
      </c>
      <c r="G327" s="4" t="str">
        <f>IFERROR(__xludf.DUMMYFUNCTION("""COMPUTED_VALUE"""),"Referent One on One")</f>
        <v>Referent One on One</v>
      </c>
      <c r="H327" s="4"/>
      <c r="I327" s="6" t="str">
        <f>IFERROR(__xludf.DUMMYFUNCTION("""COMPUTED_VALUE"""),"- Interviewee e-Mail: emmanuel.trassani@patagoniansys.com
- Project Status Check: mismo proyecto misma gente. No hubo cambios
- Project Role | Feeling: 5
- Extra Work Hours | Amount: 0 (Ningúna)
- Techs | Research: me llama la atencion AWS.
- Collaborator"&amp;" | Seniority: 👍 No, es correcto
- Alerts: No detecto alertas, lo veo muy bien y motivado
- Final notes: Lo veo muy contento con su proyecto y con Patagonian. Esta muy motivado, aprendiendo cosas nuevas que le gustan y le interesan. El 18 de Julio tienen "&amp;"un lanzamiento de algo importante en Roku, esta motivado con eso.
- Project Techs | Learning: 8
- Project Techs | Difficulty: 4
- Project Changes | Reasons: 🟰 No hubo cambios
- Project Role | Value: 5
- Project role | Notes: estoy encasillado como front "&amp;"pero hago mas de back")</f>
        <v>- Interviewee e-Mail: emmanuel.trassani@patagoniansys.com
- Project Status Check: mismo proyecto misma gente. No hubo cambios
- Project Role | Feeling: 5
- Extra Work Hours | Amount: 0 (Ningúna)
- Techs | Research: me llama la atencion AWS.
- Collaborator | Seniority: 👍 No, es correcto
- Alerts: No detecto alertas, lo veo muy bien y motivado
- Final notes: Lo veo muy contento con su proyecto y con Patagonian. Esta muy motivado, aprendiendo cosas nuevas que le gustan y le interesan. El 18 de Julio tienen un lanzamiento de algo importante en Roku, esta motivado con eso.
- Project Techs | Learning: 8
- Project Techs | Difficulty: 4
- Project Changes | Reasons: 🟰 No hubo cambios
- Project Role | Value: 5
- Project role | Notes: estoy encasillado como front pero hago mas de back</v>
      </c>
      <c r="J327" s="4" t="str">
        <f>IFERROR(__xludf.DUMMYFUNCTION("""COMPUTED_VALUE"""),"Tech Referent - OneOnOne")</f>
        <v>Tech Referent - OneOnOne</v>
      </c>
    </row>
    <row r="328" hidden="1">
      <c r="A328" s="4">
        <f>IFERROR(__xludf.DUMMYFUNCTION("""COMPUTED_VALUE"""),220.0)</f>
        <v>220</v>
      </c>
      <c r="B328" s="4" t="str">
        <f>IFERROR(__xludf.DUMMYFUNCTION("""COMPUTED_VALUE"""),"andres.rudqvist")</f>
        <v>andres.rudqvist</v>
      </c>
      <c r="C328" s="5">
        <f>IFERROR(__xludf.DUMMYFUNCTION("""COMPUTED_VALUE"""),45104.58838725694)</f>
        <v>45104.58839</v>
      </c>
      <c r="D328" s="5">
        <f>IFERROR(__xludf.DUMMYFUNCTION("""COMPUTED_VALUE"""),45104.0)</f>
        <v>45104</v>
      </c>
      <c r="E328" s="4" t="str">
        <f>IFERROR(__xludf.DUMMYFUNCTION("""COMPUTED_VALUE"""),"daniela.morales@patagoniansys.com")</f>
        <v>daniela.morales@patagoniansys.com</v>
      </c>
      <c r="F328" s="4" t="str">
        <f>IFERROR(__xludf.DUMMYFUNCTION("""COMPUTED_VALUE"""),"andres.rudqvist@patagoniansys.com")</f>
        <v>andres.rudqvist@patagoniansys.com</v>
      </c>
      <c r="G328" s="4" t="str">
        <f>IFERROR(__xludf.DUMMYFUNCTION("""COMPUTED_VALUE"""),"⏱ One on One")</f>
        <v>⏱ One on One</v>
      </c>
      <c r="H328" s="4" t="str">
        <f>IFERROR(__xludf.DUMMYFUNCTION("""COMPUTED_VALUE"""),"😐 Indiferente")</f>
        <v>😐 Indiferente</v>
      </c>
      <c r="I328" s="6" t="str">
        <f>IFERROR(__xludf.DUMMYFUNCTION("""COMPUTED_VALUE"""),"Me cuenta que está tranquilo con el proyecto aunque es el único de Patagonian que está allí, me cuenta que siempre puede acudir al equipo en caso de tener dudas o cualquier cosa. Le gustaría que los beneficios de afteroffice o cumpleaños se den también pa"&amp;"ra quienes no van al cowork, este año no le llegó el detalle por su cumpleaños. Me pregunta también por la posibilidad de usar su presupuesto de capacitaciones en libros con información técnica que le son relevantes. ")</f>
        <v>Me cuenta que está tranquilo con el proyecto aunque es el único de Patagonian que está allí, me cuenta que siempre puede acudir al equipo en caso de tener dudas o cualquier cosa. Le gustaría que los beneficios de afteroffice o cumpleaños se den también para quienes no van al cowork, este año no le llegó el detalle por su cumpleaños. Me pregunta también por la posibilidad de usar su presupuesto de capacitaciones en libros con información técnica que le son relevantes. </v>
      </c>
      <c r="J328" s="4" t="str">
        <f>IFERROR(__xludf.DUMMYFUNCTION("""COMPUTED_VALUE"""),"PX|Referents|RRHH")</f>
        <v>PX|Referents|RRHH</v>
      </c>
    </row>
    <row r="329" hidden="1">
      <c r="A329" s="4">
        <f>IFERROR(__xludf.DUMMYFUNCTION("""COMPUTED_VALUE"""),183.0)</f>
        <v>183</v>
      </c>
      <c r="B329" s="4" t="str">
        <f>IFERROR(__xludf.DUMMYFUNCTION("""COMPUTED_VALUE"""),"santiago.avila")</f>
        <v>santiago.avila</v>
      </c>
      <c r="C329" s="5">
        <f>IFERROR(__xludf.DUMMYFUNCTION("""COMPUTED_VALUE"""),45104.60927421296)</f>
        <v>45104.60927</v>
      </c>
      <c r="D329" s="5">
        <f>IFERROR(__xludf.DUMMYFUNCTION("""COMPUTED_VALUE"""),45104.0)</f>
        <v>45104</v>
      </c>
      <c r="E329" s="4" t="str">
        <f>IFERROR(__xludf.DUMMYFUNCTION("""COMPUTED_VALUE"""),"jesica.petrauskas@patagoniansys.com")</f>
        <v>jesica.petrauskas@patagoniansys.com</v>
      </c>
      <c r="F329" s="4" t="str">
        <f>IFERROR(__xludf.DUMMYFUNCTION("""COMPUTED_VALUE"""),"santiago.avila@patagoniansys.com")</f>
        <v>santiago.avila@patagoniansys.com</v>
      </c>
      <c r="G329" s="4" t="str">
        <f>IFERROR(__xludf.DUMMYFUNCTION("""COMPUTED_VALUE"""),"⏱ One on One")</f>
        <v>⏱ One on One</v>
      </c>
      <c r="H329" s="4" t="str">
        <f>IFERROR(__xludf.DUMMYFUNCTION("""COMPUTED_VALUE"""),"🙂 Feliz")</f>
        <v>🙂 Feliz</v>
      </c>
      <c r="I329" s="6" t="str">
        <f>IFERROR(__xludf.DUMMYFUNCTION("""COMPUTED_VALUE"""),"Está contento con el proyecto de BFA, va a estar haciendo el curso que se pagó acá en Pata. No toma clases de inglés porque cuando inició no le parecieron buenas y luego no volvió a sumarse. En BFA no utilizan el inglés por lo que no ve que de momento lo "&amp;"necesite como herramienta.
Comenta que no tuvo buenas reuniones con el referente técnico, solo una hace mucho, otras canceladas o sin temas para tratar. Debido a eso no le ve sentido a esas reuniones. En lo que es la carrera si bien no hay un plan de carr"&amp;"era ( algo que considera que está bastante en falta ), le interesa ir para el lado de TL. Participó en algunas reuniones de TL pero tampoco le parece que le sirvan porque no son del todo productivas al no tener claros los temas que se tratan o sin mucho s"&amp;"entido las reuniones en si. ")</f>
        <v>Está contento con el proyecto de BFA, va a estar haciendo el curso que se pagó acá en Pata. No toma clases de inglés porque cuando inició no le parecieron buenas y luego no volvió a sumarse. En BFA no utilizan el inglés por lo que no ve que de momento lo necesite como herramienta.
Comenta que no tuvo buenas reuniones con el referente técnico, solo una hace mucho, otras canceladas o sin temas para tratar. Debido a eso no le ve sentido a esas reuniones. En lo que es la carrera si bien no hay un plan de carrera ( algo que considera que está bastante en falta ), le interesa ir para el lado de TL. Participó en algunas reuniones de TL pero tampoco le parece que le sirvan porque no son del todo productivas al no tener claros los temas que se tratan o sin mucho sentido las reuniones en si. </v>
      </c>
      <c r="J329" s="4" t="str">
        <f>IFERROR(__xludf.DUMMYFUNCTION("""COMPUTED_VALUE"""),"PX|Referents|RRHH")</f>
        <v>PX|Referents|RRHH</v>
      </c>
    </row>
    <row r="330">
      <c r="A330" s="4">
        <f>IFERROR(__xludf.DUMMYFUNCTION("""COMPUTED_VALUE"""),283.0)</f>
        <v>283</v>
      </c>
      <c r="B330" s="4" t="str">
        <f>IFERROR(__xludf.DUMMYFUNCTION("""COMPUTED_VALUE"""),"benjamin.bascary")</f>
        <v>benjamin.bascary</v>
      </c>
      <c r="C330" s="5">
        <f>IFERROR(__xludf.DUMMYFUNCTION("""COMPUTED_VALUE"""),45104.63105611111)</f>
        <v>45104.63106</v>
      </c>
      <c r="D330" s="5">
        <f>IFERROR(__xludf.DUMMYFUNCTION("""COMPUTED_VALUE"""),45104.0)</f>
        <v>45104</v>
      </c>
      <c r="E330" s="4" t="str">
        <f>IFERROR(__xludf.DUMMYFUNCTION("""COMPUTED_VALUE"""),"daniel.mansilla@patagoniansys.com")</f>
        <v>daniel.mansilla@patagoniansys.com</v>
      </c>
      <c r="F330" s="4" t="str">
        <f>IFERROR(__xludf.DUMMYFUNCTION("""COMPUTED_VALUE"""),"benjamin.bascary@patagonian.com")</f>
        <v>benjamin.bascary@patagonian.com</v>
      </c>
      <c r="G330" s="4" t="str">
        <f>IFERROR(__xludf.DUMMYFUNCTION("""COMPUTED_VALUE"""),"Referent One on One")</f>
        <v>Referent One on One</v>
      </c>
      <c r="H330" s="4"/>
      <c r="I330" s="6" t="str">
        <f>IFERROR(__xludf.DUMMYFUNCTION("""COMPUTED_VALUE"""),"- Interviewee e-Mail: benjamin.bascary@patagonian.com
- Project Status Check: No han habido muchas novedades. Hay cambios de estructura en el lado del cliente. Está muy tranquilo por el momento. Está aprovechando para estudiar.
- Project Changes | Notes: "&amp;"El cambio a nivel cliente provocó una merma en el desarrollo.
- Project Role | Feeling: 3
- Extra Work Hours | Amount: 0 (Ningúna)
- Techs | Research: NextJS 13. Serverless. FlutterFlow.
- Collaborator | Seniority: 👆 Si, es mayor al establecido
- Alerts:"&amp;" Nada para destacar.
- Project Needs / Oportunities: El proyecto no está aportando posibilidades reales de crecimiento y/o desafios que le permitan progresar demasiado.
- Project Techs | Learning: 32
- Techs | Research: 16
- Project Techs | Difficulty: 4
"&amp;"- Project Changes | Reasons: ⬆️ Aumento del equipo, Hubo un cambio de estructura en la parte del cleinte. Ingresó un QA.
- Project Changes | Personal Impact: 2
- Project Role | Value: 4
- Project role | Notes: Es el único dev y el conocimiento del proyect"&amp;"o no es tan sencillo de transferir.")</f>
        <v>- Interviewee e-Mail: benjamin.bascary@patagonian.com
- Project Status Check: No han habido muchas novedades. Hay cambios de estructura en el lado del cliente. Está muy tranquilo por el momento. Está aprovechando para estudiar.
- Project Changes | Notes: El cambio a nivel cliente provocó una merma en el desarrollo.
- Project Role | Feeling: 3
- Extra Work Hours | Amount: 0 (Ningúna)
- Techs | Research: NextJS 13. Serverless. FlutterFlow.
- Collaborator | Seniority: 👆 Si, es mayor al establecido
- Alerts: Nada para destacar.
- Project Needs / Oportunities: El proyecto no está aportando posibilidades reales de crecimiento y/o desafios que le permitan progresar demasiado.
- Project Techs | Learning: 32
- Techs | Research: 16
- Project Techs | Difficulty: 4
- Project Changes | Reasons: ⬆️ Aumento del equipo, Hubo un cambio de estructura en la parte del cleinte. Ingresó un QA.
- Project Changes | Personal Impact: 2
- Project Role | Value: 4
- Project role | Notes: Es el único dev y el conocimiento del proyecto no es tan sencillo de transferir.</v>
      </c>
      <c r="J330" s="4" t="str">
        <f>IFERROR(__xludf.DUMMYFUNCTION("""COMPUTED_VALUE"""),"Tech Referent - OneOnOne")</f>
        <v>Tech Referent - OneOnOne</v>
      </c>
    </row>
    <row r="331" hidden="1">
      <c r="A331" s="4">
        <f>IFERROR(__xludf.DUMMYFUNCTION("""COMPUTED_VALUE"""),230.0)</f>
        <v>230</v>
      </c>
      <c r="B331" s="4" t="str">
        <f>IFERROR(__xludf.DUMMYFUNCTION("""COMPUTED_VALUE"""),"jorge.contreras")</f>
        <v>jorge.contreras</v>
      </c>
      <c r="C331" s="5">
        <f>IFERROR(__xludf.DUMMYFUNCTION("""COMPUTED_VALUE"""),45104.78112206018)</f>
        <v>45104.78112</v>
      </c>
      <c r="D331" s="5">
        <f>IFERROR(__xludf.DUMMYFUNCTION("""COMPUTED_VALUE"""),45104.0)</f>
        <v>45104</v>
      </c>
      <c r="E331" s="4" t="str">
        <f>IFERROR(__xludf.DUMMYFUNCTION("""COMPUTED_VALUE"""),"natalia.aguirre@patagoniansys.com")</f>
        <v>natalia.aguirre@patagoniansys.com</v>
      </c>
      <c r="F331" s="4" t="str">
        <f>IFERROR(__xludf.DUMMYFUNCTION("""COMPUTED_VALUE"""),"jorge.contreras@patagoniansys.com")</f>
        <v>jorge.contreras@patagoniansys.com</v>
      </c>
      <c r="G331" s="4" t="str">
        <f>IFERROR(__xludf.DUMMYFUNCTION("""COMPUTED_VALUE"""),"⏱ One on One")</f>
        <v>⏱ One on One</v>
      </c>
      <c r="H331" s="4" t="str">
        <f>IFERROR(__xludf.DUMMYFUNCTION("""COMPUTED_VALUE"""),"😀 Sumamente Feliz")</f>
        <v>😀 Sumamente Feliz</v>
      </c>
      <c r="I331" s="6" t="str">
        <f>IFERROR(__xludf.DUMMYFUNCTION("""COMPUTED_VALUE"""),"Proyecto 1: Ready Build. Me gusta el trabajo y lo que viene adelante. Me gustaría tener mas feedback del cliente.  
Proyecto 2: Vista - Discovery . He podido manejar bien los tiempos en los 2 proyectos, sin embargo seria importante recordar que la asignac"&amp;"ión es parcial, horas puntales, me han agendado en bloques de 4 horas seguidas. ")</f>
        <v>Proyecto 1: Ready Build. Me gusta el trabajo y lo que viene adelante. Me gustaría tener mas feedback del cliente.  
Proyecto 2: Vista - Discovery . He podido manejar bien los tiempos en los 2 proyectos, sin embargo seria importante recordar que la asignación es parcial, horas puntales, me han agendado en bloques de 4 horas seguidas. </v>
      </c>
      <c r="J331" s="4" t="str">
        <f>IFERROR(__xludf.DUMMYFUNCTION("""COMPUTED_VALUE"""),"PX|Referents|RRHH")</f>
        <v>PX|Referents|RRHH</v>
      </c>
    </row>
    <row r="332" hidden="1">
      <c r="A332" s="4">
        <f>IFERROR(__xludf.DUMMYFUNCTION("""COMPUTED_VALUE"""),146.0)</f>
        <v>146</v>
      </c>
      <c r="B332" s="4" t="str">
        <f>IFERROR(__xludf.DUMMYFUNCTION("""COMPUTED_VALUE"""),"juan.martinezrios")</f>
        <v>juan.martinezrios</v>
      </c>
      <c r="C332" s="5">
        <f>IFERROR(__xludf.DUMMYFUNCTION("""COMPUTED_VALUE"""),45105.62200339121)</f>
        <v>45105.622</v>
      </c>
      <c r="D332" s="5">
        <f>IFERROR(__xludf.DUMMYFUNCTION("""COMPUTED_VALUE"""),45105.0)</f>
        <v>45105</v>
      </c>
      <c r="E332" s="4" t="str">
        <f>IFERROR(__xludf.DUMMYFUNCTION("""COMPUTED_VALUE"""),"tomas.bayley@patagoniansys.com")</f>
        <v>tomas.bayley@patagoniansys.com</v>
      </c>
      <c r="F332" s="4" t="str">
        <f>IFERROR(__xludf.DUMMYFUNCTION("""COMPUTED_VALUE"""),"juan.martinezrios@patagoniansys.com")</f>
        <v>juan.martinezrios@patagoniansys.com</v>
      </c>
      <c r="G332" s="4" t="str">
        <f>IFERROR(__xludf.DUMMYFUNCTION("""COMPUTED_VALUE"""),"⏱ One on One")</f>
        <v>⏱ One on One</v>
      </c>
      <c r="H332" s="4" t="str">
        <f>IFERROR(__xludf.DUMMYFUNCTION("""COMPUTED_VALUE"""),"🙂 Feliz")</f>
        <v>🙂 Feliz</v>
      </c>
      <c r="I332" s="6" t="str">
        <f>IFERROR(__xludf.DUMMYFUNCTION("""COMPUTED_VALUE"""),"Contento con su desempeño y muy conforme con patagonian, comenta que Almundo puede ser un poco desorganizado y que podria mejorar agregando sprint retrospectives ")</f>
        <v>Contento con su desempeño y muy conforme con patagonian, comenta que Almundo puede ser un poco desorganizado y que podria mejorar agregando sprint retrospectives </v>
      </c>
      <c r="J332" s="4" t="str">
        <f>IFERROR(__xludf.DUMMYFUNCTION("""COMPUTED_VALUE"""),"PX|Referents|RRHH")</f>
        <v>PX|Referents|RRHH</v>
      </c>
    </row>
    <row r="333" hidden="1">
      <c r="A333" s="4">
        <f>IFERROR(__xludf.DUMMYFUNCTION("""COMPUTED_VALUE"""),203.0)</f>
        <v>203</v>
      </c>
      <c r="B333" s="4" t="str">
        <f>IFERROR(__xludf.DUMMYFUNCTION("""COMPUTED_VALUE"""),"duverney.hernandez")</f>
        <v>duverney.hernandez</v>
      </c>
      <c r="C333" s="5">
        <f>IFERROR(__xludf.DUMMYFUNCTION("""COMPUTED_VALUE"""),45105.63853693287)</f>
        <v>45105.63854</v>
      </c>
      <c r="D333" s="5">
        <f>IFERROR(__xludf.DUMMYFUNCTION("""COMPUTED_VALUE"""),45105.0)</f>
        <v>45105</v>
      </c>
      <c r="E333" s="4" t="str">
        <f>IFERROR(__xludf.DUMMYFUNCTION("""COMPUTED_VALUE"""),"tomas.bayley@patagoniansys.com")</f>
        <v>tomas.bayley@patagoniansys.com</v>
      </c>
      <c r="F333" s="4" t="str">
        <f>IFERROR(__xludf.DUMMYFUNCTION("""COMPUTED_VALUE"""),"duverney.hernandez@patagoniansys.com")</f>
        <v>duverney.hernandez@patagoniansys.com</v>
      </c>
      <c r="G333" s="4" t="str">
        <f>IFERROR(__xludf.DUMMYFUNCTION("""COMPUTED_VALUE"""),"⏱ One on One")</f>
        <v>⏱ One on One</v>
      </c>
      <c r="H333" s="4" t="str">
        <f>IFERROR(__xludf.DUMMYFUNCTION("""COMPUTED_VALUE"""),"😀 Sumamente Feliz")</f>
        <v>😀 Sumamente Feliz</v>
      </c>
      <c r="I333" s="6" t="str">
        <f>IFERROR(__xludf.DUMMYFUNCTION("""COMPUTED_VALUE"""),"Muy contento con patagonian y con almundo comenta que tiene un espacio para proponer mejoras y se siente escuchado")</f>
        <v>Muy contento con patagonian y con almundo comenta que tiene un espacio para proponer mejoras y se siente escuchado</v>
      </c>
      <c r="J333" s="4" t="str">
        <f>IFERROR(__xludf.DUMMYFUNCTION("""COMPUTED_VALUE"""),"PX|Referents|RRHH")</f>
        <v>PX|Referents|RRHH</v>
      </c>
    </row>
    <row r="334">
      <c r="A334" s="4">
        <f>IFERROR(__xludf.DUMMYFUNCTION("""COMPUTED_VALUE"""),282.0)</f>
        <v>282</v>
      </c>
      <c r="B334" s="4" t="str">
        <f>IFERROR(__xludf.DUMMYFUNCTION("""COMPUTED_VALUE"""),"julian.zambroni")</f>
        <v>julian.zambroni</v>
      </c>
      <c r="C334" s="5">
        <f>IFERROR(__xludf.DUMMYFUNCTION("""COMPUTED_VALUE"""),45105.679021284726)</f>
        <v>45105.67902</v>
      </c>
      <c r="D334" s="5">
        <f>IFERROR(__xludf.DUMMYFUNCTION("""COMPUTED_VALUE"""),45105.0)</f>
        <v>45105</v>
      </c>
      <c r="E334" s="4" t="str">
        <f>IFERROR(__xludf.DUMMYFUNCTION("""COMPUTED_VALUE"""),"daniel.mansilla@patagoniansys.com")</f>
        <v>daniel.mansilla@patagoniansys.com</v>
      </c>
      <c r="F334" s="4" t="str">
        <f>IFERROR(__xludf.DUMMYFUNCTION("""COMPUTED_VALUE"""),"julian.zambroni@patagonian.com")</f>
        <v>julian.zambroni@patagonian.com</v>
      </c>
      <c r="G334" s="4" t="str">
        <f>IFERROR(__xludf.DUMMYFUNCTION("""COMPUTED_VALUE"""),"Referent One on One")</f>
        <v>Referent One on One</v>
      </c>
      <c r="H334" s="4"/>
      <c r="I334" s="6" t="str">
        <f>IFERROR(__xludf.DUMMYFUNCTION("""COMPUTED_VALUE"""),"- Interviewee e-Mail: julian.zambroni@patagonian.com
- Project Status Check: Principalmente estuvo trabajando en ajustes de UI y fixes varios. Bastante front. No tuvo inconvenientes.
- Project Changes | Notes: Los cambios que surgieron afectan positivamen"&amp;"te ya que agrega valor y calidad al trabajo.
- Project Role | Feeling: 4
- Extra Work Hours | Amount: 0 (Ningúna)
- Techs | Research: Por el momento no. Tiene la intención de capacitarse pero aún no ha decidido bien en qué.
- Collaborator | Seniority: 👍 "&amp;"No, es correcto
- Alerts: Nada importante para destacar.
- Final notes: Nada para comentar por el momento.
- Project Techs | Learning: 0
- Project Techs | Difficulty: 4
- Project Changes | Reasons: A raíz de un problema de seguridad, se puso sobre la mesa"&amp;" el tema de poner más atención y cuidado en temas de seguridad. Agregar validaciones.
- Project Changes | Personal Impact: 4
- Project Role | Value: 4
- Project role | Notes: Por lo general, no tiene tareas críticas aunque hace un aporte importante de cam"&amp;"bios, sobre todo por la cantidad.")</f>
        <v>- Interviewee e-Mail: julian.zambroni@patagonian.com
- Project Status Check: Principalmente estuvo trabajando en ajustes de UI y fixes varios. Bastante front. No tuvo inconvenientes.
- Project Changes | Notes: Los cambios que surgieron afectan positivamente ya que agrega valor y calidad al trabajo.
- Project Role | Feeling: 4
- Extra Work Hours | Amount: 0 (Ningúna)
- Techs | Research: Por el momento no. Tiene la intención de capacitarse pero aún no ha decidido bien en qué.
- Collaborator | Seniority: 👍 No, es correcto
- Alerts: Nada importante para destacar.
- Final notes: Nada para comentar por el momento.
- Project Techs | Learning: 0
- Project Techs | Difficulty: 4
- Project Changes | Reasons: A raíz de un problema de seguridad, se puso sobre la mesa el tema de poner más atención y cuidado en temas de seguridad. Agregar validaciones.
- Project Changes | Personal Impact: 4
- Project Role | Value: 4
- Project role | Notes: Por lo general, no tiene tareas críticas aunque hace un aporte importante de cambios, sobre todo por la cantidad.</v>
      </c>
      <c r="J334" s="4" t="str">
        <f>IFERROR(__xludf.DUMMYFUNCTION("""COMPUTED_VALUE"""),"Tech Referent - OneOnOne")</f>
        <v>Tech Referent - OneOnOne</v>
      </c>
    </row>
    <row r="335">
      <c r="A335" s="4">
        <f>IFERROR(__xludf.DUMMYFUNCTION("""COMPUTED_VALUE"""),310.0)</f>
        <v>310</v>
      </c>
      <c r="B335" s="4" t="str">
        <f>IFERROR(__xludf.DUMMYFUNCTION("""COMPUTED_VALUE"""),"xosed.penaloza")</f>
        <v>xosed.penaloza</v>
      </c>
      <c r="C335" s="5">
        <f>IFERROR(__xludf.DUMMYFUNCTION("""COMPUTED_VALUE"""),45105.681988749995)</f>
        <v>45105.68199</v>
      </c>
      <c r="D335" s="5">
        <f>IFERROR(__xludf.DUMMYFUNCTION("""COMPUTED_VALUE"""),45105.0)</f>
        <v>45105</v>
      </c>
      <c r="E335" s="4" t="str">
        <f>IFERROR(__xludf.DUMMYFUNCTION("""COMPUTED_VALUE"""),"andres.bolocco@patagoniansys.com")</f>
        <v>andres.bolocco@patagoniansys.com</v>
      </c>
      <c r="F335" s="4" t="str">
        <f>IFERROR(__xludf.DUMMYFUNCTION("""COMPUTED_VALUE"""),"xosed.penaloza@patagoniansys.com")</f>
        <v>xosed.penaloza@patagoniansys.com</v>
      </c>
      <c r="G335" s="4" t="str">
        <f>IFERROR(__xludf.DUMMYFUNCTION("""COMPUTED_VALUE"""),"Initial gathering")</f>
        <v>Initial gathering</v>
      </c>
      <c r="H335" s="4"/>
      <c r="I335" s="6" t="str">
        <f>IFERROR(__xludf.DUMMYFUNCTION("""COMPUTED_VALUE"""),"- Interviewee e-Mail: xosed.penaloza@patagoniansys.com
- Project name: Halliburton
- Project | Role: Backend Developer, Frontend Developer
- Project | Description: se alargó &gt;6 meses el release en producción del proyecto
- Project | technologies: Angular "&amp;"12 Typescript, PHP Laravel
- Happiness in project technology: 🙂 Feliz
- Happiness in project technology | Description: la performance era mala pq la app no estaba modularizada en angular, no se siguieron buenas prácticas.
- Project | The best/coolest thi"&amp;"ng: apredió un poco de Laravel, motor de búsqueda con Apache Solar
- Project | The worst thing: nada
- Project | Improvements: seguir las buenas practicas de angular, no habia tests unitarios, y el manejo de git no era correcto
- Team | TL: era del client"&amp;"e, Edwin
- Team | PX: era del cliente, en pata Sebas Charre
- Team | QA: 5+ (Más de 5)
- Team | QA Automation: 👍 Si
- Team | QA | Notes: el equipo QA es del cliente final Ecopetrol, estaban armando pruebas automatizadas, no lo lograron, pero casi todo qa"&amp;" manual
- Team | UI/UX: 1
- Team | UI/UX | Notes: el equipo UX tb era de Ecopetrol
- Team | DevOps: 1
- Team | DevOps | Notes: equipo de Halliburton Colombia
- Team | Data Engineer: 0")</f>
        <v>- Interviewee e-Mail: xosed.penaloza@patagoniansys.com
- Project name: Halliburton
- Project | Role: Backend Developer, Frontend Developer
- Project | Description: se alargó &gt;6 meses el release en producción del proyecto
- Project | technologies: Angular 12 Typescript, PHP Laravel
- Happiness in project technology: 🙂 Feliz
- Happiness in project technology | Description: la performance era mala pq la app no estaba modularizada en angular, no se siguieron buenas prácticas.
- Project | The best/coolest thing: apredió un poco de Laravel, motor de búsqueda con Apache Solar
- Project | The worst thing: nada
- Project | Improvements: seguir las buenas practicas de angular, no habia tests unitarios, y el manejo de git no era correcto
- Team | TL: era del cliente, Edwin
- Team | PX: era del cliente, en pata Sebas Charre
- Team | QA: 5+ (Más de 5)
- Team | QA Automation: 👍 Si
- Team | QA | Notes: el equipo QA es del cliente final Ecopetrol, estaban armando pruebas automatizadas, no lo lograron, pero casi todo qa manual
- Team | UI/UX: 1
- Team | UI/UX | Notes: el equipo UX tb era de Ecopetrol
- Team | DevOps: 1
- Team | DevOps | Notes: equipo de Halliburton Colombia
- Team | Data Engineer: 0</v>
      </c>
      <c r="J335" s="4" t="str">
        <f>IFERROR(__xludf.DUMMYFUNCTION("""COMPUTED_VALUE"""),"Tech Referent - Initial gathering")</f>
        <v>Tech Referent - Initial gathering</v>
      </c>
    </row>
    <row r="336" hidden="1">
      <c r="A336" s="4">
        <f>IFERROR(__xludf.DUMMYFUNCTION("""COMPUTED_VALUE"""),152.0)</f>
        <v>152</v>
      </c>
      <c r="B336" s="4" t="str">
        <f>IFERROR(__xludf.DUMMYFUNCTION("""COMPUTED_VALUE"""),"omar.fandino")</f>
        <v>omar.fandino</v>
      </c>
      <c r="C336" s="5">
        <f>IFERROR(__xludf.DUMMYFUNCTION("""COMPUTED_VALUE"""),45105.77515244213)</f>
        <v>45105.77515</v>
      </c>
      <c r="D336" s="5">
        <f>IFERROR(__xludf.DUMMYFUNCTION("""COMPUTED_VALUE"""),45105.0)</f>
        <v>45105</v>
      </c>
      <c r="E336" s="4" t="str">
        <f>IFERROR(__xludf.DUMMYFUNCTION("""COMPUTED_VALUE"""),"daniela.morales@patagoniansys.com")</f>
        <v>daniela.morales@patagoniansys.com</v>
      </c>
      <c r="F336" s="4" t="str">
        <f>IFERROR(__xludf.DUMMYFUNCTION("""COMPUTED_VALUE"""),"omar.fandino@patagoniansys.com")</f>
        <v>omar.fandino@patagoniansys.com</v>
      </c>
      <c r="G336" s="4" t="str">
        <f>IFERROR(__xludf.DUMMYFUNCTION("""COMPUTED_VALUE"""),"⏱ One on One")</f>
        <v>⏱ One on One</v>
      </c>
      <c r="H336" s="4" t="str">
        <f>IFERROR(__xludf.DUMMYFUNCTION("""COMPUTED_VALUE"""),"🙂 Feliz")</f>
        <v>🙂 Feliz</v>
      </c>
      <c r="I336" s="6" t="str">
        <f>IFERROR(__xludf.DUMMYFUNCTION("""COMPUTED_VALUE"""),"Se siente contento con el proyecto en el que está, está fortaleciendo mucho el tema del inglés, aunque me levanta el tema de la posibilidad de un aumento salarial. Se siente muy bien con el equipo, siempre puede acudir a ellos o a su especialista técnico."&amp;" ")</f>
        <v>Se siente contento con el proyecto en el que está, está fortaleciendo mucho el tema del inglés, aunque me levanta el tema de la posibilidad de un aumento salarial. Se siente muy bien con el equipo, siempre puede acudir a ellos o a su especialista técnico. </v>
      </c>
      <c r="J336" s="4" t="str">
        <f>IFERROR(__xludf.DUMMYFUNCTION("""COMPUTED_VALUE"""),"PX|Referents|RRHH")</f>
        <v>PX|Referents|RRHH</v>
      </c>
    </row>
    <row r="337" hidden="1">
      <c r="A337" s="4">
        <f>IFERROR(__xludf.DUMMYFUNCTION("""COMPUTED_VALUE"""),130.0)</f>
        <v>130</v>
      </c>
      <c r="B337" s="4" t="str">
        <f>IFERROR(__xludf.DUMMYFUNCTION("""COMPUTED_VALUE"""),"edgar.bonilla")</f>
        <v>edgar.bonilla</v>
      </c>
      <c r="C337" s="5">
        <f>IFERROR(__xludf.DUMMYFUNCTION("""COMPUTED_VALUE"""),45106.63334914352)</f>
        <v>45106.63335</v>
      </c>
      <c r="D337" s="5">
        <f>IFERROR(__xludf.DUMMYFUNCTION("""COMPUTED_VALUE"""),45106.0)</f>
        <v>45106</v>
      </c>
      <c r="E337" s="4" t="str">
        <f>IFERROR(__xludf.DUMMYFUNCTION("""COMPUTED_VALUE"""),"jesica.petrauskas@patagoniansys.com")</f>
        <v>jesica.petrauskas@patagoniansys.com</v>
      </c>
      <c r="F337" s="4" t="str">
        <f>IFERROR(__xludf.DUMMYFUNCTION("""COMPUTED_VALUE"""),"edgar.bonilla@patagoniansys.com")</f>
        <v>edgar.bonilla@patagoniansys.com</v>
      </c>
      <c r="G337" s="4" t="str">
        <f>IFERROR(__xludf.DUMMYFUNCTION("""COMPUTED_VALUE"""),"⏱ One on One")</f>
        <v>⏱ One on One</v>
      </c>
      <c r="H337" s="4" t="str">
        <f>IFERROR(__xludf.DUMMYFUNCTION("""COMPUTED_VALUE"""),"😐 Indiferente")</f>
        <v>😐 Indiferente</v>
      </c>
      <c r="I337" s="6" t="str">
        <f>IFERROR(__xludf.DUMMYFUNCTION("""COMPUTED_VALUE"""),"Se encuentra cómodo en BFA y el proyecto no es monótono aunque por el momento en que está pasando el cliente siente que hay un poco más de presión. Le cuesta encontrar un equilibrio entre la asignación de BFA y las demandas en iniciativas dentro de Patago"&amp;"nian, esto también dado porque en BFA hay cuestiones que cubrir más allá de los story points. No tiene pensado realizar capacitaciones durante el año, ya realizó la certificación de AWS, además en BFA hay capacitaciones internas a las que también asiste. "&amp;"
Inglés no considera que necesite tomar clases.")</f>
        <v>Se encuentra cómodo en BFA y el proyecto no es monótono aunque por el momento en que está pasando el cliente siente que hay un poco más de presión. Le cuesta encontrar un equilibrio entre la asignación de BFA y las demandas en iniciativas dentro de Patagonian, esto también dado porque en BFA hay cuestiones que cubrir más allá de los story points. No tiene pensado realizar capacitaciones durante el año, ya realizó la certificación de AWS, además en BFA hay capacitaciones internas a las que también asiste. 
Inglés no considera que necesite tomar clases.</v>
      </c>
      <c r="J337" s="4" t="str">
        <f>IFERROR(__xludf.DUMMYFUNCTION("""COMPUTED_VALUE"""),"PX|Referents|RRHH")</f>
        <v>PX|Referents|RRHH</v>
      </c>
    </row>
    <row r="338">
      <c r="A338" s="4">
        <f>IFERROR(__xludf.DUMMYFUNCTION("""COMPUTED_VALUE"""),152.0)</f>
        <v>152</v>
      </c>
      <c r="B338" s="4" t="str">
        <f>IFERROR(__xludf.DUMMYFUNCTION("""COMPUTED_VALUE"""),"omar.fandino")</f>
        <v>omar.fandino</v>
      </c>
      <c r="C338" s="5">
        <f>IFERROR(__xludf.DUMMYFUNCTION("""COMPUTED_VALUE"""),45106.64671907407)</f>
        <v>45106.64672</v>
      </c>
      <c r="D338" s="5">
        <f>IFERROR(__xludf.DUMMYFUNCTION("""COMPUTED_VALUE"""),45106.0)</f>
        <v>45106</v>
      </c>
      <c r="E338" s="4" t="str">
        <f>IFERROR(__xludf.DUMMYFUNCTION("""COMPUTED_VALUE"""),"gonzalo.garro@patagoniansys.com")</f>
        <v>gonzalo.garro@patagoniansys.com</v>
      </c>
      <c r="F338" s="4" t="str">
        <f>IFERROR(__xludf.DUMMYFUNCTION("""COMPUTED_VALUE"""),"omar.fandino@patagoniansys.com")</f>
        <v>omar.fandino@patagoniansys.com</v>
      </c>
      <c r="G338" s="4" t="str">
        <f>IFERROR(__xludf.DUMMYFUNCTION("""COMPUTED_VALUE"""),"Referent One on One")</f>
        <v>Referent One on One</v>
      </c>
      <c r="H338" s="4"/>
      <c r="I338" s="6" t="str">
        <f>IFERROR(__xludf.DUMMYFUNCTION("""COMPUTED_VALUE"""),"- Interviewee e-Mail: omar.fandino@patagoniansys.com
- Project Status Check: Sigue con la implementación del reemplazo de calendly, usando RRule.js, donde definen reglas para el calendario. El bug de conversify no le afectó directamente.
- Project Changes"&amp;" | Notes: Comenzaron con pre-plannings, aunque todavía no están puntuando los tickets en esa reunión y a el gustaría hacerlo. Jhonatan Ordonez ha tomado más responsabilidades y cargas.
- Project Role | Feeling: 4
- Extra Work Hours | Amount: 0 (Ningúna)
-"&amp;" Techs | Research: No, últimamente se enfoca en el trabajo y el tiempo libre lo usa para disfrutar de otras actividades.
- Collaborator | Seniority: 👍 No, es correcto
- Project Techs | Learning: 0
- Project Techs | Difficulty: 4
- Project Changes | Reaso"&amp;"ns: 🔀 Cambio de roles dentro del equipo, ⏱ Cambios en la forma de planificar las tareas y tiempos
- Project Changes | Personal Impact: 4
- Project Role | Value: 4
- Project role | Notes: Esta contento y conforme con las tareas.")</f>
        <v>- Interviewee e-Mail: omar.fandino@patagoniansys.com
- Project Status Check: Sigue con la implementación del reemplazo de calendly, usando RRule.js, donde definen reglas para el calendario. El bug de conversify no le afectó directamente.
- Project Changes | Notes: Comenzaron con pre-plannings, aunque todavía no están puntuando los tickets en esa reunión y a el gustaría hacerlo. Jhonatan Ordonez ha tomado más responsabilidades y cargas.
- Project Role | Feeling: 4
- Extra Work Hours | Amount: 0 (Ningúna)
- Techs | Research: No, últimamente se enfoca en el trabajo y el tiempo libre lo usa para disfrutar de otras actividades.
- Collaborator | Seniority: 👍 No, es correcto
- Project Techs | Learning: 0
- Project Techs | Difficulty: 4
- Project Changes | Reasons: 🔀 Cambio de roles dentro del equipo, ⏱ Cambios en la forma de planificar las tareas y tiempos
- Project Changes | Personal Impact: 4
- Project Role | Value: 4
- Project role | Notes: Esta contento y conforme con las tareas.</v>
      </c>
      <c r="J338" s="4" t="str">
        <f>IFERROR(__xludf.DUMMYFUNCTION("""COMPUTED_VALUE"""),"Tech Referent - OneOnOne")</f>
        <v>Tech Referent - OneOnOne</v>
      </c>
    </row>
    <row r="339">
      <c r="A339" s="4">
        <f>IFERROR(__xludf.DUMMYFUNCTION("""COMPUTED_VALUE"""),294.0)</f>
        <v>294</v>
      </c>
      <c r="B339" s="4" t="str">
        <f>IFERROR(__xludf.DUMMYFUNCTION("""COMPUTED_VALUE"""),"yhon.laverde")</f>
        <v>yhon.laverde</v>
      </c>
      <c r="C339" s="5">
        <f>IFERROR(__xludf.DUMMYFUNCTION("""COMPUTED_VALUE"""),45106.65240726852)</f>
        <v>45106.65241</v>
      </c>
      <c r="D339" s="5">
        <f>IFERROR(__xludf.DUMMYFUNCTION("""COMPUTED_VALUE"""),45106.0)</f>
        <v>45106</v>
      </c>
      <c r="E339" s="4" t="str">
        <f>IFERROR(__xludf.DUMMYFUNCTION("""COMPUTED_VALUE"""),"andres.bolocco@patagoniansys.com")</f>
        <v>andres.bolocco@patagoniansys.com</v>
      </c>
      <c r="F339" s="4" t="str">
        <f>IFERROR(__xludf.DUMMYFUNCTION("""COMPUTED_VALUE"""),"yhon.laverde@patagoniansys.com")</f>
        <v>yhon.laverde@patagoniansys.com</v>
      </c>
      <c r="G339" s="4" t="str">
        <f>IFERROR(__xludf.DUMMYFUNCTION("""COMPUTED_VALUE"""),"Initial gathering")</f>
        <v>Initial gathering</v>
      </c>
      <c r="H339" s="4"/>
      <c r="I339" s="6" t="str">
        <f>IFERROR(__xludf.DUMMYFUNCTION("""COMPUTED_VALUE"""),"- Interviewee e-Mail: yhon.laverde@patagoniansys.com
- Project name: Bench
- Project | Role: Backend Developer, Frontend Developer
- Project | Description: estuvo en Halliburton casi un año, pasó 1 semana en Sukarevicius pero hubo cambio de stack y quedó "&amp;"en bench
- Project | technologies: NestJS y Angular JS en Halliburton, y AngularJS en Sukarevicius
- Happiness in project technology: 😀 Sumamente Feliz
- Happiness in project technology | Description: aprendió bastante cosas técnicas y participar con cli"&amp;"entes complicados, toma de decisiones
- Project | The best/coolest thing: le pareció interesante el proyecto y el impacto que tendría, también le gustó enseñar lo que sabe de Angular a otros miembros del equipo. (no sabe contestar sobre el aspecto técnico"&amp;" del proyecto)
- Project | The worst thing: le pareció molesta la comunicación con el cliente y los requerimientos cambiantes. hubo un inesperado uso de Php y Laravel en halliburton pero luego se cambió de stack también.
- Project | Improvements: mejorarí"&amp;"a la comunicación entre cliente/negocio/diseñador, le parece que tenían que incluír a los desarrolladores. (no sabe contestar sobre el aspecto técnico del proyecto)
- Team | TL: 1 dev de ecopetrol
- Team | PX: 1 de Halliburton, pasaron 3 personas por ese "&amp;"rol, menciona a John Cubillos
- Team | QA: 2
- Team | QA Automation: 👍 Si
- Team | QA | Notes: no esta seguro pero dice que implementaron al final
- Team | UI/UX: 2
- Team | UI/UX | Notes: estaba Anto y Choi, luego rotaron al final, y Carlos Ruales de Ec"&amp;"opetrol
- Team | DevOps: 3
- Team | DevOps | Notes: confunde DevOps con PM/PO/ScrumMaster, luego de explicarle, recuerda q habia 2 de Halliburton y 1 de Ecopetrol manejando entornos e infraestructura
- Team | Data Engineer: 5+ (Más de 5)")</f>
        <v>- Interviewee e-Mail: yhon.laverde@patagoniansys.com
- Project name: Bench
- Project | Role: Backend Developer, Frontend Developer
- Project | Description: estuvo en Halliburton casi un año, pasó 1 semana en Sukarevicius pero hubo cambio de stack y quedó en bench
- Project | technologies: NestJS y Angular JS en Halliburton, y AngularJS en Sukarevicius
- Happiness in project technology: 😀 Sumamente Feliz
- Happiness in project technology | Description: aprendió bastante cosas técnicas y participar con clientes complicados, toma de decisiones
- Project | The best/coolest thing: le pareció interesante el proyecto y el impacto que tendría, también le gustó enseñar lo que sabe de Angular a otros miembros del equipo. (no sabe contestar sobre el aspecto técnico del proyecto)
- Project | The worst thing: le pareció molesta la comunicación con el cliente y los requerimientos cambiantes. hubo un inesperado uso de Php y Laravel en halliburton pero luego se cambió de stack también.
- Project | Improvements: mejoraría la comunicación entre cliente/negocio/diseñador, le parece que tenían que incluír a los desarrolladores. (no sabe contestar sobre el aspecto técnico del proyecto)
- Team | TL: 1 dev de ecopetrol
- Team | PX: 1 de Halliburton, pasaron 3 personas por ese rol, menciona a John Cubillos
- Team | QA: 2
- Team | QA Automation: 👍 Si
- Team | QA | Notes: no esta seguro pero dice que implementaron al final
- Team | UI/UX: 2
- Team | UI/UX | Notes: estaba Anto y Choi, luego rotaron al final, y Carlos Ruales de Ecopetrol
- Team | DevOps: 3
- Team | DevOps | Notes: confunde DevOps con PM/PO/ScrumMaster, luego de explicarle, recuerda q habia 2 de Halliburton y 1 de Ecopetrol manejando entornos e infraestructura
- Team | Data Engineer: 5+ (Más de 5)</v>
      </c>
      <c r="J339" s="4" t="str">
        <f>IFERROR(__xludf.DUMMYFUNCTION("""COMPUTED_VALUE"""),"Tech Referent - Initial gathering")</f>
        <v>Tech Referent - Initial gathering</v>
      </c>
    </row>
    <row r="340">
      <c r="A340" s="4">
        <f>IFERROR(__xludf.DUMMYFUNCTION("""COMPUTED_VALUE"""),174.0)</f>
        <v>174</v>
      </c>
      <c r="B340" s="4" t="str">
        <f>IFERROR(__xludf.DUMMYFUNCTION("""COMPUTED_VALUE"""),"federico.matos")</f>
        <v>federico.matos</v>
      </c>
      <c r="C340" s="5">
        <f>IFERROR(__xludf.DUMMYFUNCTION("""COMPUTED_VALUE"""),45106.68267062501)</f>
        <v>45106.68267</v>
      </c>
      <c r="D340" s="5">
        <f>IFERROR(__xludf.DUMMYFUNCTION("""COMPUTED_VALUE"""),45106.0)</f>
        <v>45106</v>
      </c>
      <c r="E340" s="4" t="str">
        <f>IFERROR(__xludf.DUMMYFUNCTION("""COMPUTED_VALUE"""),"eugenio.fioriti@patagoniansys.com")</f>
        <v>eugenio.fioriti@patagoniansys.com</v>
      </c>
      <c r="F340" s="4" t="str">
        <f>IFERROR(__xludf.DUMMYFUNCTION("""COMPUTED_VALUE"""),"federico.matos@patagoniansys.com")</f>
        <v>federico.matos@patagoniansys.com</v>
      </c>
      <c r="G340" s="4" t="str">
        <f>IFERROR(__xludf.DUMMYFUNCTION("""COMPUTED_VALUE"""),"Referent One on One")</f>
        <v>Referent One on One</v>
      </c>
      <c r="H340" s="4"/>
      <c r="I340" s="6" t="str">
        <f>IFERROR(__xludf.DUMMYFUNCTION("""COMPUTED_VALUE"""),"- Interviewee e-Mail: federico.matos@patagoniansys.com
- Project Status Check: Sigue en el diario con las mismas tareas. Se vienen cambios, por lo que hay algunos baches de liderazgo. No hace falta ayuda de momento. En julio va a empezar con algunas horas"&amp;" en otro proyecto llamado PST, 2 horas por día.
- Project Changes | Notes: Gustavo sabía filtrar los requerimientos que llegan al equipo. Ahora les llegan sin filtrar y es negativo el cambio en principio. El PM (Fede Peralta) debería poder encargarse.
- P"&amp;"roject Role | Feeling: 5
- Extra Work Hours | Amount: 0 (Ningúna)
- Techs | Research: Además de lo mencionado más arriba, ha visto Strappy CMS.
- Techs | Recomendations: Se le recomendó hacer uso de las cuentas de Udemy y Platzi de Patagonian para capacit"&amp;"arse.
- Collaborator | Seniority: 👍 No, es correcto
- Final notes: El colaborador comentó que sus compañeros de equipo sienten que les haría falta trabajar con compañeros más experimentados que influyan positivamente en su crecimiento. 
- Project Techs |"&amp;" Learning: 16
- Techs | Research: 6
- Project Techs | Difficulty: 5
- Project Changes | Reasons: ⬇️ Reducción del equipo, 🔀 Cambio de roles dentro del equipo, Momento de transición medio raro donde hay baches en el liderazgo del lado del cliente. La razó"&amp;"n es que se va Gustavo de RN.
- Project Changes | Personal Impact: 2
- Project Role | Value: 4
- Project role | Notes: -")</f>
        <v>- Interviewee e-Mail: federico.matos@patagoniansys.com
- Project Status Check: Sigue en el diario con las mismas tareas. Se vienen cambios, por lo que hay algunos baches de liderazgo. No hace falta ayuda de momento. En julio va a empezar con algunas horas en otro proyecto llamado PST, 2 horas por día.
- Project Changes | Notes: Gustavo sabía filtrar los requerimientos que llegan al equipo. Ahora les llegan sin filtrar y es negativo el cambio en principio. El PM (Fede Peralta) debería poder encargarse.
- Project Role | Feeling: 5
- Extra Work Hours | Amount: 0 (Ningúna)
- Techs | Research: Además de lo mencionado más arriba, ha visto Strappy CMS.
- Techs | Recomendations: Se le recomendó hacer uso de las cuentas de Udemy y Platzi de Patagonian para capacitarse.
- Collaborator | Seniority: 👍 No, es correcto
- Final notes: El colaborador comentó que sus compañeros de equipo sienten que les haría falta trabajar con compañeros más experimentados que influyan positivamente en su crecimiento. 
- Project Techs | Learning: 16
- Techs | Research: 6
- Project Techs | Difficulty: 5
- Project Changes | Reasons: ⬇️ Reducción del equipo, 🔀 Cambio de roles dentro del equipo, Momento de transición medio raro donde hay baches en el liderazgo del lado del cliente. La razón es que se va Gustavo de RN.
- Project Changes | Personal Impact: 2
- Project Role | Value: 4
- Project role | Notes: -</v>
      </c>
      <c r="J340" s="4" t="str">
        <f>IFERROR(__xludf.DUMMYFUNCTION("""COMPUTED_VALUE"""),"Tech Referent - OneOnOne")</f>
        <v>Tech Referent - OneOnOne</v>
      </c>
    </row>
    <row r="341">
      <c r="A341" s="4">
        <f>IFERROR(__xludf.DUMMYFUNCTION("""COMPUTED_VALUE"""),173.0)</f>
        <v>173</v>
      </c>
      <c r="B341" s="4" t="str">
        <f>IFERROR(__xludf.DUMMYFUNCTION("""COMPUTED_VALUE"""),"elias.caram")</f>
        <v>elias.caram</v>
      </c>
      <c r="C341" s="5">
        <f>IFERROR(__xludf.DUMMYFUNCTION("""COMPUTED_VALUE"""),45106.721733240745)</f>
        <v>45106.72173</v>
      </c>
      <c r="D341" s="5">
        <f>IFERROR(__xludf.DUMMYFUNCTION("""COMPUTED_VALUE"""),45106.0)</f>
        <v>45106</v>
      </c>
      <c r="E341" s="4" t="str">
        <f>IFERROR(__xludf.DUMMYFUNCTION("""COMPUTED_VALUE"""),"rodrigo.cibils@patagoniansys.com")</f>
        <v>rodrigo.cibils@patagoniansys.com</v>
      </c>
      <c r="F341" s="4" t="str">
        <f>IFERROR(__xludf.DUMMYFUNCTION("""COMPUTED_VALUE"""),"elias.caram@patagoniansys.com")</f>
        <v>elias.caram@patagoniansys.com</v>
      </c>
      <c r="G341" s="4" t="str">
        <f>IFERROR(__xludf.DUMMYFUNCTION("""COMPUTED_VALUE"""),"Referent One on One")</f>
        <v>Referent One on One</v>
      </c>
      <c r="H341" s="4"/>
      <c r="I341" s="6" t="str">
        <f>IFERROR(__xludf.DUMMYFUNCTION("""COMPUTED_VALUE"""),"- Interviewee e-Mail: elias.caram@patagoniansys.com
- Project Status Check: El proyecto que tenia asignado termino, paso a bench. El proyecto anterior finalizo todo bien y el cliente quedo satisfecho. Ahora esta en un proyecto interno de Wordpress de Pata"&amp;"gonian.
- Project Role | Feeling: 2
- Extra Work Hours | Amount: 0 (Ningúna)
- Techs | Research: Esta con un curso de IA (Prompt Engineering, uso de una IA ya preexistente)
- Techs | Recomendations: Le recomiendo leer o hacer algun cursito de ML en cuanto"&amp;" a saber como se componen las redes que despues se estan utilizando internamente, ya que sirve tener este conocimiento para poder pensar mejores formas de explotar los prompts y tal vez generar alguna idea no preexistente en este sentido.
- Collaborator |"&amp;" Seniority: 👍 No, es correcto
- Alerts: Se lo siente poco motivado por estar trabajando con una tecnologia con la cual no preferiria estar trabajando. El prefiere continuar para el lado de React Native. Ademas esta un poco preocupado por las implicancias"&amp;" de estar en bench.
- Project Needs / Oportunities: Si hay algun UX/UI o interesado en aprender en bench podria asignarse al proyecto interno en el cual esta trabajando ya que hace falta.
- Project Techs | Learning: 3
- Techs | Research: 3
- Project Techs"&amp;" | Difficulty: 3
- Project Changes | Reasons: El proyecto termino y paso a un proyecto interno de Bench.
- Project Changes | Personal Impact: 3
- Project Role | Value: 2
- Project role | Notes: Se siente mas comodo trabajando con React Native (en el proye"&amp;"cto actual esta usando WordPress, con el cual no tiene mucha experiencia y no le interesa tanto tampoco ir por ese lado, preferiria seguir con React Native).")</f>
        <v>- Interviewee e-Mail: elias.caram@patagoniansys.com
- Project Status Check: El proyecto que tenia asignado termino, paso a bench. El proyecto anterior finalizo todo bien y el cliente quedo satisfecho. Ahora esta en un proyecto interno de Wordpress de Patagonian.
- Project Role | Feeling: 2
- Extra Work Hours | Amount: 0 (Ningúna)
- Techs | Research: Esta con un curso de IA (Prompt Engineering, uso de una IA ya preexistente)
- Techs | Recomendations: Le recomiendo leer o hacer algun cursito de ML en cuanto a saber como se componen las redes que despues se estan utilizando internamente, ya que sirve tener este conocimiento para poder pensar mejores formas de explotar los prompts y tal vez generar alguna idea no preexistente en este sentido.
- Collaborator | Seniority: 👍 No, es correcto
- Alerts: Se lo siente poco motivado por estar trabajando con una tecnologia con la cual no preferiria estar trabajando. El prefiere continuar para el lado de React Native. Ademas esta un poco preocupado por las implicancias de estar en bench.
- Project Needs / Oportunities: Si hay algun UX/UI o interesado en aprender en bench podria asignarse al proyecto interno en el cual esta trabajando ya que hace falta.
- Project Techs | Learning: 3
- Techs | Research: 3
- Project Techs | Difficulty: 3
- Project Changes | Reasons: El proyecto termino y paso a un proyecto interno de Bench.
- Project Changes | Personal Impact: 3
- Project Role | Value: 2
- Project role | Notes: Se siente mas comodo trabajando con React Native (en el proyecto actual esta usando WordPress, con el cual no tiene mucha experiencia y no le interesa tanto tampoco ir por ese lado, preferiria seguir con React Native).</v>
      </c>
      <c r="J341" s="4" t="str">
        <f>IFERROR(__xludf.DUMMYFUNCTION("""COMPUTED_VALUE"""),"Tech Referent - OneOnOne")</f>
        <v>Tech Referent - OneOnOne</v>
      </c>
    </row>
    <row r="342" hidden="1">
      <c r="A342" s="4">
        <f>IFERROR(__xludf.DUMMYFUNCTION("""COMPUTED_VALUE"""),297.0)</f>
        <v>297</v>
      </c>
      <c r="B342" s="4" t="str">
        <f>IFERROR(__xludf.DUMMYFUNCTION("""COMPUTED_VALUE"""),"charly.palencia")</f>
        <v>charly.palencia</v>
      </c>
      <c r="C342" s="5">
        <f>IFERROR(__xludf.DUMMYFUNCTION("""COMPUTED_VALUE"""),45107.606702060184)</f>
        <v>45107.6067</v>
      </c>
      <c r="D342" s="5">
        <f>IFERROR(__xludf.DUMMYFUNCTION("""COMPUTED_VALUE"""),45106.0)</f>
        <v>45106</v>
      </c>
      <c r="E342" s="4" t="str">
        <f>IFERROR(__xludf.DUMMYFUNCTION("""COMPUTED_VALUE"""),"marcela.benavides@patagoniansys.com")</f>
        <v>marcela.benavides@patagoniansys.com</v>
      </c>
      <c r="F342" s="4" t="str">
        <f>IFERROR(__xludf.DUMMYFUNCTION("""COMPUTED_VALUE"""),"charly.palencia@patagoniansys.com")</f>
        <v>charly.palencia@patagoniansys.com</v>
      </c>
      <c r="G342" s="4" t="str">
        <f>IFERROR(__xludf.DUMMYFUNCTION("""COMPUTED_VALUE"""),"⏱ One on One")</f>
        <v>⏱ One on One</v>
      </c>
      <c r="H342" s="4" t="str">
        <f>IFERROR(__xludf.DUMMYFUNCTION("""COMPUTED_VALUE"""),"🙂 Feliz")</f>
        <v>🙂 Feliz</v>
      </c>
      <c r="I342" s="6" t="str">
        <f>IFERROR(__xludf.DUMMYFUNCTION("""COMPUTED_VALUE"""),"Ha venido funcionado su rol en medio tiempo. Va muy bien con el equipo y esta contento. ")</f>
        <v>Ha venido funcionado su rol en medio tiempo. Va muy bien con el equipo y esta contento. </v>
      </c>
      <c r="J342" s="4" t="str">
        <f>IFERROR(__xludf.DUMMYFUNCTION("""COMPUTED_VALUE"""),"PX|Referents|RRHH")</f>
        <v>PX|Referents|RRHH</v>
      </c>
    </row>
    <row r="343">
      <c r="A343" s="4">
        <f>IFERROR(__xludf.DUMMYFUNCTION("""COMPUTED_VALUE"""),154.0)</f>
        <v>154</v>
      </c>
      <c r="B343" s="4" t="str">
        <f>IFERROR(__xludf.DUMMYFUNCTION("""COMPUTED_VALUE"""),"esteban.camacho")</f>
        <v>esteban.camacho</v>
      </c>
      <c r="C343" s="5">
        <f>IFERROR(__xludf.DUMMYFUNCTION("""COMPUTED_VALUE"""),45117.73772878473)</f>
        <v>45117.73773</v>
      </c>
      <c r="D343" s="5">
        <f>IFERROR(__xludf.DUMMYFUNCTION("""COMPUTED_VALUE"""),45106.0)</f>
        <v>45106</v>
      </c>
      <c r="E343" s="4" t="str">
        <f>IFERROR(__xludf.DUMMYFUNCTION("""COMPUTED_VALUE"""),"gonzalo.garro@patagoniansys.com")</f>
        <v>gonzalo.garro@patagoniansys.com</v>
      </c>
      <c r="F343" s="4" t="str">
        <f>IFERROR(__xludf.DUMMYFUNCTION("""COMPUTED_VALUE"""),"esteban.camacho@patagoniansys.com")</f>
        <v>esteban.camacho@patagoniansys.com</v>
      </c>
      <c r="G343" s="4" t="str">
        <f>IFERROR(__xludf.DUMMYFUNCTION("""COMPUTED_VALUE"""),"Referent One on One")</f>
        <v>Referent One on One</v>
      </c>
      <c r="H343" s="4"/>
      <c r="I343" s="6" t="str">
        <f>IFERROR(__xludf.DUMMYFUNCTION("""COMPUTED_VALUE"""),"- Interviewee e-Mail: esteban.camacho@patagoniansys.com
- Project Status Check: Siguen con el MVP.
- Project Changes | Notes: De a poco le estan dando más responsabilidades. Ahora le han encargado la implementación de Checkmarx dentro del proyecto.
- Proj"&amp;"ect Role | Feeling: 3
- Extra Work Hours | Amount: 1 - 5 (Entre 1 y 5)
- Extra Work Hours | Reason: 🙋Decisión propia
- Collaborator | Seniority: 👍 No, es correcto
- Project Techs | Learning: 0
- Project Techs | Difficulty: 4
- Project Changes | Reasons:"&amp;" 🔀 Cambio de roles dentro del equipo
- Project Role | Value: 4
- Project role | Notes: Cambios en su rol, mas responsabilidades, le generan un poco de ""preocupacion"", pero ve positivos esos cambios.")</f>
        <v>- Interviewee e-Mail: esteban.camacho@patagoniansys.com
- Project Status Check: Siguen con el MVP.
- Project Changes | Notes: De a poco le estan dando más responsabilidades. Ahora le han encargado la implementación de Checkmarx dentro del proyecto.
- Project Role | Feeling: 3
- Extra Work Hours | Amount: 1 - 5 (Entre 1 y 5)
- Extra Work Hours | Reason: 🙋Decisión propia
- Collaborator | Seniority: 👍 No, es correcto
- Project Techs | Learning: 0
- Project Techs | Difficulty: 4
- Project Changes | Reasons: 🔀 Cambio de roles dentro del equipo
- Project Role | Value: 4
- Project role | Notes: Cambios en su rol, mas responsabilidades, le generan un poco de "preocupacion", pero ve positivos esos cambios.</v>
      </c>
      <c r="J343" s="4" t="str">
        <f>IFERROR(__xludf.DUMMYFUNCTION("""COMPUTED_VALUE"""),"Tech Referent - OneOnOne")</f>
        <v>Tech Referent - OneOnOne</v>
      </c>
    </row>
    <row r="344" hidden="1">
      <c r="A344" s="4">
        <f>IFERROR(__xludf.DUMMYFUNCTION("""COMPUTED_VALUE"""),167.0)</f>
        <v>167</v>
      </c>
      <c r="B344" s="4" t="str">
        <f>IFERROR(__xludf.DUMMYFUNCTION("""COMPUTED_VALUE"""),"rodrigo.cibils")</f>
        <v>rodrigo.cibils</v>
      </c>
      <c r="C344" s="5">
        <f>IFERROR(__xludf.DUMMYFUNCTION("""COMPUTED_VALUE"""),45117.741766701394)</f>
        <v>45117.74177</v>
      </c>
      <c r="D344" s="5">
        <f>IFERROR(__xludf.DUMMYFUNCTION("""COMPUTED_VALUE"""),45106.0)</f>
        <v>45106</v>
      </c>
      <c r="E344" s="4" t="str">
        <f>IFERROR(__xludf.DUMMYFUNCTION("""COMPUTED_VALUE"""),"gonzalo.garro@patagoniansys.com")</f>
        <v>gonzalo.garro@patagoniansys.com</v>
      </c>
      <c r="F344" s="4" t="str">
        <f>IFERROR(__xludf.DUMMYFUNCTION("""COMPUTED_VALUE"""),"rodrigo.cibils@patagoniansys.com")</f>
        <v>rodrigo.cibils@patagoniansys.com</v>
      </c>
      <c r="G344" s="4" t="str">
        <f>IFERROR(__xludf.DUMMYFUNCTION("""COMPUTED_VALUE"""),"Leader - Specialist - One on one")</f>
        <v>Leader - Specialist - One on one</v>
      </c>
      <c r="H344" s="4" t="str">
        <f>IFERROR(__xludf.DUMMYFUNCTION("""COMPUTED_VALUE"""),"🙂 Feliz")</f>
        <v>🙂 Feliz</v>
      </c>
      <c r="I344" s="6" t="str">
        <f>IFERROR(__xludf.DUMMYFUNCTION("""COMPUTED_VALUE"""),"Rodri está conforme con el proceso y no le parece carga significativa ser parte del él. Actualmente solo tiene una asignación.
Su única asignación no es 100% mobile, si no mas bien full stack, pero esta de acuerdo con seguir siendo su referente.
Le gustar"&amp;"ía tener mas asignaciones, actualmente estamos falta de gente mobile.")</f>
        <v>Rodri está conforme con el proceso y no le parece carga significativa ser parte del él. Actualmente solo tiene una asignación.
Su única asignación no es 100% mobile, si no mas bien full stack, pero esta de acuerdo con seguir siendo su referente.
Le gustaría tener mas asignaciones, actualmente estamos falta de gente mobile.</v>
      </c>
      <c r="J344" s="4" t="str">
        <f>IFERROR(__xludf.DUMMYFUNCTION("""COMPUTED_VALUE"""),"PX|Referents|RRHH")</f>
        <v>PX|Referents|RRHH</v>
      </c>
    </row>
    <row r="345" hidden="1">
      <c r="A345" s="4">
        <f>IFERROR(__xludf.DUMMYFUNCTION("""COMPUTED_VALUE"""),250.0)</f>
        <v>250</v>
      </c>
      <c r="B345" s="4" t="str">
        <f>IFERROR(__xludf.DUMMYFUNCTION("""COMPUTED_VALUE"""),"antonella.godoy")</f>
        <v>antonella.godoy</v>
      </c>
      <c r="C345" s="5">
        <f>IFERROR(__xludf.DUMMYFUNCTION("""COMPUTED_VALUE"""),45107.72736783565)</f>
        <v>45107.72737</v>
      </c>
      <c r="D345" s="5">
        <f>IFERROR(__xludf.DUMMYFUNCTION("""COMPUTED_VALUE"""),45107.0)</f>
        <v>45107</v>
      </c>
      <c r="E345" s="4" t="str">
        <f>IFERROR(__xludf.DUMMYFUNCTION("""COMPUTED_VALUE"""),"sebastian.charre@patagoniansys.com")</f>
        <v>sebastian.charre@patagoniansys.com</v>
      </c>
      <c r="F345" s="4" t="str">
        <f>IFERROR(__xludf.DUMMYFUNCTION("""COMPUTED_VALUE"""),"antonella.godoy@patagoniansys.com")</f>
        <v>antonella.godoy@patagoniansys.com</v>
      </c>
      <c r="G345" s="4" t="str">
        <f>IFERROR(__xludf.DUMMYFUNCTION("""COMPUTED_VALUE"""),"⏱ One on One")</f>
        <v>⏱ One on One</v>
      </c>
      <c r="H345" s="4" t="str">
        <f>IFERROR(__xludf.DUMMYFUNCTION("""COMPUTED_VALUE"""),"😀 Sumamente Feliz")</f>
        <v>😀 Sumamente Feliz</v>
      </c>
      <c r="I345" s="6" t="str">
        <f>IFERROR(__xludf.DUMMYFUNCTION("""COMPUTED_VALUE"""),"Antonela termina su asignación a Halliburton Colombia. Proyecto muy desgastante pero que Anto logró llevar adelante con mucho profesionalismo, al punto de recibir reiteradas felicitaciones por parte del cliente.
Actualmente está realizando PD en nuevo cli"&amp;"ente (VISTA), lo cual le suma mucho profesionalmente y se la nota motivada y feliz.")</f>
        <v>Antonela termina su asignación a Halliburton Colombia. Proyecto muy desgastante pero que Anto logró llevar adelante con mucho profesionalismo, al punto de recibir reiteradas felicitaciones por parte del cliente.
Actualmente está realizando PD en nuevo cliente (VISTA), lo cual le suma mucho profesionalmente y se la nota motivada y feliz.</v>
      </c>
      <c r="J345" s="4" t="str">
        <f>IFERROR(__xludf.DUMMYFUNCTION("""COMPUTED_VALUE"""),"PX|Referents|RRHH")</f>
        <v>PX|Referents|RRHH</v>
      </c>
    </row>
    <row r="346" hidden="1">
      <c r="A346" s="4">
        <f>IFERROR(__xludf.DUMMYFUNCTION("""COMPUTED_VALUE"""),154.0)</f>
        <v>154</v>
      </c>
      <c r="B346" s="4" t="str">
        <f>IFERROR(__xludf.DUMMYFUNCTION("""COMPUTED_VALUE"""),"esteban.camacho")</f>
        <v>esteban.camacho</v>
      </c>
      <c r="C346" s="5">
        <f>IFERROR(__xludf.DUMMYFUNCTION("""COMPUTED_VALUE"""),45107.76469271991)</f>
        <v>45107.76469</v>
      </c>
      <c r="D346" s="5">
        <f>IFERROR(__xludf.DUMMYFUNCTION("""COMPUTED_VALUE"""),45107.0)</f>
        <v>45107</v>
      </c>
      <c r="E346" s="4" t="str">
        <f>IFERROR(__xludf.DUMMYFUNCTION("""COMPUTED_VALUE"""),"daniela.morales@patagoniansys.com")</f>
        <v>daniela.morales@patagoniansys.com</v>
      </c>
      <c r="F346" s="4" t="str">
        <f>IFERROR(__xludf.DUMMYFUNCTION("""COMPUTED_VALUE"""),"esteban.camacho@patagoniansys.com")</f>
        <v>esteban.camacho@patagoniansys.com</v>
      </c>
      <c r="G346" s="4" t="str">
        <f>IFERROR(__xludf.DUMMYFUNCTION("""COMPUTED_VALUE"""),"⏱ One on One")</f>
        <v>⏱ One on One</v>
      </c>
      <c r="H346" s="4" t="str">
        <f>IFERROR(__xludf.DUMMYFUNCTION("""COMPUTED_VALUE"""),"🙂 Feliz")</f>
        <v>🙂 Feliz</v>
      </c>
      <c r="I346" s="6" t="str">
        <f>IFERROR(__xludf.DUMMYFUNCTION("""COMPUTED_VALUE"""),"En general en el proyecto se siente bien, me cuenta que la tecnología es un poco desactualizada pero igual va bien, se siente bien con el equipo y con su PM. Además, me cuenta que el proyecto es un poco desorganizado pero igual es retador y ha aprendido c"&amp;"osas nuevas. ")</f>
        <v>En general en el proyecto se siente bien, me cuenta que la tecnología es un poco desactualizada pero igual va bien, se siente bien con el equipo y con su PM. Además, me cuenta que el proyecto es un poco desorganizado pero igual es retador y ha aprendido cosas nuevas. </v>
      </c>
      <c r="J346" s="4" t="str">
        <f>IFERROR(__xludf.DUMMYFUNCTION("""COMPUTED_VALUE"""),"PX|Referents|RRHH")</f>
        <v>PX|Referents|RRHH</v>
      </c>
    </row>
    <row r="347">
      <c r="A347" s="4">
        <f>IFERROR(__xludf.DUMMYFUNCTION("""COMPUTED_VALUE"""),249.0)</f>
        <v>249</v>
      </c>
      <c r="B347" s="4" t="str">
        <f>IFERROR(__xludf.DUMMYFUNCTION("""COMPUTED_VALUE"""),"nahuel.diaz")</f>
        <v>nahuel.diaz</v>
      </c>
      <c r="C347" s="5">
        <f>IFERROR(__xludf.DUMMYFUNCTION("""COMPUTED_VALUE"""),45117.42148042824)</f>
        <v>45117.42148</v>
      </c>
      <c r="D347" s="5">
        <f>IFERROR(__xludf.DUMMYFUNCTION("""COMPUTED_VALUE"""),45110.0)</f>
        <v>45110</v>
      </c>
      <c r="E347" s="4" t="str">
        <f>IFERROR(__xludf.DUMMYFUNCTION("""COMPUTED_VALUE"""),"henry.tong@patagoniansys.com")</f>
        <v>henry.tong@patagoniansys.com</v>
      </c>
      <c r="F347" s="4" t="str">
        <f>IFERROR(__xludf.DUMMYFUNCTION("""COMPUTED_VALUE"""),"nahuel.diaz@patagonian.com")</f>
        <v>nahuel.diaz@patagonian.com</v>
      </c>
      <c r="G347" s="4" t="str">
        <f>IFERROR(__xludf.DUMMYFUNCTION("""COMPUTED_VALUE"""),"Initial gathering")</f>
        <v>Initial gathering</v>
      </c>
      <c r="H347" s="4"/>
      <c r="I347" s="6" t="str">
        <f>IFERROR(__xludf.DUMMYFUNCTION("""COMPUTED_VALUE"""),"- Interviewee e-Mail: nahuel.diaz@patagonian.com
- Project name: American Bird Conservancy
- Project | Role: Backend Developer
- Project | Description: Mismo proyecto que la vez pasada.
- Project | technologies: java
- Happiness in project technology: 🙂 "&amp;"Feliz
- Project | The best/coolest thing: conocer un poco de React y Python
- Team | TL: N/A - se hicieron fixes
- Team | PX: N/A - se hicieron fixes
- Team | QA: 👀 Otra situación
- Team | QA Automation: 👎 No
- Team | UI/UX: 0
- Team | DevOps: 0
- Team "&amp;"| Data Engineer: 0")</f>
        <v>- Interviewee e-Mail: nahuel.diaz@patagonian.com
- Project name: American Bird Conservancy
- Project | Role: Backend Developer
- Project | Description: Mismo proyecto que la vez pasada.
- Project | technologies: java
- Happiness in project technology: 🙂 Feliz
- Project | The best/coolest thing: conocer un poco de React y Python
- Team | TL: N/A - se hicieron fixes
- Team | PX: N/A - se hicieron fixes
- Team | QA: 👀 Otra situación
- Team | QA Automation: 👎 No
- Team | UI/UX: 0
- Team | DevOps: 0
- Team | Data Engineer: 0</v>
      </c>
      <c r="J347" s="4" t="str">
        <f>IFERROR(__xludf.DUMMYFUNCTION("""COMPUTED_VALUE"""),"Tech Referent - Initial gathering")</f>
        <v>Tech Referent - Initial gathering</v>
      </c>
    </row>
    <row r="348" hidden="1">
      <c r="A348" s="4">
        <f>IFERROR(__xludf.DUMMYFUNCTION("""COMPUTED_VALUE"""),310.0)</f>
        <v>310</v>
      </c>
      <c r="B348" s="4" t="str">
        <f>IFERROR(__xludf.DUMMYFUNCTION("""COMPUTED_VALUE"""),"xosed.penaloza")</f>
        <v>xosed.penaloza</v>
      </c>
      <c r="C348" s="5">
        <f>IFERROR(__xludf.DUMMYFUNCTION("""COMPUTED_VALUE"""),45111.6995624537)</f>
        <v>45111.69956</v>
      </c>
      <c r="D348" s="5">
        <f>IFERROR(__xludf.DUMMYFUNCTION("""COMPUTED_VALUE"""),45111.0)</f>
        <v>45111</v>
      </c>
      <c r="E348" s="4" t="str">
        <f>IFERROR(__xludf.DUMMYFUNCTION("""COMPUTED_VALUE"""),"sebastian.charre@patagoniansys.com")</f>
        <v>sebastian.charre@patagoniansys.com</v>
      </c>
      <c r="F348" s="4" t="str">
        <f>IFERROR(__xludf.DUMMYFUNCTION("""COMPUTED_VALUE"""),"xosed.penaloza@patagoniansys.com")</f>
        <v>xosed.penaloza@patagoniansys.com</v>
      </c>
      <c r="G348" s="4" t="str">
        <f>IFERROR(__xludf.DUMMYFUNCTION("""COMPUTED_VALUE"""),"⏱ One on One")</f>
        <v>⏱ One on One</v>
      </c>
      <c r="H348" s="4" t="str">
        <f>IFERROR(__xludf.DUMMYFUNCTION("""COMPUTED_VALUE"""),"🙂 Feliz")</f>
        <v>🙂 Feliz</v>
      </c>
      <c r="I348" s="6" t="str">
        <f>IFERROR(__xludf.DUMMYFUNCTION("""COMPUTED_VALUE"""),"Está contento en el proyecto. Ha encontrado un equilibrio entre trabajo y vida personal. Tiene buena relación con el PM de Halliburton y esta ultima semana le devolvió los días que adeudaba. Termina la asignación al proyecto y pasa a BENCH. Debe estudiar "&amp;"Ingles, a lo que se comprometió a retomar las clases.")</f>
        <v>Está contento en el proyecto. Ha encontrado un equilibrio entre trabajo y vida personal. Tiene buena relación con el PM de Halliburton y esta ultima semana le devolvió los días que adeudaba. Termina la asignación al proyecto y pasa a BENCH. Debe estudiar Ingles, a lo que se comprometió a retomar las clases.</v>
      </c>
      <c r="J348" s="4" t="str">
        <f>IFERROR(__xludf.DUMMYFUNCTION("""COMPUTED_VALUE"""),"PX|Referents|RRHH")</f>
        <v>PX|Referents|RRHH</v>
      </c>
    </row>
    <row r="349">
      <c r="A349" s="4">
        <f>IFERROR(__xludf.DUMMYFUNCTION("""COMPUTED_VALUE"""),188.0)</f>
        <v>188</v>
      </c>
      <c r="B349" s="4" t="str">
        <f>IFERROR(__xludf.DUMMYFUNCTION("""COMPUTED_VALUE"""),"mauricio.lahitte")</f>
        <v>mauricio.lahitte</v>
      </c>
      <c r="C349" s="5">
        <f>IFERROR(__xludf.DUMMYFUNCTION("""COMPUTED_VALUE"""),45112.641079305555)</f>
        <v>45112.64108</v>
      </c>
      <c r="D349" s="5">
        <f>IFERROR(__xludf.DUMMYFUNCTION("""COMPUTED_VALUE"""),45112.0)</f>
        <v>45112</v>
      </c>
      <c r="E349" s="4" t="str">
        <f>IFERROR(__xludf.DUMMYFUNCTION("""COMPUTED_VALUE"""),"jorge.contreras@patagoniansys.com")</f>
        <v>jorge.contreras@patagoniansys.com</v>
      </c>
      <c r="F349" s="4" t="str">
        <f>IFERROR(__xludf.DUMMYFUNCTION("""COMPUTED_VALUE"""),"mauricio.lahitte@patagonian.com")</f>
        <v>mauricio.lahitte@patagonian.com</v>
      </c>
      <c r="G349" s="4" t="str">
        <f>IFERROR(__xludf.DUMMYFUNCTION("""COMPUTED_VALUE"""),"Referent One on One")</f>
        <v>Referent One on One</v>
      </c>
      <c r="H349" s="4"/>
      <c r="I349" s="6" t="str">
        <f>IFERROR(__xludf.DUMMYFUNCTION("""COMPUTED_VALUE"""),"- Interviewee e-Mail: mauricio.lahitte@patagonian.com
- Project Status Check: Rhebus. Actualmente tenemos miras de incluir un nuevo feature. Streaming en vivo.
- Project Changes | Notes: Todo está igual.
- Project Role | Feeling: 5
- Extra Work Hours | Am"&amp;"ount: 0 (Ningúna)
- Techs | Research: NestJS, Mongo, Digital Ocean,
- Techs | Recomendations: Aprendiendo con Digital Ocean,
- Techs | Recomendations check: Ninguna
- Collaborator | Seniority: 👍 No, es correcto
- Project Needs / Oportunities: No
- Final "&amp;"notes: Ninguna
- Project Techs | Learning: 1
- Techs | Research: 0
- Project Techs | Difficulty: 4
- Project Changes | Reasons: 🟰 No hubo cambios
- Project Changes | Personal Impact: 5
- Project Role | Value: 5
- Project role | Notes: Todo bien... A vece"&amp;"s siento que somos más amigos que compañeros y estamos bastantes cómodos. El chico de Junior que está con nosotros es bastante chévere y ya puede llevarse cosas solo.")</f>
        <v>- Interviewee e-Mail: mauricio.lahitte@patagonian.com
- Project Status Check: Rhebus. Actualmente tenemos miras de incluir un nuevo feature. Streaming en vivo.
- Project Changes | Notes: Todo está igual.
- Project Role | Feeling: 5
- Extra Work Hours | Amount: 0 (Ningúna)
- Techs | Research: NestJS, Mongo, Digital Ocean,
- Techs | Recomendations: Aprendiendo con Digital Ocean,
- Techs | Recomendations check: Ninguna
- Collaborator | Seniority: 👍 No, es correcto
- Project Needs / Oportunities: No
- Final notes: Ninguna
- Project Techs | Learning: 1
- Techs | Research: 0
- Project Techs | Difficulty: 4
- Project Changes | Reasons: 🟰 No hubo cambios
- Project Changes | Personal Impact: 5
- Project Role | Value: 5
- Project role | Notes: Todo bien... A veces siento que somos más amigos que compañeros y estamos bastantes cómodos. El chico de Junior que está con nosotros es bastante chévere y ya puede llevarse cosas solo.</v>
      </c>
      <c r="J349" s="4" t="str">
        <f>IFERROR(__xludf.DUMMYFUNCTION("""COMPUTED_VALUE"""),"Tech Referent - OneOnOne")</f>
        <v>Tech Referent - OneOnOne</v>
      </c>
    </row>
    <row r="350">
      <c r="A350" s="4">
        <f>IFERROR(__xludf.DUMMYFUNCTION("""COMPUTED_VALUE"""),190.0)</f>
        <v>190</v>
      </c>
      <c r="B350" s="4" t="str">
        <f>IFERROR(__xludf.DUMMYFUNCTION("""COMPUTED_VALUE"""),"santiago.cendra")</f>
        <v>santiago.cendra</v>
      </c>
      <c r="C350" s="5">
        <f>IFERROR(__xludf.DUMMYFUNCTION("""COMPUTED_VALUE"""),45112.68897652778)</f>
        <v>45112.68898</v>
      </c>
      <c r="D350" s="5">
        <f>IFERROR(__xludf.DUMMYFUNCTION("""COMPUTED_VALUE"""),45112.0)</f>
        <v>45112</v>
      </c>
      <c r="E350" s="4" t="str">
        <f>IFERROR(__xludf.DUMMYFUNCTION("""COMPUTED_VALUE"""),"daniel.mansilla@patagoniansys.com")</f>
        <v>daniel.mansilla@patagoniansys.com</v>
      </c>
      <c r="F350" s="4" t="str">
        <f>IFERROR(__xludf.DUMMYFUNCTION("""COMPUTED_VALUE"""),"santiago.cendra@patagoniansys.com")</f>
        <v>santiago.cendra@patagoniansys.com</v>
      </c>
      <c r="G350" s="4" t="str">
        <f>IFERROR(__xludf.DUMMYFUNCTION("""COMPUTED_VALUE"""),"Referent One on One")</f>
        <v>Referent One on One</v>
      </c>
      <c r="H350" s="4"/>
      <c r="I350" s="6" t="str">
        <f>IFERROR(__xludf.DUMMYFUNCTION("""COMPUTED_VALUE"""),"- Interviewee e-Mail: santiago.cendra@patagoniansys.com
- Project Status Check: Termino el proyecto. Ahora esta en bench. Esta estudiando ingles y haciendo un poco de codigo por su lado - NextJS.
- Project Changes | Notes: Mejoro la calidad del proyecto g"&amp;"racias los nuevos qa. El proyecto termino de buena forma.
- Project Role | Feeling: 4
- Extra Work Hours | Amount: 0 (Ningúna)
- Techs | Research: Se ha estado actualizando en NextJS.
- Collaborator | Seniority: 👍 No, es correcto
- Alerts: Ahora esta en "&amp;"bench.
- Project Techs | Learning: 8
- Techs | Research: 16
- Project Techs | Difficulty: 3
- Project Changes | Reasons: ⬆️ Aumento del equipo, Ingresaron nuevos qa. El proyecto termino.
- Project Changes | Personal Impact: 4
- Project Role | Value: 4
- P"&amp;"roject role | Notes: En algun momento fue el unico dev y obviamente era fundamental.")</f>
        <v>- Interviewee e-Mail: santiago.cendra@patagoniansys.com
- Project Status Check: Termino el proyecto. Ahora esta en bench. Esta estudiando ingles y haciendo un poco de codigo por su lado - NextJS.
- Project Changes | Notes: Mejoro la calidad del proyecto gracias los nuevos qa. El proyecto termino de buena forma.
- Project Role | Feeling: 4
- Extra Work Hours | Amount: 0 (Ningúna)
- Techs | Research: Se ha estado actualizando en NextJS.
- Collaborator | Seniority: 👍 No, es correcto
- Alerts: Ahora esta en bench.
- Project Techs | Learning: 8
- Techs | Research: 16
- Project Techs | Difficulty: 3
- Project Changes | Reasons: ⬆️ Aumento del equipo, Ingresaron nuevos qa. El proyecto termino.
- Project Changes | Personal Impact: 4
- Project Role | Value: 4
- Project role | Notes: En algun momento fue el unico dev y obviamente era fundamental.</v>
      </c>
      <c r="J350" s="4" t="str">
        <f>IFERROR(__xludf.DUMMYFUNCTION("""COMPUTED_VALUE"""),"Tech Referent - OneOnOne")</f>
        <v>Tech Referent - OneOnOne</v>
      </c>
    </row>
    <row r="351" hidden="1">
      <c r="A351" s="4">
        <f>IFERROR(__xludf.DUMMYFUNCTION("""COMPUTED_VALUE"""),69.0)</f>
        <v>69</v>
      </c>
      <c r="B351" s="4" t="str">
        <f>IFERROR(__xludf.DUMMYFUNCTION("""COMPUTED_VALUE"""),"carlos.igal")</f>
        <v>carlos.igal</v>
      </c>
      <c r="C351" s="5">
        <f>IFERROR(__xludf.DUMMYFUNCTION("""COMPUTED_VALUE"""),45119.408372094906)</f>
        <v>45119.40837</v>
      </c>
      <c r="D351" s="5">
        <f>IFERROR(__xludf.DUMMYFUNCTION("""COMPUTED_VALUE"""),45112.0)</f>
        <v>45112</v>
      </c>
      <c r="E351" s="4" t="str">
        <f>IFERROR(__xludf.DUMMYFUNCTION("""COMPUTED_VALUE"""),"sebastian.charre@patagoniansys.com")</f>
        <v>sebastian.charre@patagoniansys.com</v>
      </c>
      <c r="F351" s="4" t="str">
        <f>IFERROR(__xludf.DUMMYFUNCTION("""COMPUTED_VALUE"""),"carlos.igal@patagoniansys.com")</f>
        <v>carlos.igal@patagoniansys.com</v>
      </c>
      <c r="G351" s="4" t="str">
        <f>IFERROR(__xludf.DUMMYFUNCTION("""COMPUTED_VALUE"""),"⏱ One on One")</f>
        <v>⏱ One on One</v>
      </c>
      <c r="H351" s="4" t="str">
        <f>IFERROR(__xludf.DUMMYFUNCTION("""COMPUTED_VALUE"""),"🙂 Feliz")</f>
        <v>🙂 Feliz</v>
      </c>
      <c r="I351" s="6" t="str">
        <f>IFERROR(__xludf.DUMMYFUNCTION("""COMPUTED_VALUE"""),"Carlos, está satisfecho en el proyecto. Se siente útil, ya que ha desarrollado una relación de confianza con los distintos actores del cliente. Tambien, la cohesion lograda con el resto del equipo hace que se lo sienta cómodo. Participa como soporte en ot"&amp;"ro proyecto de Hallliburton Mexico también con excelentes resultados.")</f>
        <v>Carlos, está satisfecho en el proyecto. Se siente útil, ya que ha desarrollado una relación de confianza con los distintos actores del cliente. Tambien, la cohesion lograda con el resto del equipo hace que se lo sienta cómodo. Participa como soporte en otro proyecto de Hallliburton Mexico también con excelentes resultados.</v>
      </c>
      <c r="J351" s="4" t="str">
        <f>IFERROR(__xludf.DUMMYFUNCTION("""COMPUTED_VALUE"""),"PX|Referents|RRHH")</f>
        <v>PX|Referents|RRHH</v>
      </c>
    </row>
    <row r="352">
      <c r="A352" s="4">
        <f>IFERROR(__xludf.DUMMYFUNCTION("""COMPUTED_VALUE"""),291.0)</f>
        <v>291</v>
      </c>
      <c r="B352" s="4" t="str">
        <f>IFERROR(__xludf.DUMMYFUNCTION("""COMPUTED_VALUE"""),"angel.gonzalez")</f>
        <v>angel.gonzalez</v>
      </c>
      <c r="C352" s="5">
        <f>IFERROR(__xludf.DUMMYFUNCTION("""COMPUTED_VALUE"""),45113.6464771412)</f>
        <v>45113.64648</v>
      </c>
      <c r="D352" s="5">
        <f>IFERROR(__xludf.DUMMYFUNCTION("""COMPUTED_VALUE"""),45113.0)</f>
        <v>45113</v>
      </c>
      <c r="E352" s="4" t="str">
        <f>IFERROR(__xludf.DUMMYFUNCTION("""COMPUTED_VALUE"""),"andres.bolocco@patagoniansys.com")</f>
        <v>andres.bolocco@patagoniansys.com</v>
      </c>
      <c r="F352" s="4" t="str">
        <f>IFERROR(__xludf.DUMMYFUNCTION("""COMPUTED_VALUE"""),"angel.gonzalez@patagoniansys.com")</f>
        <v>angel.gonzalez@patagoniansys.com</v>
      </c>
      <c r="G352" s="4" t="str">
        <f>IFERROR(__xludf.DUMMYFUNCTION("""COMPUTED_VALUE"""),"Initial gathering")</f>
        <v>Initial gathering</v>
      </c>
      <c r="H352" s="4"/>
      <c r="I352" s="6" t="str">
        <f>IFERROR(__xludf.DUMMYFUNCTION("""COMPUTED_VALUE"""),"- Interviewee e-Mail: angel.gonzalez@patagoniansys.com
- Project name: Halliburton
- Project | Role: Backend Developer, Frontend Developer
- Project | Description: pasó por ""Formatos"", luego ""Well Operations"", ahora está trabajando en ""Decision Well "&amp;"Pemex?"" en manejo de variables de entorno, y pruebas unitarias en el backend.
está como desarrollador Fullstack Ssr.
es una herramiento que compara el estado real vs el estado planificado de un pozo petrolero.
- Project | technologies: NestJS, Angular, G"&amp;"itLab, Keycloack, Jenkins y Docker
- Happiness in project technology: 😀 Sumamente Feliz
- Project | The best/coolest thing: las actividades y las tareas son siempre diferentes, investigación, entre todos hacen de todo, todos hacen algo diferente todos lo"&amp;"s días y siguen aprendiendo.
- Project | Improvements: tuvo un susto al principio, porque la gente encargada de una infraestructura para consumir datos, tuvo 2 semanas de demora al inicio del proyecto, y pensó que iba a pasar como en formatos donde al fin"&amp;"al ese proyecto nunca empezó
- Team | TL: al principio Lucho de Patagonian, y luego Federico de Halliburton
- Team | PX: ScrumMaster de Halli, PO es Federico
- Team | QA: 0
- Team | QA Automation: 👍 Si
- Team | QA | Notes: está comenzando a crear pruebas"&amp;" unitarias en el back, en el front y algunas pruebas e2e
- Team | UI/UX: 1
- Team | UI/UX | Notes: de Patagonian se hizo un diseño en baja (equipo de 3), en alta es 1 diseñador de Halliburton
- Team | DevOps: 1
- Team | DevOps | Notes: 1 de Halliburton
- "&amp;"Team | Data Engineer: 0")</f>
        <v>- Interviewee e-Mail: angel.gonzalez@patagoniansys.com
- Project name: Halliburton
- Project | Role: Backend Developer, Frontend Developer
- Project | Description: pasó por "Formatos", luego "Well Operations", ahora está trabajando en "Decision Well Pemex?" en manejo de variables de entorno, y pruebas unitarias en el backend.
está como desarrollador Fullstack Ssr.
es una herramiento que compara el estado real vs el estado planificado de un pozo petrolero.
- Project | technologies: NestJS, Angular, GitLab, Keycloack, Jenkins y Docker
- Happiness in project technology: 😀 Sumamente Feliz
- Project | The best/coolest thing: las actividades y las tareas son siempre diferentes, investigación, entre todos hacen de todo, todos hacen algo diferente todos los días y siguen aprendiendo.
- Project | Improvements: tuvo un susto al principio, porque la gente encargada de una infraestructura para consumir datos, tuvo 2 semanas de demora al inicio del proyecto, y pensó que iba a pasar como en formatos donde al final ese proyecto nunca empezó
- Team | TL: al principio Lucho de Patagonian, y luego Federico de Halliburton
- Team | PX: ScrumMaster de Halli, PO es Federico
- Team | QA: 0
- Team | QA Automation: 👍 Si
- Team | QA | Notes: está comenzando a crear pruebas unitarias en el back, en el front y algunas pruebas e2e
- Team | UI/UX: 1
- Team | UI/UX | Notes: de Patagonian se hizo un diseño en baja (equipo de 3), en alta es 1 diseñador de Halliburton
- Team | DevOps: 1
- Team | DevOps | Notes: 1 de Halliburton
- Team | Data Engineer: 0</v>
      </c>
      <c r="J352" s="4" t="str">
        <f>IFERROR(__xludf.DUMMYFUNCTION("""COMPUTED_VALUE"""),"Tech Referent - Initial gathering")</f>
        <v>Tech Referent - Initial gathering</v>
      </c>
    </row>
    <row r="353">
      <c r="A353" s="4">
        <f>IFERROR(__xludf.DUMMYFUNCTION("""COMPUTED_VALUE"""),162.0)</f>
        <v>162</v>
      </c>
      <c r="B353" s="4" t="str">
        <f>IFERROR(__xludf.DUMMYFUNCTION("""COMPUTED_VALUE"""),"cristian.cortes")</f>
        <v>cristian.cortes</v>
      </c>
      <c r="C353" s="5">
        <f>IFERROR(__xludf.DUMMYFUNCTION("""COMPUTED_VALUE"""),45114.81043888889)</f>
        <v>45114.81044</v>
      </c>
      <c r="D353" s="5">
        <f>IFERROR(__xludf.DUMMYFUNCTION("""COMPUTED_VALUE"""),45113.0)</f>
        <v>45113</v>
      </c>
      <c r="E353" s="4" t="str">
        <f>IFERROR(__xludf.DUMMYFUNCTION("""COMPUTED_VALUE"""),"edgar.bonilla@patagoniansys.com")</f>
        <v>edgar.bonilla@patagoniansys.com</v>
      </c>
      <c r="F353" s="4" t="str">
        <f>IFERROR(__xludf.DUMMYFUNCTION("""COMPUTED_VALUE"""),"cristian.cortes@patagoniansys.com")</f>
        <v>cristian.cortes@patagoniansys.com</v>
      </c>
      <c r="G353" s="4" t="str">
        <f>IFERROR(__xludf.DUMMYFUNCTION("""COMPUTED_VALUE"""),"Referent One on One")</f>
        <v>Referent One on One</v>
      </c>
      <c r="H353" s="4"/>
      <c r="I353" s="6" t="str">
        <f>IFERROR(__xludf.DUMMYFUNCTION("""COMPUTED_VALUE"""),"- Interviewee e-Mail: cristian.cortes@patagoniansys.com
- Project Status Check: - Está dando apoyo a Connect Americas mientras está en bench. Está mirando temas de la mobile app de la Play Store. La app está desarrollada con Expo full (React Native)
- Fo"&amp;"rmulario de bench: https://forms.gle/3KPbtBPcBEFS3H3d8
Hay varias cosas en el proceso de bench que según lo que ve en el formulario, no es cumplieron a cabalidad en el proceso de bench
- Lo están teniendo en cuenta para presentarlo dentro de un equipo a "&amp;"un cliente. No ha presentado alguna entrevista hasta ahora
- Escogío Career Track Mobile
- Project Role | Feeling: 4
- Extra Work Hours | Amount: 0 (Ningúna)
- Techs | Research: React Native standard (no con Expo)
- Techs | Recomendations check: Si
- Col"&amp;"laborator | Seniority: 👍 No, es correcto
- Alerts: Desde mi percepción se lo ve bien en cuando a feeling y actitud frente a la empresa, pero de todos modos puede haber algo de incertidumbre al estar en Bench dada la situación que está pasando la empresa."&amp;"
- Project Techs | Learning: 4
- Techs | Research: 8
- Project Techs | Difficulty: 4
- Project Changes | Reasons: 🟰 No hubo cambios
- Project Role | Value: 4
- Project role | Notes: Se siente bien apoyando otras iniciativas o proyectos mientras está en b"&amp;"ench ya que aprende cosas nuevas y se siente útil en la empresa")</f>
        <v>- Interviewee e-Mail: cristian.cortes@patagoniansys.com
- Project Status Check: - Está dando apoyo a Connect Americas mientras está en bench. Está mirando temas de la mobile app de la Play Store. La app está desarrollada con Expo full (React Native)
- Formulario de bench: https://forms.gle/3KPbtBPcBEFS3H3d8
Hay varias cosas en el proceso de bench que según lo que ve en el formulario, no es cumplieron a cabalidad en el proceso de bench
- Lo están teniendo en cuenta para presentarlo dentro de un equipo a un cliente. No ha presentado alguna entrevista hasta ahora
- Escogío Career Track Mobile
- Project Role | Feeling: 4
- Extra Work Hours | Amount: 0 (Ningúna)
- Techs | Research: React Native standard (no con Expo)
- Techs | Recomendations check: Si
- Collaborator | Seniority: 👍 No, es correcto
- Alerts: Desde mi percepción se lo ve bien en cuando a feeling y actitud frente a la empresa, pero de todos modos puede haber algo de incertidumbre al estar en Bench dada la situación que está pasando la empresa.
- Project Techs | Learning: 4
- Techs | Research: 8
- Project Techs | Difficulty: 4
- Project Changes | Reasons: 🟰 No hubo cambios
- Project Role | Value: 4
- Project role | Notes: Se siente bien apoyando otras iniciativas o proyectos mientras está en bench ya que aprende cosas nuevas y se siente útil en la empresa</v>
      </c>
      <c r="J353" s="4" t="str">
        <f>IFERROR(__xludf.DUMMYFUNCTION("""COMPUTED_VALUE"""),"Tech Referent - OneOnOne")</f>
        <v>Tech Referent - OneOnOne</v>
      </c>
    </row>
    <row r="354">
      <c r="A354" s="4">
        <f>IFERROR(__xludf.DUMMYFUNCTION("""COMPUTED_VALUE"""),11.0)</f>
        <v>11</v>
      </c>
      <c r="B354" s="4" t="str">
        <f>IFERROR(__xludf.DUMMYFUNCTION("""COMPUTED_VALUE"""),"ernesto.parada")</f>
        <v>ernesto.parada</v>
      </c>
      <c r="C354" s="5">
        <f>IFERROR(__xludf.DUMMYFUNCTION("""COMPUTED_VALUE"""),45114.826819456015)</f>
        <v>45114.82682</v>
      </c>
      <c r="D354" s="5">
        <f>IFERROR(__xludf.DUMMYFUNCTION("""COMPUTED_VALUE"""),45113.0)</f>
        <v>45113</v>
      </c>
      <c r="E354" s="4" t="str">
        <f>IFERROR(__xludf.DUMMYFUNCTION("""COMPUTED_VALUE"""),"edgar.bonilla@patagoniansys.com")</f>
        <v>edgar.bonilla@patagoniansys.com</v>
      </c>
      <c r="F354" s="4" t="str">
        <f>IFERROR(__xludf.DUMMYFUNCTION("""COMPUTED_VALUE"""),"ernesto.parada@patagoniansys.com")</f>
        <v>ernesto.parada@patagoniansys.com</v>
      </c>
      <c r="G354" s="4" t="str">
        <f>IFERROR(__xludf.DUMMYFUNCTION("""COMPUTED_VALUE"""),"Referent One on One")</f>
        <v>Referent One on One</v>
      </c>
      <c r="H354" s="4"/>
      <c r="I354" s="6" t="str">
        <f>IFERROR(__xludf.DUMMYFUNCTION("""COMPUTED_VALUE"""),"- Interviewee e-Mail: ernesto.parada@patagoniansys.com
- Project Status Check: - Estaba apoyando en iniciativas internas en Patagonian pero MBody lo está ahora consumiendo bastante
- El part time de MBody/Bench no duró mucho, tuvo que hacer otras cosas p"&amp;"ara Eyethena, estimaciones y demás, y luego también todo full a Body
- Estaba con la iniciativa de Pata del BI. Le gustaba porque estaba aplicando cosas de AWS que había aprendido.
- Estaba con una nueva iniciativa para MBody para agregar un front con d"&amp;"os chicos de bench. Le demandaba más o menos 30 min por día en reunión, pero de resto los chicos eran muy productivos y autosuficientes. Los dos chicos eran Andres Caceres y Manuel Ortega.
- A futuro le gustaría ir para Arquitectura, Cloud o Back-end. Ya"&amp;" quiere alejarse un poco del mundo mobile.
- Escogió Career Track Back-end
- Project Changes | Notes: Básicamente él manifiesta que venía con ganas de ir cerrando el capítulo de MBody y la cosa iba bien ya que estaba part-time en un proyecto y part-time "&amp;"en otro y luego bench. Pero ahora está de nuevo full en MBody. Igual no le molesta ni nada y sabe que es su trabajo pero le estaba emocionando las iniciativas internas en las que estaba trabajando en Pata el otro medio tiempo, ya que estaba implementando "&amp;"cosas muy interesantes y nuevas.
- Project Role | Feeling: 3
- Extra Work Hours | Amount: 0 (Ningúna)
- Techs | Research: AWS, Azure, Node.js
- Collaborator | Seniority: 👍 No, es correcto
- Alerts: Básicamente él manifiesta que venía con ganas de ir cerr"&amp;"ando el capítulo de MBody y la cosa iba bien ya que estaba part-time en un proyecto y part-time en otro y luego bench. Pero ahora está de nuevo full en MBody. Igual no le molesta ni nada y sabe que es su trabajo pero le estaba emocionando las iniciativas "&amp;"internas en las que estaba trabajando en Pata el otro medio tiempo, ya que estaba implementando cosas muy interesantes y nuevas.
- Project Techs | Learning: 4
- Techs | Research: 8
- Project Techs | Difficulty: 3
- Project Changes | Reasons: ⏱ Cambios en "&amp;"la forma de planificar las tareas y tiempos
- Project Changes | Personal Impact: 2
- Project Role | Value: 3
- Project role | Notes: La misma razón que la pregunta anterior. De todos modos no se lo ve desmotivado y se lo ve con buen feeling en la empresa."&amp;" Pero su situación podría estar mejor.")</f>
        <v>- Interviewee e-Mail: ernesto.parada@patagoniansys.com
- Project Status Check: - Estaba apoyando en iniciativas internas en Patagonian pero MBody lo está ahora consumiendo bastante
- El part time de MBody/Bench no duró mucho, tuvo que hacer otras cosas para Eyethena, estimaciones y demás, y luego también todo full a Body
- Estaba con la iniciativa de Pata del BI. Le gustaba porque estaba aplicando cosas de AWS que había aprendido.
- Estaba con una nueva iniciativa para MBody para agregar un front con dos chicos de bench. Le demandaba más o menos 30 min por día en reunión, pero de resto los chicos eran muy productivos y autosuficientes. Los dos chicos eran Andres Caceres y Manuel Ortega.
- A futuro le gustaría ir para Arquitectura, Cloud o Back-end. Ya quiere alejarse un poco del mundo mobile.
- Escogió Career Track Back-end
- Project Changes | Notes: Básicamente él manifiesta que venía con ganas de ir cerrando el capítulo de MBody y la cosa iba bien ya que estaba part-time en un proyecto y part-time en otro y luego bench. Pero ahora está de nuevo full en MBody. Igual no le molesta ni nada y sabe que es su trabajo pero le estaba emocionando las iniciativas internas en las que estaba trabajando en Pata el otro medio tiempo, ya que estaba implementando cosas muy interesantes y nuevas.
- Project Role | Feeling: 3
- Extra Work Hours | Amount: 0 (Ningúna)
- Techs | Research: AWS, Azure, Node.js
- Collaborator | Seniority: 👍 No, es correcto
- Alerts: Básicamente él manifiesta que venía con ganas de ir cerrando el capítulo de MBody y la cosa iba bien ya que estaba part-time en un proyecto y part-time en otro y luego bench. Pero ahora está de nuevo full en MBody. Igual no le molesta ni nada y sabe que es su trabajo pero le estaba emocionando las iniciativas internas en las que estaba trabajando en Pata el otro medio tiempo, ya que estaba implementando cosas muy interesantes y nuevas.
- Project Techs | Learning: 4
- Techs | Research: 8
- Project Techs | Difficulty: 3
- Project Changes | Reasons: ⏱ Cambios en la forma de planificar las tareas y tiempos
- Project Changes | Personal Impact: 2
- Project Role | Value: 3
- Project role | Notes: La misma razón que la pregunta anterior. De todos modos no se lo ve desmotivado y se lo ve con buen feeling en la empresa. Pero su situación podría estar mejor.</v>
      </c>
      <c r="J354" s="4" t="str">
        <f>IFERROR(__xludf.DUMMYFUNCTION("""COMPUTED_VALUE"""),"Tech Referent - OneOnOne")</f>
        <v>Tech Referent - OneOnOne</v>
      </c>
    </row>
    <row r="355" hidden="1">
      <c r="A355" s="4">
        <f>IFERROR(__xludf.DUMMYFUNCTION("""COMPUTED_VALUE"""),131.0)</f>
        <v>131</v>
      </c>
      <c r="B355" s="4" t="str">
        <f>IFERROR(__xludf.DUMMYFUNCTION("""COMPUTED_VALUE"""),"luis.luna")</f>
        <v>luis.luna</v>
      </c>
      <c r="C355" s="5">
        <f>IFERROR(__xludf.DUMMYFUNCTION("""COMPUTED_VALUE"""),45119.453567048615)</f>
        <v>45119.45357</v>
      </c>
      <c r="D355" s="5">
        <f>IFERROR(__xludf.DUMMYFUNCTION("""COMPUTED_VALUE"""),45113.0)</f>
        <v>45113</v>
      </c>
      <c r="E355" s="4" t="str">
        <f>IFERROR(__xludf.DUMMYFUNCTION("""COMPUTED_VALUE"""),"micaela.zorzetto@patagoniansys.com")</f>
        <v>micaela.zorzetto@patagoniansys.com</v>
      </c>
      <c r="F355" s="4" t="str">
        <f>IFERROR(__xludf.DUMMYFUNCTION("""COMPUTED_VALUE"""),"luis.luna@patagoniansys.com")</f>
        <v>luis.luna@patagoniansys.com</v>
      </c>
      <c r="G355" s="4" t="str">
        <f>IFERROR(__xludf.DUMMYFUNCTION("""COMPUTED_VALUE"""),"⏱ One on One")</f>
        <v>⏱ One on One</v>
      </c>
      <c r="H355" s="4" t="str">
        <f>IFERROR(__xludf.DUMMYFUNCTION("""COMPUTED_VALUE"""),"🙂 Feliz")</f>
        <v>🙂 Feliz</v>
      </c>
      <c r="I355" s="6" t="str">
        <f>IFERROR(__xludf.DUMMYFUNCTION("""COMPUTED_VALUE"""),"Luis está trabajando en el nuevo proyecto con el cliente. Se le complica un poco por la diferencia horaria que tiene con el equipo del cliente.
Esta realizando cursos que fueron establecidos para ver el tema de recategorización
")</f>
        <v>Luis está trabajando en el nuevo proyecto con el cliente. Se le complica un poco por la diferencia horaria que tiene con el equipo del cliente.
Esta realizando cursos que fueron establecidos para ver el tema de recategorización
</v>
      </c>
      <c r="J355" s="4" t="str">
        <f>IFERROR(__xludf.DUMMYFUNCTION("""COMPUTED_VALUE"""),"PX|Referents|RRHH")</f>
        <v>PX|Referents|RRHH</v>
      </c>
    </row>
    <row r="356">
      <c r="A356" s="4">
        <f>IFERROR(__xludf.DUMMYFUNCTION("""COMPUTED_VALUE"""),146.0)</f>
        <v>146</v>
      </c>
      <c r="B356" s="4" t="str">
        <f>IFERROR(__xludf.DUMMYFUNCTION("""COMPUTED_VALUE"""),"juan.martinezrios")</f>
        <v>juan.martinezrios</v>
      </c>
      <c r="C356" s="5">
        <f>IFERROR(__xludf.DUMMYFUNCTION("""COMPUTED_VALUE"""),45119.679757997685)</f>
        <v>45119.67976</v>
      </c>
      <c r="D356" s="5">
        <f>IFERROR(__xludf.DUMMYFUNCTION("""COMPUTED_VALUE"""),45113.0)</f>
        <v>45113</v>
      </c>
      <c r="E356" s="4" t="str">
        <f>IFERROR(__xludf.DUMMYFUNCTION("""COMPUTED_VALUE"""),"jmartinez@patagoniansys.com")</f>
        <v>jmartinez@patagoniansys.com</v>
      </c>
      <c r="F356" s="4" t="str">
        <f>IFERROR(__xludf.DUMMYFUNCTION("""COMPUTED_VALUE"""),"juan.martinezrios@patagonian.com")</f>
        <v>juan.martinezrios@patagonian.com</v>
      </c>
      <c r="G356" s="4" t="str">
        <f>IFERROR(__xludf.DUMMYFUNCTION("""COMPUTED_VALUE"""),"Referent One on One")</f>
        <v>Referent One on One</v>
      </c>
      <c r="H356" s="4"/>
      <c r="I356" s="6" t="str">
        <f>IFERROR(__xludf.DUMMYFUNCTION("""COMPUTED_VALUE"""),"- Interviewee e-Mail: juan.martinezrios@patagonian.com
- Project Status Check: Sigue trabajando en Al Mundo
- Project Changes | Notes: Hubo cambios desde el lado del cliente, ya no tienen más un diseñador en el equipo por recortes en el personal (algo que"&amp;" los atrasó un poco en lo que venían trabajando).
- Project Role | Feeling: 4
- Extra Work Hours | Amount: 0 (Ningúna)
- Techs | Recomendations check: Aún no ha tenido tiempo de revisar las recomendaciones de la reunión anterior, pero le interesan y queda"&amp;"n pendientes.
- Collaborator | Seniority: 👍 No, es correcto
- Project Needs / Oportunities: El equipo en el que trabaja Juan ya no tiene diseñador. Según la impresión de él es porque están recortando presupuesto, pero sería interesarte indagar en el asun"&amp;"to y ver si se les puede ofrecer uno.
- Project Techs | Learning: 24
- Project Techs | Difficulty: 3
- Project Changes | Reasons: ⬇️ Reducción del equipo
- Project Changes | Personal Impact: 2
- Project Role | Value: 4
- Project role | Notes: Juan repite "&amp;"lo que me dijo en las últimas reuniones, le gusta el proyecto. Con respecto a lo que sucedió desde la última reunión, me dijo que está trabajando en features transversales a toda la plataforma, eso lo hace sentir que tiene más responsabilidades y lo motiv"&amp;"a.")</f>
        <v>- Interviewee e-Mail: juan.martinezrios@patagonian.com
- Project Status Check: Sigue trabajando en Al Mundo
- Project Changes | Notes: Hubo cambios desde el lado del cliente, ya no tienen más un diseñador en el equipo por recortes en el personal (algo que los atrasó un poco en lo que venían trabajando).
- Project Role | Feeling: 4
- Extra Work Hours | Amount: 0 (Ningúna)
- Techs | Recomendations check: Aún no ha tenido tiempo de revisar las recomendaciones de la reunión anterior, pero le interesan y quedan pendientes.
- Collaborator | Seniority: 👍 No, es correcto
- Project Needs / Oportunities: El equipo en el que trabaja Juan ya no tiene diseñador. Según la impresión de él es porque están recortando presupuesto, pero sería interesarte indagar en el asunto y ver si se les puede ofrecer uno.
- Project Techs | Learning: 24
- Project Techs | Difficulty: 3
- Project Changes | Reasons: ⬇️ Reducción del equipo
- Project Changes | Personal Impact: 2
- Project Role | Value: 4
- Project role | Notes: Juan repite lo que me dijo en las últimas reuniones, le gusta el proyecto. Con respecto a lo que sucedió desde la última reunión, me dijo que está trabajando en features transversales a toda la plataforma, eso lo hace sentir que tiene más responsabilidades y lo motiva.</v>
      </c>
      <c r="J356" s="4" t="str">
        <f>IFERROR(__xludf.DUMMYFUNCTION("""COMPUTED_VALUE"""),"Tech Referent - OneOnOne")</f>
        <v>Tech Referent - OneOnOne</v>
      </c>
    </row>
    <row r="357" hidden="1">
      <c r="A357" s="4">
        <f>IFERROR(__xludf.DUMMYFUNCTION("""COMPUTED_VALUE"""),105.0)</f>
        <v>105</v>
      </c>
      <c r="B357" s="4" t="str">
        <f>IFERROR(__xludf.DUMMYFUNCTION("""COMPUTED_VALUE"""),"henry.tong")</f>
        <v>henry.tong</v>
      </c>
      <c r="C357" s="5">
        <f>IFERROR(__xludf.DUMMYFUNCTION("""COMPUTED_VALUE"""),45138.62883518518)</f>
        <v>45138.62884</v>
      </c>
      <c r="D357" s="5">
        <f>IFERROR(__xludf.DUMMYFUNCTION("""COMPUTED_VALUE"""),45113.0)</f>
        <v>45113</v>
      </c>
      <c r="E357" s="4" t="str">
        <f>IFERROR(__xludf.DUMMYFUNCTION("""COMPUTED_VALUE"""),"micaela.zorzetto@patagoniansys.com")</f>
        <v>micaela.zorzetto@patagoniansys.com</v>
      </c>
      <c r="F357" s="4" t="str">
        <f>IFERROR(__xludf.DUMMYFUNCTION("""COMPUTED_VALUE"""),"henry.tong@patagoniansys.com")</f>
        <v>henry.tong@patagoniansys.com</v>
      </c>
      <c r="G357" s="4" t="str">
        <f>IFERROR(__xludf.DUMMYFUNCTION("""COMPUTED_VALUE"""),"⏱ One on One")</f>
        <v>⏱ One on One</v>
      </c>
      <c r="H357" s="4" t="str">
        <f>IFERROR(__xludf.DUMMYFUNCTION("""COMPUTED_VALUE"""),"🙂 Feliz")</f>
        <v>🙂 Feliz</v>
      </c>
      <c r="I357" s="6" t="str">
        <f>IFERROR(__xludf.DUMMYFUNCTION("""COMPUTED_VALUE"""),"Se siente contento en el proyecto, está en la plataforma base donde el resto del equipo monta todo el trabajo. 
Siente que tiene muchas oportunidades de aprendizaje, los chicos con los que trabaja tienen muchas ganas de crecer. También esta trabajando con"&amp;" Edu y Pocho, sobre programación segura.")</f>
        <v>Se siente contento en el proyecto, está en la plataforma base donde el resto del equipo monta todo el trabajo. 
Siente que tiene muchas oportunidades de aprendizaje, los chicos con los que trabaja tienen muchas ganas de crecer. También esta trabajando con Edu y Pocho, sobre programación segura.</v>
      </c>
      <c r="J357" s="4" t="str">
        <f>IFERROR(__xludf.DUMMYFUNCTION("""COMPUTED_VALUE"""),"PX|Referents|RRHH")</f>
        <v>PX|Referents|RRHH</v>
      </c>
    </row>
    <row r="358" hidden="1">
      <c r="A358" s="4">
        <f>IFERROR(__xludf.DUMMYFUNCTION("""COMPUTED_VALUE"""),5.0)</f>
        <v>5</v>
      </c>
      <c r="B358" s="4" t="str">
        <f>IFERROR(__xludf.DUMMYFUNCTION("""COMPUTED_VALUE"""),"bruno.molina")</f>
        <v>bruno.molina</v>
      </c>
      <c r="C358" s="5">
        <f>IFERROR(__xludf.DUMMYFUNCTION("""COMPUTED_VALUE"""),45138.631658645834)</f>
        <v>45138.63166</v>
      </c>
      <c r="D358" s="5">
        <f>IFERROR(__xludf.DUMMYFUNCTION("""COMPUTED_VALUE"""),45113.0)</f>
        <v>45113</v>
      </c>
      <c r="E358" s="4" t="str">
        <f>IFERROR(__xludf.DUMMYFUNCTION("""COMPUTED_VALUE"""),"micaela.zorzetto@patagoniansys.com")</f>
        <v>micaela.zorzetto@patagoniansys.com</v>
      </c>
      <c r="F358" s="4" t="str">
        <f>IFERROR(__xludf.DUMMYFUNCTION("""COMPUTED_VALUE"""),"bruno.molina@patagoniansys.com")</f>
        <v>bruno.molina@patagoniansys.com</v>
      </c>
      <c r="G358" s="4" t="str">
        <f>IFERROR(__xludf.DUMMYFUNCTION("""COMPUTED_VALUE"""),"⏱ One on One")</f>
        <v>⏱ One on One</v>
      </c>
      <c r="H358" s="4" t="str">
        <f>IFERROR(__xludf.DUMMYFUNCTION("""COMPUTED_VALUE"""),"🙂 Feliz")</f>
        <v>🙂 Feliz</v>
      </c>
      <c r="I358" s="6" t="str">
        <f>IFERROR(__xludf.DUMMYFUNCTION("""COMPUTED_VALUE"""),"Esta estudiando para rendir la certificación. Y ayudando a Brayan con iniciativas de la empresa.")</f>
        <v>Esta estudiando para rendir la certificación. Y ayudando a Brayan con iniciativas de la empresa.</v>
      </c>
      <c r="J358" s="4" t="str">
        <f>IFERROR(__xludf.DUMMYFUNCTION("""COMPUTED_VALUE"""),"PX|Referents|RRHH")</f>
        <v>PX|Referents|RRHH</v>
      </c>
    </row>
    <row r="359" hidden="1">
      <c r="A359" s="4">
        <f>IFERROR(__xludf.DUMMYFUNCTION("""COMPUTED_VALUE"""),82.0)</f>
        <v>82</v>
      </c>
      <c r="B359" s="4" t="str">
        <f>IFERROR(__xludf.DUMMYFUNCTION("""COMPUTED_VALUE"""),"juan.calou")</f>
        <v>juan.calou</v>
      </c>
      <c r="C359" s="5">
        <f>IFERROR(__xludf.DUMMYFUNCTION("""COMPUTED_VALUE"""),45138.63542835648)</f>
        <v>45138.63543</v>
      </c>
      <c r="D359" s="5">
        <f>IFERROR(__xludf.DUMMYFUNCTION("""COMPUTED_VALUE"""),45113.0)</f>
        <v>45113</v>
      </c>
      <c r="E359" s="4" t="str">
        <f>IFERROR(__xludf.DUMMYFUNCTION("""COMPUTED_VALUE"""),"micaela.zorzetto@patagoniansys.com")</f>
        <v>micaela.zorzetto@patagoniansys.com</v>
      </c>
      <c r="F359" s="4" t="str">
        <f>IFERROR(__xludf.DUMMYFUNCTION("""COMPUTED_VALUE"""),"juan.calou@patagoniansys.com")</f>
        <v>juan.calou@patagoniansys.com</v>
      </c>
      <c r="G359" s="4" t="str">
        <f>IFERROR(__xludf.DUMMYFUNCTION("""COMPUTED_VALUE"""),"⏱ One on One")</f>
        <v>⏱ One on One</v>
      </c>
      <c r="H359" s="4" t="str">
        <f>IFERROR(__xludf.DUMMYFUNCTION("""COMPUTED_VALUE"""),"🙂 Feliz")</f>
        <v>🙂 Feliz</v>
      </c>
      <c r="I359" s="6" t="str">
        <f>IFERROR(__xludf.DUMMYFUNCTION("""COMPUTED_VALUE"""),"Esta a full con el proyecto y con lo de planes de carrera.")</f>
        <v>Esta a full con el proyecto y con lo de planes de carrera.</v>
      </c>
      <c r="J359" s="4" t="str">
        <f>IFERROR(__xludf.DUMMYFUNCTION("""COMPUTED_VALUE"""),"PX|Referents|RRHH")</f>
        <v>PX|Referents|RRHH</v>
      </c>
    </row>
    <row r="360">
      <c r="A360" s="4">
        <f>IFERROR(__xludf.DUMMYFUNCTION("""COMPUTED_VALUE"""),131.0)</f>
        <v>131</v>
      </c>
      <c r="B360" s="4" t="str">
        <f>IFERROR(__xludf.DUMMYFUNCTION("""COMPUTED_VALUE"""),"luis.luna")</f>
        <v>luis.luna</v>
      </c>
      <c r="C360" s="5">
        <f>IFERROR(__xludf.DUMMYFUNCTION("""COMPUTED_VALUE"""),45114.6854912037)</f>
        <v>45114.68549</v>
      </c>
      <c r="D360" s="5">
        <f>IFERROR(__xludf.DUMMYFUNCTION("""COMPUTED_VALUE"""),45114.0)</f>
        <v>45114</v>
      </c>
      <c r="E360" s="4" t="str">
        <f>IFERROR(__xludf.DUMMYFUNCTION("""COMPUTED_VALUE"""),"leonardo.buret@patagoniansys.com")</f>
        <v>leonardo.buret@patagoniansys.com</v>
      </c>
      <c r="F360" s="4" t="str">
        <f>IFERROR(__xludf.DUMMYFUNCTION("""COMPUTED_VALUE"""),"luis.luna@patagonian.com")</f>
        <v>luis.luna@patagonian.com</v>
      </c>
      <c r="G360" s="4" t="str">
        <f>IFERROR(__xludf.DUMMYFUNCTION("""COMPUTED_VALUE"""),"Referent One on One")</f>
        <v>Referent One on One</v>
      </c>
      <c r="H360" s="4"/>
      <c r="I360" s="6" t="str">
        <f>IFERROR(__xludf.DUMMYFUNCTION("""COMPUTED_VALUE"""),"- Interviewee e-Mail: luis.luna@patagonian.com
- Project Status Check: Tenía que buscar alguna Certificación: Azure Fundamentals a medias. Tenía que unirse al DEC de Frontend: 
- Project Changes | Notes: Full .NET. ""Mataron"" al equipo viejo
- Project Ro"&amp;"le | Feeling: 4
- Extra Work Hours | Amount: 0 (Ningúna)
- Extra Work Hours | Reason: Reuniones fuera de hora
- Techs | Research: No
- Techs | Recomendations: Le recomendé MS Learn https://learn.microsoft.com/en-us/training/ y que se decida respecto a su "&amp;"plan de carrera, ya que eligió varios cominos
- Techs | Recomendations check: Si, está intentando hacer la certificación (Azure Fundamentals) pero por fuera de Patagonian
- Collaborator | Seniority: 👍 No, es correcto
- Alerts: No
- Project Needs / Oportu"&amp;"nities: Forge es un cliente ya establecido, con equipos de trabajo propios y una estructura muy grande. Es difícil encontrar donde Patagonian pueda aportar 
- Final notes: Igual que la anterior, pero no mencionó nada de la recategorización
- Project Techs"&amp;" | Learning: 0
- Project Techs | Difficulty: 4
- Project Changes | Reasons: 🔀 Cambio de roles dentro del equipo, Cambio de equipo a uno de .NET
- Project Changes | Personal Impact: 4
- Project Role | Value: 4
- Project role | Notes: Es el único de ""afue"&amp;"ra"" de la empresa")</f>
        <v>- Interviewee e-Mail: luis.luna@patagonian.com
- Project Status Check: Tenía que buscar alguna Certificación: Azure Fundamentals a medias. Tenía que unirse al DEC de Frontend: 
- Project Changes | Notes: Full .NET. "Mataron" al equipo viejo
- Project Role | Feeling: 4
- Extra Work Hours | Amount: 0 (Ningúna)
- Extra Work Hours | Reason: Reuniones fuera de hora
- Techs | Research: No
- Techs | Recomendations: Le recomendé MS Learn https://learn.microsoft.com/en-us/training/ y que se decida respecto a su plan de carrera, ya que eligió varios cominos
- Techs | Recomendations check: Si, está intentando hacer la certificación (Azure Fundamentals) pero por fuera de Patagonian
- Collaborator | Seniority: 👍 No, es correcto
- Alerts: No
- Project Needs / Oportunities: Forge es un cliente ya establecido, con equipos de trabajo propios y una estructura muy grande. Es difícil encontrar donde Patagonian pueda aportar 
- Final notes: Igual que la anterior, pero no mencionó nada de la recategorización
- Project Techs | Learning: 0
- Project Techs | Difficulty: 4
- Project Changes | Reasons: 🔀 Cambio de roles dentro del equipo, Cambio de equipo a uno de .NET
- Project Changes | Personal Impact: 4
- Project Role | Value: 4
- Project role | Notes: Es el único de "afuera" de la empresa</v>
      </c>
      <c r="J360" s="4" t="str">
        <f>IFERROR(__xludf.DUMMYFUNCTION("""COMPUTED_VALUE"""),"Tech Referent - OneOnOne")</f>
        <v>Tech Referent - OneOnOne</v>
      </c>
    </row>
    <row r="361" hidden="1">
      <c r="A361" s="4">
        <f>IFERROR(__xludf.DUMMYFUNCTION("""COMPUTED_VALUE"""),201.0)</f>
        <v>201</v>
      </c>
      <c r="B361" s="4" t="str">
        <f>IFERROR(__xludf.DUMMYFUNCTION("""COMPUTED_VALUE"""),"daniel.cardenas")</f>
        <v>daniel.cardenas</v>
      </c>
      <c r="C361" s="5">
        <f>IFERROR(__xludf.DUMMYFUNCTION("""COMPUTED_VALUE"""),45114.71852100695)</f>
        <v>45114.71852</v>
      </c>
      <c r="D361" s="5">
        <f>IFERROR(__xludf.DUMMYFUNCTION("""COMPUTED_VALUE"""),45114.0)</f>
        <v>45114</v>
      </c>
      <c r="E361" s="4" t="str">
        <f>IFERROR(__xludf.DUMMYFUNCTION("""COMPUTED_VALUE"""),"tomas.bayley@patagoniansys.com")</f>
        <v>tomas.bayley@patagoniansys.com</v>
      </c>
      <c r="F361" s="4" t="str">
        <f>IFERROR(__xludf.DUMMYFUNCTION("""COMPUTED_VALUE"""),"daniel.cardenas@patagoniansys.com")</f>
        <v>daniel.cardenas@patagoniansys.com</v>
      </c>
      <c r="G361" s="4" t="str">
        <f>IFERROR(__xludf.DUMMYFUNCTION("""COMPUTED_VALUE"""),"⏱ One on One")</f>
        <v>⏱ One on One</v>
      </c>
      <c r="H361" s="4" t="str">
        <f>IFERROR(__xludf.DUMMYFUNCTION("""COMPUTED_VALUE"""),"🙂 Feliz")</f>
        <v>🙂 Feliz</v>
      </c>
      <c r="I361" s="6" t="str">
        <f>IFERROR(__xludf.DUMMYFUNCTION("""COMPUTED_VALUE"""),"Se muestra mas motivado respecto de patagonian y su posicion actual")</f>
        <v>Se muestra mas motivado respecto de patagonian y su posicion actual</v>
      </c>
      <c r="J361" s="4" t="str">
        <f>IFERROR(__xludf.DUMMYFUNCTION("""COMPUTED_VALUE"""),"PX|Referents|RRHH")</f>
        <v>PX|Referents|RRHH</v>
      </c>
    </row>
    <row r="362" hidden="1">
      <c r="A362" s="4">
        <f>IFERROR(__xludf.DUMMYFUNCTION("""COMPUTED_VALUE"""),98.0)</f>
        <v>98</v>
      </c>
      <c r="B362" s="4" t="str">
        <f>IFERROR(__xludf.DUMMYFUNCTION("""COMPUTED_VALUE"""),"gonzalo.garro")</f>
        <v>gonzalo.garro</v>
      </c>
      <c r="C362" s="5">
        <f>IFERROR(__xludf.DUMMYFUNCTION("""COMPUTED_VALUE"""),45117.60234726852)</f>
        <v>45117.60235</v>
      </c>
      <c r="D362" s="5">
        <f>IFERROR(__xludf.DUMMYFUNCTION("""COMPUTED_VALUE"""),45114.0)</f>
        <v>45114</v>
      </c>
      <c r="E362" s="4" t="str">
        <f>IFERROR(__xludf.DUMMYFUNCTION("""COMPUTED_VALUE"""),"micaela.zorzetto@patagoniansys.com")</f>
        <v>micaela.zorzetto@patagoniansys.com</v>
      </c>
      <c r="F362" s="4" t="str">
        <f>IFERROR(__xludf.DUMMYFUNCTION("""COMPUTED_VALUE"""),"gonzalo.garro@patagoniansys.com")</f>
        <v>gonzalo.garro@patagoniansys.com</v>
      </c>
      <c r="G362" s="4" t="str">
        <f>IFERROR(__xludf.DUMMYFUNCTION("""COMPUTED_VALUE"""),"⏱ One on One")</f>
        <v>⏱ One on One</v>
      </c>
      <c r="H362" s="4" t="str">
        <f>IFERROR(__xludf.DUMMYFUNCTION("""COMPUTED_VALUE"""),"🙂 Feliz")</f>
        <v>🙂 Feliz</v>
      </c>
      <c r="I362" s="6" t="str">
        <f>IFERROR(__xludf.DUMMYFUNCTION("""COMPUTED_VALUE"""),"Gonza, esta asignado 8 horas al proyecto Overplay junto con Zeke y también esta tomando  otras resposabilidades dentro de Patagonian. Esta contento con las responsabilidadesy la confianza que tienen en él.
Muchas veces siente que no le alcanza el tiempo p"&amp;"ara cumplir con todo lo que tiene que hacer.
")</f>
        <v>Gonza, esta asignado 8 horas al proyecto Overplay junto con Zeke y también esta tomando  otras resposabilidades dentro de Patagonian. Esta contento con las responsabilidadesy la confianza que tienen en él.
Muchas veces siente que no le alcanza el tiempo para cumplir con todo lo que tiene que hacer.
</v>
      </c>
      <c r="J362" s="4" t="str">
        <f>IFERROR(__xludf.DUMMYFUNCTION("""COMPUTED_VALUE"""),"PX|Referents|RRHH")</f>
        <v>PX|Referents|RRHH</v>
      </c>
    </row>
    <row r="363" hidden="1">
      <c r="A363" s="4">
        <f>IFERROR(__xludf.DUMMYFUNCTION("""COMPUTED_VALUE"""),106.0)</f>
        <v>106</v>
      </c>
      <c r="B363" s="4" t="str">
        <f>IFERROR(__xludf.DUMMYFUNCTION("""COMPUTED_VALUE"""),"natalia.martinez")</f>
        <v>natalia.martinez</v>
      </c>
      <c r="C363" s="5">
        <f>IFERROR(__xludf.DUMMYFUNCTION("""COMPUTED_VALUE"""),45134.59028033565)</f>
        <v>45134.59028</v>
      </c>
      <c r="D363" s="5">
        <f>IFERROR(__xludf.DUMMYFUNCTION("""COMPUTED_VALUE"""),45114.0)</f>
        <v>45114</v>
      </c>
      <c r="E363" s="4" t="str">
        <f>IFERROR(__xludf.DUMMYFUNCTION("""COMPUTED_VALUE"""),"maria.llano@patagoniansys.com")</f>
        <v>maria.llano@patagoniansys.com</v>
      </c>
      <c r="F363" s="4" t="str">
        <f>IFERROR(__xludf.DUMMYFUNCTION("""COMPUTED_VALUE"""),"natalia.martinez@patagoniansys.com")</f>
        <v>natalia.martinez@patagoniansys.com</v>
      </c>
      <c r="G363" s="4" t="str">
        <f>IFERROR(__xludf.DUMMYFUNCTION("""COMPUTED_VALUE"""),"⏱ One on One")</f>
        <v>⏱ One on One</v>
      </c>
      <c r="H363" s="4" t="str">
        <f>IFERROR(__xludf.DUMMYFUNCTION("""COMPUTED_VALUE"""),"🙂 Feliz")</f>
        <v>🙂 Feliz</v>
      </c>
      <c r="I363" s="6" t="str">
        <f>IFERROR(__xludf.DUMMYFUNCTION("""COMPUTED_VALUE"""),"Tiene gran interes en moverse a PO - PM, este es un interes muy latente en todas las charlas que hemos tenido.
DE hecho quiere iniciar el career path de PO 
En Conversifi, aunque su rol principal es QA Manual, se desempeña muy bien brindando apoyo al equ"&amp;"ipo, conoce a fondo el producto y se relaciona muy bien con el cliente, el cliente confia muchisisismo en ella. Ayuda a definir funcionalidades y a guiar al equipo conociendo su capacity
")</f>
        <v>Tiene gran interes en moverse a PO - PM, este es un interes muy latente en todas las charlas que hemos tenido.
DE hecho quiere iniciar el career path de PO 
En Conversifi, aunque su rol principal es QA Manual, se desempeña muy bien brindando apoyo al equipo, conoce a fondo el producto y se relaciona muy bien con el cliente, el cliente confia muchisisismo en ella. Ayuda a definir funcionalidades y a guiar al equipo conociendo su capacity
</v>
      </c>
      <c r="J363" s="4" t="str">
        <f>IFERROR(__xludf.DUMMYFUNCTION("""COMPUTED_VALUE"""),"PX|Referents|RRHH")</f>
        <v>PX|Referents|RRHH</v>
      </c>
    </row>
    <row r="364" hidden="1">
      <c r="A364" s="4">
        <f>IFERROR(__xludf.DUMMYFUNCTION("""COMPUTED_VALUE"""),243.0)</f>
        <v>243</v>
      </c>
      <c r="B364" s="4" t="str">
        <f>IFERROR(__xludf.DUMMYFUNCTION("""COMPUTED_VALUE"""),"fernando.estevez")</f>
        <v>fernando.estevez</v>
      </c>
      <c r="C364" s="5">
        <f>IFERROR(__xludf.DUMMYFUNCTION("""COMPUTED_VALUE"""),45135.640285104164)</f>
        <v>45135.64029</v>
      </c>
      <c r="D364" s="5">
        <f>IFERROR(__xludf.DUMMYFUNCTION("""COMPUTED_VALUE"""),45114.0)</f>
        <v>45114</v>
      </c>
      <c r="E364" s="4" t="str">
        <f>IFERROR(__xludf.DUMMYFUNCTION("""COMPUTED_VALUE"""),"micaela.zorzetto@patagoniansys.com")</f>
        <v>micaela.zorzetto@patagoniansys.com</v>
      </c>
      <c r="F364" s="4" t="str">
        <f>IFERROR(__xludf.DUMMYFUNCTION("""COMPUTED_VALUE"""),"fernando.estevez@patagoniansys.com")</f>
        <v>fernando.estevez@patagoniansys.com</v>
      </c>
      <c r="G364" s="4" t="str">
        <f>IFERROR(__xludf.DUMMYFUNCTION("""COMPUTED_VALUE"""),"⏱ One on One")</f>
        <v>⏱ One on One</v>
      </c>
      <c r="H364" s="4" t="str">
        <f>IFERROR(__xludf.DUMMYFUNCTION("""COMPUTED_VALUE"""),"🙂 Feliz")</f>
        <v>🙂 Feliz</v>
      </c>
      <c r="I364" s="6" t="str">
        <f>IFERROR(__xludf.DUMMYFUNCTION("""COMPUTED_VALUE"""),"Fer está muy contento en el proyecto, aprendiendo mucho. 
Me cuenta que de Jorge aprende mucho.")</f>
        <v>Fer está muy contento en el proyecto, aprendiendo mucho. 
Me cuenta que de Jorge aprende mucho.</v>
      </c>
      <c r="J364" s="4" t="str">
        <f>IFERROR(__xludf.DUMMYFUNCTION("""COMPUTED_VALUE"""),"PX|Referents|RRHH")</f>
        <v>PX|Referents|RRHH</v>
      </c>
    </row>
    <row r="365" hidden="1">
      <c r="A365" s="4">
        <f>IFERROR(__xludf.DUMMYFUNCTION("""COMPUTED_VALUE"""),227.0)</f>
        <v>227</v>
      </c>
      <c r="B365" s="4" t="str">
        <f>IFERROR(__xludf.DUMMYFUNCTION("""COMPUTED_VALUE"""),"martin.infante")</f>
        <v>martin.infante</v>
      </c>
      <c r="C365" s="5">
        <f>IFERROR(__xludf.DUMMYFUNCTION("""COMPUTED_VALUE"""),45135.66637435185)</f>
        <v>45135.66637</v>
      </c>
      <c r="D365" s="5">
        <f>IFERROR(__xludf.DUMMYFUNCTION("""COMPUTED_VALUE"""),45114.0)</f>
        <v>45114</v>
      </c>
      <c r="E365" s="4" t="str">
        <f>IFERROR(__xludf.DUMMYFUNCTION("""COMPUTED_VALUE"""),"micaela.zorzetto@patagoniansys.com")</f>
        <v>micaela.zorzetto@patagoniansys.com</v>
      </c>
      <c r="F365" s="4" t="str">
        <f>IFERROR(__xludf.DUMMYFUNCTION("""COMPUTED_VALUE"""),"martin.infante@patagoniansys.com")</f>
        <v>martin.infante@patagoniansys.com</v>
      </c>
      <c r="G365" s="4" t="str">
        <f>IFERROR(__xludf.DUMMYFUNCTION("""COMPUTED_VALUE"""),"⏱ One on One")</f>
        <v>⏱ One on One</v>
      </c>
      <c r="H365" s="4" t="str">
        <f>IFERROR(__xludf.DUMMYFUNCTION("""COMPUTED_VALUE"""),"🙂 Feliz")</f>
        <v>🙂 Feliz</v>
      </c>
      <c r="I365" s="6" t="str">
        <f>IFERROR(__xludf.DUMMYFUNCTION("""COMPUTED_VALUE"""),"Martin, esta bien en el proyecto. Ahora también esta enfocado en diferentes tareas internas que le pidió Edu. Le gusta mucho participar de eso, ya que siente que aporta a la empresa y le gusta que sientan confianza en él.")</f>
        <v>Martin, esta bien en el proyecto. Ahora también esta enfocado en diferentes tareas internas que le pidió Edu. Le gusta mucho participar de eso, ya que siente que aporta a la empresa y le gusta que sientan confianza en él.</v>
      </c>
      <c r="J365" s="4" t="str">
        <f>IFERROR(__xludf.DUMMYFUNCTION("""COMPUTED_VALUE"""),"PX|Referents|RRHH")</f>
        <v>PX|Referents|RRHH</v>
      </c>
    </row>
    <row r="366" hidden="1">
      <c r="A366" s="4">
        <f>IFERROR(__xludf.DUMMYFUNCTION("""COMPUTED_VALUE"""),105.0)</f>
        <v>105</v>
      </c>
      <c r="B366" s="4" t="str">
        <f>IFERROR(__xludf.DUMMYFUNCTION("""COMPUTED_VALUE"""),"henry.tong")</f>
        <v>henry.tong</v>
      </c>
      <c r="C366" s="5">
        <f>IFERROR(__xludf.DUMMYFUNCTION("""COMPUTED_VALUE"""),45117.68083755787)</f>
        <v>45117.68084</v>
      </c>
      <c r="D366" s="5">
        <f>IFERROR(__xludf.DUMMYFUNCTION("""COMPUTED_VALUE"""),45117.0)</f>
        <v>45117</v>
      </c>
      <c r="E366" s="4" t="str">
        <f>IFERROR(__xludf.DUMMYFUNCTION("""COMPUTED_VALUE"""),"natalia.aguirre@patagoniansys.com")</f>
        <v>natalia.aguirre@patagoniansys.com</v>
      </c>
      <c r="F366" s="4" t="str">
        <f>IFERROR(__xludf.DUMMYFUNCTION("""COMPUTED_VALUE"""),"henry.tong@patagoniansys.com")</f>
        <v>henry.tong@patagoniansys.com</v>
      </c>
      <c r="G366" s="4" t="str">
        <f>IFERROR(__xludf.DUMMYFUNCTION("""COMPUTED_VALUE"""),"⏱ One on One")</f>
        <v>⏱ One on One</v>
      </c>
      <c r="H366" s="4" t="str">
        <f>IFERROR(__xludf.DUMMYFUNCTION("""COMPUTED_VALUE"""),"😀 Sumamente Feliz")</f>
        <v>😀 Sumamente Feliz</v>
      </c>
      <c r="I366" s="6" t="str">
        <f>IFERROR(__xludf.DUMMYFUNCTION("""COMPUTED_VALUE"""),"Cliente: El proyecto es muy retador, se prueban muchas cosas nuevas, tecnologías que no he usado ( Backend development: blockchain / solidity y Frontend developer: react, svelte), es emocionante pero a veces cuesta seguirles el paso. Tengo toda la intenci"&amp;"ón de aprender de esos temas pero a veces el tiempo no me da). ")</f>
        <v>Cliente: El proyecto es muy retador, se prueban muchas cosas nuevas, tecnologías que no he usado ( Backend development: blockchain / solidity y Frontend developer: react, svelte), es emocionante pero a veces cuesta seguirles el paso. Tengo toda la intención de aprender de esos temas pero a veces el tiempo no me da). </v>
      </c>
      <c r="J366" s="4" t="str">
        <f>IFERROR(__xludf.DUMMYFUNCTION("""COMPUTED_VALUE"""),"PX|Referents|RRHH")</f>
        <v>PX|Referents|RRHH</v>
      </c>
    </row>
    <row r="367" hidden="1">
      <c r="A367" s="4">
        <f>IFERROR(__xludf.DUMMYFUNCTION("""COMPUTED_VALUE"""),105.0)</f>
        <v>105</v>
      </c>
      <c r="B367" s="4" t="str">
        <f>IFERROR(__xludf.DUMMYFUNCTION("""COMPUTED_VALUE"""),"henry.tong")</f>
        <v>henry.tong</v>
      </c>
      <c r="C367" s="5">
        <f>IFERROR(__xludf.DUMMYFUNCTION("""COMPUTED_VALUE"""),45117.731490266204)</f>
        <v>45117.73149</v>
      </c>
      <c r="D367" s="5">
        <f>IFERROR(__xludf.DUMMYFUNCTION("""COMPUTED_VALUE"""),45117.0)</f>
        <v>45117</v>
      </c>
      <c r="E367" s="4" t="str">
        <f>IFERROR(__xludf.DUMMYFUNCTION("""COMPUTED_VALUE"""),"gonzalo.garro@patagoniansys.com")</f>
        <v>gonzalo.garro@patagoniansys.com</v>
      </c>
      <c r="F367" s="4" t="str">
        <f>IFERROR(__xludf.DUMMYFUNCTION("""COMPUTED_VALUE"""),"henry.tong@patagoniansys.com")</f>
        <v>henry.tong@patagoniansys.com</v>
      </c>
      <c r="G367" s="4" t="str">
        <f>IFERROR(__xludf.DUMMYFUNCTION("""COMPUTED_VALUE"""),"Leader - Specialist - One on one")</f>
        <v>Leader - Specialist - One on one</v>
      </c>
      <c r="H367" s="4" t="str">
        <f>IFERROR(__xludf.DUMMYFUNCTION("""COMPUTED_VALUE"""),"🙂 Feliz")</f>
        <v>🙂 Feliz</v>
      </c>
      <c r="I367" s="6" t="str">
        <f>IFERROR(__xludf.DUMMYFUNCTION("""COMPUTED_VALUE"""),"Se le aclararon aspectos del proceso. Se le mostró su dashboard y se le indico como hacer las diferentes 1a1. Tenía dudas sobre que form usar en cada caso.
Preocupación por los career paths, es una duda recurrente que le hacen en las 1a1.
En general va bi"&amp;"en con el proceso y no siente que sea una carga significativa
Actualmente esta en Test Machine. Un validador de smart contracts. En el team del backend. Programando en Python.
Esta super contento con las tecnologías usadas y con el proyecto en general. E"&amp;"s el único Patagonian trabajando ahí.")</f>
        <v>Se le aclararon aspectos del proceso. Se le mostró su dashboard y se le indico como hacer las diferentes 1a1. Tenía dudas sobre que form usar en cada caso.
Preocupación por los career paths, es una duda recurrente que le hacen en las 1a1.
En general va bien con el proceso y no siente que sea una carga significativa
Actualmente esta en Test Machine. Un validador de smart contracts. En el team del backend. Programando en Python.
Esta super contento con las tecnologías usadas y con el proyecto en general. Es el único Patagonian trabajando ahí.</v>
      </c>
      <c r="J367" s="4" t="str">
        <f>IFERROR(__xludf.DUMMYFUNCTION("""COMPUTED_VALUE"""),"PX|Referents|RRHH")</f>
        <v>PX|Referents|RRHH</v>
      </c>
    </row>
    <row r="368" hidden="1">
      <c r="A368" s="4">
        <f>IFERROR(__xludf.DUMMYFUNCTION("""COMPUTED_VALUE"""),316.0)</f>
        <v>316</v>
      </c>
      <c r="B368" s="4" t="str">
        <f>IFERROR(__xludf.DUMMYFUNCTION("""COMPUTED_VALUE"""),"eddie.brenes")</f>
        <v>eddie.brenes</v>
      </c>
      <c r="C368" s="5">
        <f>IFERROR(__xludf.DUMMYFUNCTION("""COMPUTED_VALUE"""),45125.632973078704)</f>
        <v>45125.63297</v>
      </c>
      <c r="D368" s="5">
        <f>IFERROR(__xludf.DUMMYFUNCTION("""COMPUTED_VALUE"""),45117.0)</f>
        <v>45117</v>
      </c>
      <c r="E368" s="4" t="str">
        <f>IFERROR(__xludf.DUMMYFUNCTION("""COMPUTED_VALUE"""),"micaela.zorzetto@patagoniansys.com")</f>
        <v>micaela.zorzetto@patagoniansys.com</v>
      </c>
      <c r="F368" s="4" t="str">
        <f>IFERROR(__xludf.DUMMYFUNCTION("""COMPUTED_VALUE"""),"eddie.brenes@patagoniansys.com")</f>
        <v>eddie.brenes@patagoniansys.com</v>
      </c>
      <c r="G368" s="4" t="str">
        <f>IFERROR(__xludf.DUMMYFUNCTION("""COMPUTED_VALUE"""),"⏱ One on One")</f>
        <v>⏱ One on One</v>
      </c>
      <c r="H368" s="4" t="str">
        <f>IFERROR(__xludf.DUMMYFUNCTION("""COMPUTED_VALUE"""),"🙂 Feliz")</f>
        <v>🙂 Feliz</v>
      </c>
      <c r="I368" s="6" t="str">
        <f>IFERROR(__xludf.DUMMYFUNCTION("""COMPUTED_VALUE"""),"Se siente comodo en el proyecto y la empresa. El cliente y sus compañeros son muy amables y buena onda con él. 
Marcela como PM siempre hace lo posible para ayudarlo y responder las dudas que tenga.
Va estar en San Francisco, y su idea es acercarse a la o"&amp;"ficina del cliente. ")</f>
        <v>Se siente comodo en el proyecto y la empresa. El cliente y sus compañeros son muy amables y buena onda con él. 
Marcela como PM siempre hace lo posible para ayudarlo y responder las dudas que tenga.
Va estar en San Francisco, y su idea es acercarse a la oficina del cliente. </v>
      </c>
      <c r="J368" s="4" t="str">
        <f>IFERROR(__xludf.DUMMYFUNCTION("""COMPUTED_VALUE"""),"PX|Referents|RRHH")</f>
        <v>PX|Referents|RRHH</v>
      </c>
    </row>
    <row r="369" hidden="1">
      <c r="A369" s="4">
        <f>IFERROR(__xludf.DUMMYFUNCTION("""COMPUTED_VALUE"""),333.0)</f>
        <v>333</v>
      </c>
      <c r="B369" s="4" t="str">
        <f>IFERROR(__xludf.DUMMYFUNCTION("""COMPUTED_VALUE"""),"guillermo.escalante")</f>
        <v>guillermo.escalante</v>
      </c>
      <c r="C369" s="5">
        <f>IFERROR(__xludf.DUMMYFUNCTION("""COMPUTED_VALUE"""),45125.640012916665)</f>
        <v>45125.64001</v>
      </c>
      <c r="D369" s="5">
        <f>IFERROR(__xludf.DUMMYFUNCTION("""COMPUTED_VALUE"""),45117.0)</f>
        <v>45117</v>
      </c>
      <c r="E369" s="4" t="str">
        <f>IFERROR(__xludf.DUMMYFUNCTION("""COMPUTED_VALUE"""),"micaela.zorzetto@patagoniansys.com")</f>
        <v>micaela.zorzetto@patagoniansys.com</v>
      </c>
      <c r="F369" s="4" t="str">
        <f>IFERROR(__xludf.DUMMYFUNCTION("""COMPUTED_VALUE"""),"guillermo.escalante@patagoniansys.com")</f>
        <v>guillermo.escalante@patagoniansys.com</v>
      </c>
      <c r="G369" s="4" t="str">
        <f>IFERROR(__xludf.DUMMYFUNCTION("""COMPUTED_VALUE"""),"⏱ One on One")</f>
        <v>⏱ One on One</v>
      </c>
      <c r="H369" s="4" t="str">
        <f>IFERROR(__xludf.DUMMYFUNCTION("""COMPUTED_VALUE"""),"🙂 Feliz")</f>
        <v>🙂 Feliz</v>
      </c>
      <c r="I369" s="6" t="str">
        <f>IFERROR(__xludf.DUMMYFUNCTION("""COMPUTED_VALUE"""),"Se siente cómodo en le proyecto, ya tiene una buena relación con el cliente. Cualquier duda que tenga siempre se apoya en Leo Buret. A veces en el proyecto tiene algunas complicaciones porque tiene muchas carga o si tiene que hacer alguna consulta se demo"&amp;"ran en darle la respuesta. 
Con Fico tiene una buena relación, solo se comunican por temas especificos, cuenta con el apoyo de él. 
Le gusta la empresa, y participar de las actividades que se proponen. 
Con su PM, Jimena no tiene una comunicación fluida.")</f>
        <v>Se siente cómodo en le proyecto, ya tiene una buena relación con el cliente. Cualquier duda que tenga siempre se apoya en Leo Buret. A veces en el proyecto tiene algunas complicaciones porque tiene muchas carga o si tiene que hacer alguna consulta se demoran en darle la respuesta. 
Con Fico tiene una buena relación, solo se comunican por temas especificos, cuenta con el apoyo de él. 
Le gusta la empresa, y participar de las actividades que se proponen. 
Con su PM, Jimena no tiene una comunicación fluida.</v>
      </c>
      <c r="J369" s="4" t="str">
        <f>IFERROR(__xludf.DUMMYFUNCTION("""COMPUTED_VALUE"""),"PX|Referents|RRHH")</f>
        <v>PX|Referents|RRHH</v>
      </c>
    </row>
    <row r="370" hidden="1">
      <c r="A370" s="4">
        <f>IFERROR(__xludf.DUMMYFUNCTION("""COMPUTED_VALUE"""),234.0)</f>
        <v>234</v>
      </c>
      <c r="B370" s="4" t="str">
        <f>IFERROR(__xludf.DUMMYFUNCTION("""COMPUTED_VALUE"""),"matias.gudar")</f>
        <v>matias.gudar</v>
      </c>
      <c r="C370" s="5">
        <f>IFERROR(__xludf.DUMMYFUNCTION("""COMPUTED_VALUE"""),45138.64720515047)</f>
        <v>45138.64721</v>
      </c>
      <c r="D370" s="5">
        <f>IFERROR(__xludf.DUMMYFUNCTION("""COMPUTED_VALUE"""),45117.0)</f>
        <v>45117</v>
      </c>
      <c r="E370" s="4" t="str">
        <f>IFERROR(__xludf.DUMMYFUNCTION("""COMPUTED_VALUE"""),"micaela.zorzetto@patagoniansys.com")</f>
        <v>micaela.zorzetto@patagoniansys.com</v>
      </c>
      <c r="F370" s="4" t="str">
        <f>IFERROR(__xludf.DUMMYFUNCTION("""COMPUTED_VALUE"""),"matias.gudar@patagoniansys.com")</f>
        <v>matias.gudar@patagoniansys.com</v>
      </c>
      <c r="G370" s="4" t="str">
        <f>IFERROR(__xludf.DUMMYFUNCTION("""COMPUTED_VALUE"""),"⏱ One on One")</f>
        <v>⏱ One on One</v>
      </c>
      <c r="H370" s="4" t="str">
        <f>IFERROR(__xludf.DUMMYFUNCTION("""COMPUTED_VALUE"""),"🙂 Feliz")</f>
        <v>🙂 Feliz</v>
      </c>
      <c r="I370" s="6" t="str">
        <f>IFERROR(__xludf.DUMMYFUNCTION("""COMPUTED_VALUE"""),"Le gusta el proyecto en el que esta, hace cosas nuevas y aprende mucho. 
Contento con el cliente también. ")</f>
        <v>Le gusta el proyecto en el que esta, hace cosas nuevas y aprende mucho. 
Contento con el cliente también. </v>
      </c>
      <c r="J370" s="4" t="str">
        <f>IFERROR(__xludf.DUMMYFUNCTION("""COMPUTED_VALUE"""),"PX|Referents|RRHH")</f>
        <v>PX|Referents|RRHH</v>
      </c>
    </row>
    <row r="371" hidden="1">
      <c r="A371" s="4">
        <f>IFERROR(__xludf.DUMMYFUNCTION("""COMPUTED_VALUE"""),315.0)</f>
        <v>315</v>
      </c>
      <c r="B371" s="4" t="str">
        <f>IFERROR(__xludf.DUMMYFUNCTION("""COMPUTED_VALUE"""),"juan.lara")</f>
        <v>juan.lara</v>
      </c>
      <c r="C371" s="5">
        <f>IFERROR(__xludf.DUMMYFUNCTION("""COMPUTED_VALUE"""),45138.649255613425)</f>
        <v>45138.64926</v>
      </c>
      <c r="D371" s="5">
        <f>IFERROR(__xludf.DUMMYFUNCTION("""COMPUTED_VALUE"""),45117.0)</f>
        <v>45117</v>
      </c>
      <c r="E371" s="4" t="str">
        <f>IFERROR(__xludf.DUMMYFUNCTION("""COMPUTED_VALUE"""),"micaela.zorzetto@patagoniansys.com")</f>
        <v>micaela.zorzetto@patagoniansys.com</v>
      </c>
      <c r="F371" s="4" t="str">
        <f>IFERROR(__xludf.DUMMYFUNCTION("""COMPUTED_VALUE"""),"juan.lara@patagoniansys.com")</f>
        <v>juan.lara@patagoniansys.com</v>
      </c>
      <c r="G371" s="4" t="str">
        <f>IFERROR(__xludf.DUMMYFUNCTION("""COMPUTED_VALUE"""),"⏱ One on One")</f>
        <v>⏱ One on One</v>
      </c>
      <c r="H371" s="4" t="str">
        <f>IFERROR(__xludf.DUMMYFUNCTION("""COMPUTED_VALUE"""),"🙂 Feliz")</f>
        <v>🙂 Feliz</v>
      </c>
      <c r="I371" s="6" t="str">
        <f>IFERROR(__xludf.DUMMYFUNCTION("""COMPUTED_VALUE"""),"Esta esperando a ver que pasa con el proyecto,si hay continuidad o no.
Les gusta mucho trabajar en Patagonian, por la gente y la cultura.")</f>
        <v>Esta esperando a ver que pasa con el proyecto,si hay continuidad o no.
Les gusta mucho trabajar en Patagonian, por la gente y la cultura.</v>
      </c>
      <c r="J371" s="4" t="str">
        <f>IFERROR(__xludf.DUMMYFUNCTION("""COMPUTED_VALUE"""),"PX|Referents|RRHH")</f>
        <v>PX|Referents|RRHH</v>
      </c>
    </row>
    <row r="372">
      <c r="A372" s="4">
        <f>IFERROR(__xludf.DUMMYFUNCTION("""COMPUTED_VALUE"""),248.0)</f>
        <v>248</v>
      </c>
      <c r="B372" s="4" t="str">
        <f>IFERROR(__xludf.DUMMYFUNCTION("""COMPUTED_VALUE"""),"geronimo.cornou")</f>
        <v>geronimo.cornou</v>
      </c>
      <c r="C372" s="5">
        <f>IFERROR(__xludf.DUMMYFUNCTION("""COMPUTED_VALUE"""),45118.44483753473)</f>
        <v>45118.44484</v>
      </c>
      <c r="D372" s="5">
        <f>IFERROR(__xludf.DUMMYFUNCTION("""COMPUTED_VALUE"""),45118.0)</f>
        <v>45118</v>
      </c>
      <c r="E372" s="4" t="str">
        <f>IFERROR(__xludf.DUMMYFUNCTION("""COMPUTED_VALUE"""),"luis.soto@patagoniansys.com")</f>
        <v>luis.soto@patagoniansys.com</v>
      </c>
      <c r="F372" s="4" t="str">
        <f>IFERROR(__xludf.DUMMYFUNCTION("""COMPUTED_VALUE"""),"geronimo.cornou@patagoniansys.com")</f>
        <v>geronimo.cornou@patagoniansys.com</v>
      </c>
      <c r="G372" s="4" t="str">
        <f>IFERROR(__xludf.DUMMYFUNCTION("""COMPUTED_VALUE"""),"Initial gathering")</f>
        <v>Initial gathering</v>
      </c>
      <c r="H372" s="4"/>
      <c r="I372" s="6" t="str">
        <f>IFERROR(__xludf.DUMMYFUNCTION("""COMPUTED_VALUE"""),"- Interviewee e-Mail: geronimo.cornou@patagoniansys.com
- Project name: Rhebus
- Project | Role: QA Manual
- Project | technologies: Zuka: Testing manual de un app de react, clickup, mattermost 
- Happiness in project technology: 😀 Sumamente Feliz
- Happ"&amp;"iness in project technology | Description: Ninguna desmotivacion
- Project | The best/coolest thing: Le gusta que hay que trabajar en contrareloj, pensando estrategias optimas pasra cumplir los deadlines, le gusta el ritmo del proyecto 
- Project | The wo"&amp;"rst thing: Nada, en general se siente bien con React
- Project | Improvements: La mejora que se podia hacer ya se cambio (de angular a react), eso ya lo tiene muy sastifecho 
- Team | TL: Bryan Barrios
- Team | PX: Isabel llanos 
- Team | QA: 1
- Team | Q"&amp;"A Automation: 👎 No
- Team | QA | Notes: No hay planes de automatizar por el tiempo que tienen (solo les queda 1 mes)
- Team | UI/UX: 0
- Team | UI/UX | Notes: No hay
- Team | DevOps: 0
- Team | DevOps | Notes: No tienen DevOps, pero Bryan hace los tasks "&amp;"relacionados
- Team | Data Engineer: 0")</f>
        <v>- Interviewee e-Mail: geronimo.cornou@patagoniansys.com
- Project name: Rhebus
- Project | Role: QA Manual
- Project | technologies: Zuka: Testing manual de un app de react, clickup, mattermost 
- Happiness in project technology: 😀 Sumamente Feliz
- Happiness in project technology | Description: Ninguna desmotivacion
- Project | The best/coolest thing: Le gusta que hay que trabajar en contrareloj, pensando estrategias optimas pasra cumplir los deadlines, le gusta el ritmo del proyecto 
- Project | The worst thing: Nada, en general se siente bien con React
- Project | Improvements: La mejora que se podia hacer ya se cambio (de angular a react), eso ya lo tiene muy sastifecho 
- Team | TL: Bryan Barrios
- Team | PX: Isabel llanos 
- Team | QA: 1
- Team | QA Automation: 👎 No
- Team | QA | Notes: No hay planes de automatizar por el tiempo que tienen (solo les queda 1 mes)
- Team | UI/UX: 0
- Team | UI/UX | Notes: No hay
- Team | DevOps: 0
- Team | DevOps | Notes: No tienen DevOps, pero Bryan hace los tasks relacionados
- Team | Data Engineer: 0</v>
      </c>
      <c r="J372" s="4" t="str">
        <f>IFERROR(__xludf.DUMMYFUNCTION("""COMPUTED_VALUE"""),"Tech Referent - Initial gathering")</f>
        <v>Tech Referent - Initial gathering</v>
      </c>
    </row>
    <row r="373">
      <c r="A373" s="4">
        <f>IFERROR(__xludf.DUMMYFUNCTION("""COMPUTED_VALUE"""),293.0)</f>
        <v>293</v>
      </c>
      <c r="B373" s="4" t="str">
        <f>IFERROR(__xludf.DUMMYFUNCTION("""COMPUTED_VALUE"""),"andres.caceres")</f>
        <v>andres.caceres</v>
      </c>
      <c r="C373" s="5">
        <f>IFERROR(__xludf.DUMMYFUNCTION("""COMPUTED_VALUE"""),45118.59993913195)</f>
        <v>45118.59994</v>
      </c>
      <c r="D373" s="5">
        <f>IFERROR(__xludf.DUMMYFUNCTION("""COMPUTED_VALUE"""),45118.0)</f>
        <v>45118</v>
      </c>
      <c r="E373" s="4" t="str">
        <f>IFERROR(__xludf.DUMMYFUNCTION("""COMPUTED_VALUE"""),"luciano.fuentes@patagoniansys.com")</f>
        <v>luciano.fuentes@patagoniansys.com</v>
      </c>
      <c r="F373" s="4" t="str">
        <f>IFERROR(__xludf.DUMMYFUNCTION("""COMPUTED_VALUE"""),"andres.caceres@patagonian.com")</f>
        <v>andres.caceres@patagonian.com</v>
      </c>
      <c r="G373" s="4" t="str">
        <f>IFERROR(__xludf.DUMMYFUNCTION("""COMPUTED_VALUE"""),"Referent One on One")</f>
        <v>Referent One on One</v>
      </c>
      <c r="H373" s="4"/>
      <c r="I373" s="6" t="str">
        <f>IFERROR(__xludf.DUMMYFUNCTION("""COMPUTED_VALUE"""),"- Interviewee e-Mail: andres.caceres@patagonian.com
- Project Status Check: Fue la primera reunion. Esta trabajando en mbdoy. Esta creando dashboard para crear encuestas para automatizar en NextJs. 
- Project Changes | Notes: No le afecto la reduccion del"&amp;" equipo ya que se disminuyo la carga de entregadas
- Project Role | Feeling: 5
- Extra Work Hours | Amount: 0 (Ningúna)
- Techs | Research: NextJs
- Techs | Certifications: NextJs Udemy
- Collaborator | Seniority: 👍 No, es correcto
- Alerts: Se lo ve muy"&amp;" motivado con la capacitacion que realizo en NextJs, aunque ve con un poco de preocupación de que el proyecto ya le queda poco y genera incertidumbre donde va a seguir.
- Project Needs / Oportunities: Menciono que el esta en un proyecto llamado benchlabs."&amp;" creo que darles claridad de los siguientes pasos luego de esos proyectos podría motivarlo aun mas.
- Project Techs | Learning: 25
- Project Techs | Difficulty: 4
- Project Changes | Reasons: ⬇️ Reducción del equipo
- Project Changes | Personal Impact: 3
"&amp;"- Project Role | Value: 5
- Project role | Notes: Se siente bastante contento con el nuevo stack")</f>
        <v>- Interviewee e-Mail: andres.caceres@patagonian.com
- Project Status Check: Fue la primera reunion. Esta trabajando en mbdoy. Esta creando dashboard para crear encuestas para automatizar en NextJs. 
- Project Changes | Notes: No le afecto la reduccion del equipo ya que se disminuyo la carga de entregadas
- Project Role | Feeling: 5
- Extra Work Hours | Amount: 0 (Ningúna)
- Techs | Research: NextJs
- Techs | Certifications: NextJs Udemy
- Collaborator | Seniority: 👍 No, es correcto
- Alerts: Se lo ve muy motivado con la capacitacion que realizo en NextJs, aunque ve con un poco de preocupación de que el proyecto ya le queda poco y genera incertidumbre donde va a seguir.
- Project Needs / Oportunities: Menciono que el esta en un proyecto llamado benchlabs. creo que darles claridad de los siguientes pasos luego de esos proyectos podría motivarlo aun mas.
- Project Techs | Learning: 25
- Project Techs | Difficulty: 4
- Project Changes | Reasons: ⬇️ Reducción del equipo
- Project Changes | Personal Impact: 3
- Project Role | Value: 5
- Project role | Notes: Se siente bastante contento con el nuevo stack</v>
      </c>
      <c r="J373" s="4" t="str">
        <f>IFERROR(__xludf.DUMMYFUNCTION("""COMPUTED_VALUE"""),"Tech Referent - OneOnOne")</f>
        <v>Tech Referent - OneOnOne</v>
      </c>
    </row>
    <row r="374" hidden="1">
      <c r="A374" s="4">
        <f>IFERROR(__xludf.DUMMYFUNCTION("""COMPUTED_VALUE"""),331.0)</f>
        <v>331</v>
      </c>
      <c r="B374" s="4" t="str">
        <f>IFERROR(__xludf.DUMMYFUNCTION("""COMPUTED_VALUE"""),"eduardo.giorgio")</f>
        <v>eduardo.giorgio</v>
      </c>
      <c r="C374" s="5">
        <f>IFERROR(__xludf.DUMMYFUNCTION("""COMPUTED_VALUE"""),45119.51125296296)</f>
        <v>45119.51125</v>
      </c>
      <c r="D374" s="5">
        <f>IFERROR(__xludf.DUMMYFUNCTION("""COMPUTED_VALUE"""),45119.0)</f>
        <v>45119</v>
      </c>
      <c r="E374" s="4" t="str">
        <f>IFERROR(__xludf.DUMMYFUNCTION("""COMPUTED_VALUE"""),"micaela.zorzetto@patagoniansys.com")</f>
        <v>micaela.zorzetto@patagoniansys.com</v>
      </c>
      <c r="F374" s="4" t="str">
        <f>IFERROR(__xludf.DUMMYFUNCTION("""COMPUTED_VALUE"""),"eduardo.giorgio@patagoniansys.com")</f>
        <v>eduardo.giorgio@patagoniansys.com</v>
      </c>
      <c r="G374" s="4" t="str">
        <f>IFERROR(__xludf.DUMMYFUNCTION("""COMPUTED_VALUE"""),"⏱ One on One")</f>
        <v>⏱ One on One</v>
      </c>
      <c r="H374" s="4" t="str">
        <f>IFERROR(__xludf.DUMMYFUNCTION("""COMPUTED_VALUE"""),"🙂 Feliz")</f>
        <v>🙂 Feliz</v>
      </c>
      <c r="I374" s="6" t="str">
        <f>IFERROR(__xludf.DUMMYFUNCTION("""COMPUTED_VALUE"""),"Esta bien en el proyecto, se siente cómodo con el cliente y el PM. 
Si tiene alguna duda o consulta lo busca a Leo Buret para tener respuesta. 
Me comenta que ahora esta en Argentina. 
Le solicitaron que rinda la certificación en Azure.")</f>
        <v>Esta bien en el proyecto, se siente cómodo con el cliente y el PM. 
Si tiene alguna duda o consulta lo busca a Leo Buret para tener respuesta. 
Me comenta que ahora esta en Argentina. 
Le solicitaron que rinda la certificación en Azure.</v>
      </c>
      <c r="J374" s="4" t="str">
        <f>IFERROR(__xludf.DUMMYFUNCTION("""COMPUTED_VALUE"""),"PX|Referents|RRHH")</f>
        <v>PX|Referents|RRHH</v>
      </c>
    </row>
    <row r="375">
      <c r="A375" s="4">
        <f>IFERROR(__xludf.DUMMYFUNCTION("""COMPUTED_VALUE"""),298.0)</f>
        <v>298</v>
      </c>
      <c r="B375" s="4" t="str">
        <f>IFERROR(__xludf.DUMMYFUNCTION("""COMPUTED_VALUE"""),"manuel.ortega")</f>
        <v>manuel.ortega</v>
      </c>
      <c r="C375" s="5">
        <f>IFERROR(__xludf.DUMMYFUNCTION("""COMPUTED_VALUE"""),45119.53098511574)</f>
        <v>45119.53099</v>
      </c>
      <c r="D375" s="5">
        <f>IFERROR(__xludf.DUMMYFUNCTION("""COMPUTED_VALUE"""),45119.0)</f>
        <v>45119</v>
      </c>
      <c r="E375" s="4" t="str">
        <f>IFERROR(__xludf.DUMMYFUNCTION("""COMPUTED_VALUE"""),"luciano.fuentes@patagoniansys.com")</f>
        <v>luciano.fuentes@patagoniansys.com</v>
      </c>
      <c r="F375" s="4" t="str">
        <f>IFERROR(__xludf.DUMMYFUNCTION("""COMPUTED_VALUE"""),"manuel.ortega@patagonian.com")</f>
        <v>manuel.ortega@patagonian.com</v>
      </c>
      <c r="G375" s="4" t="str">
        <f>IFERROR(__xludf.DUMMYFUNCTION("""COMPUTED_VALUE"""),"Referent One on One")</f>
        <v>Referent One on One</v>
      </c>
      <c r="H375" s="4"/>
      <c r="I375" s="6" t="str">
        <f>IFERROR(__xludf.DUMMYFUNCTION("""COMPUTED_VALUE"""),"- Interviewee e-Mail: manuel.ortega@patagonian.com
- Project Status Check: Estuvo en mbdody. Ahora esta VISTA Energy con microsoft power ups
- Project Changes | Notes: Le gustaba estar en mbdoy porque estaba aprendiendo en react pero tambien le gusto este"&amp;" cambio porque esta aprendiendo sobre microsoft power app
- Project Role | Feeling: 3
- Extra Work Hours | Amount: 0 (Ningúna)
- Techs | Research: ChatGPT
- Techs | Certifications: Udemy React y NextJS
- Techs | Recomendations: https://dev.to/maafaishal/a"&amp;"void-operator-for-conditional-rendering-in-react-2de
- Techs | Recomendations check: Fue la primera reunión 
- Collaborator | Seniority: 👍 No, es correcto
- Alerts: Al trabajar con una herramienta low code no tiene un rol definido dentro del proyecto. No"&amp;" es algo para alertar pero capaz definir su rol estaría bueno.
- Project Needs / Oportunities: Ya que es uno de los primeros proyectos que utiliza la herramienta Microsoft Power Apps se podria documentar en la wiki de patagonian sobre como dar los primero"&amp;"s pasos.
- Project Techs | Learning: 6
- Project Techs | Difficulty: 3
- Project Changes | Reasons: Cambio de proyecto de mbody a vsta energy
- Project Changes | Personal Impact: 4
- Project Role | Value: 3
- Project role | Notes: No tiene definido un rol"&amp;" especifico porque recien empieza el proyectos")</f>
        <v>- Interviewee e-Mail: manuel.ortega@patagonian.com
- Project Status Check: Estuvo en mbdody. Ahora esta VISTA Energy con microsoft power ups
- Project Changes | Notes: Le gustaba estar en mbdoy porque estaba aprendiendo en react pero tambien le gusto este cambio porque esta aprendiendo sobre microsoft power app
- Project Role | Feeling: 3
- Extra Work Hours | Amount: 0 (Ningúna)
- Techs | Research: ChatGPT
- Techs | Certifications: Udemy React y NextJS
- Techs | Recomendations: https://dev.to/maafaishal/avoid-operator-for-conditional-rendering-in-react-2de
- Techs | Recomendations check: Fue la primera reunión 
- Collaborator | Seniority: 👍 No, es correcto
- Alerts: Al trabajar con una herramienta low code no tiene un rol definido dentro del proyecto. No es algo para alertar pero capaz definir su rol estaría bueno.
- Project Needs / Oportunities: Ya que es uno de los primeros proyectos que utiliza la herramienta Microsoft Power Apps se podria documentar en la wiki de patagonian sobre como dar los primeros pasos.
- Project Techs | Learning: 6
- Project Techs | Difficulty: 3
- Project Changes | Reasons: Cambio de proyecto de mbody a vsta energy
- Project Changes | Personal Impact: 4
- Project Role | Value: 3
- Project role | Notes: No tiene definido un rol especifico porque recien empieza el proyectos</v>
      </c>
      <c r="J375" s="4" t="str">
        <f>IFERROR(__xludf.DUMMYFUNCTION("""COMPUTED_VALUE"""),"Tech Referent - OneOnOne")</f>
        <v>Tech Referent - OneOnOne</v>
      </c>
    </row>
    <row r="376">
      <c r="A376" s="4">
        <f>IFERROR(__xludf.DUMMYFUNCTION("""COMPUTED_VALUE"""),199.0)</f>
        <v>199</v>
      </c>
      <c r="B376" s="4" t="str">
        <f>IFERROR(__xludf.DUMMYFUNCTION("""COMPUTED_VALUE"""),"eileen.guerrero")</f>
        <v>eileen.guerrero</v>
      </c>
      <c r="C376" s="5">
        <f>IFERROR(__xludf.DUMMYFUNCTION("""COMPUTED_VALUE"""),45119.57049997685)</f>
        <v>45119.5705</v>
      </c>
      <c r="D376" s="5">
        <f>IFERROR(__xludf.DUMMYFUNCTION("""COMPUTED_VALUE"""),45119.0)</f>
        <v>45119</v>
      </c>
      <c r="E376" s="4" t="str">
        <f>IFERROR(__xludf.DUMMYFUNCTION("""COMPUTED_VALUE"""),"henry.tong@patagoniansys.com")</f>
        <v>henry.tong@patagoniansys.com</v>
      </c>
      <c r="F376" s="4" t="str">
        <f>IFERROR(__xludf.DUMMYFUNCTION("""COMPUTED_VALUE"""),"eileen.guerrero@patagonian.com")</f>
        <v>eileen.guerrero@patagonian.com</v>
      </c>
      <c r="G376" s="4" t="str">
        <f>IFERROR(__xludf.DUMMYFUNCTION("""COMPUTED_VALUE"""),"Initial gathering")</f>
        <v>Initial gathering</v>
      </c>
      <c r="H376" s="4"/>
      <c r="I376" s="6" t="str">
        <f>IFERROR(__xludf.DUMMYFUNCTION("""COMPUTED_VALUE"""),"- Interviewee e-Mail: eileen.guerrero@patagonian.com
- Project name: Almundo
- Project | Role: Backend Developer
- Project | Description: Backoffice para vendedores de al mundo (viajes, hoteles, turismo) integración con muchos sistemas
- Project | technol"&amp;"ogies: Java y SpringBoot
- Happiness in project technology: 🙂 Feliz
- Project | The best/coolest thing: Buena Arquitectura / patrones de diseño
- Project | The worst thing: Buena Arquitectura / patrones de diseño (lo mismo) porque eso a veces hace comple"&amp;"jo hacer algo sencilo. Muchos patrones. Arquitectura hexagonal. Muchos microservicios. Varias herramientas de comunicación de equipos pero son varios. Un cambio puede afedtar en muchos módulos o equipos.
- Project | Improvements: Demasiado acomplamiento, "&amp;"como que falta una visión general de arquitectura o lineamientos
- Team | TL: (de al mundo) María Etura
- Team | PX: (de al mundo) Mariela Mocchecciani
- Team | QA: 0
- Team | QA Automation: 🤔 No lo se
- Team | QA | Notes: 8 QAs del cliente
- Team | UI/U"&amp;"X: 0
- Team | DevOps: 👀 Otra situación
- Team | DevOps | Notes: DevOps del cliente
- Team | Data Engineer: 👀 Otra situación")</f>
        <v>- Interviewee e-Mail: eileen.guerrero@patagonian.com
- Project name: Almundo
- Project | Role: Backend Developer
- Project | Description: Backoffice para vendedores de al mundo (viajes, hoteles, turismo) integración con muchos sistemas
- Project | technologies: Java y SpringBoot
- Happiness in project technology: 🙂 Feliz
- Project | The best/coolest thing: Buena Arquitectura / patrones de diseño
- Project | The worst thing: Buena Arquitectura / patrones de diseño (lo mismo) porque eso a veces hace complejo hacer algo sencilo. Muchos patrones. Arquitectura hexagonal. Muchos microservicios. Varias herramientas de comunicación de equipos pero son varios. Un cambio puede afedtar en muchos módulos o equipos.
- Project | Improvements: Demasiado acomplamiento, como que falta una visión general de arquitectura o lineamientos
- Team | TL: (de al mundo) María Etura
- Team | PX: (de al mundo) Mariela Mocchecciani
- Team | QA: 0
- Team | QA Automation: 🤔 No lo se
- Team | QA | Notes: 8 QAs del cliente
- Team | UI/UX: 0
- Team | DevOps: 👀 Otra situación
- Team | DevOps | Notes: DevOps del cliente
- Team | Data Engineer: 👀 Otra situación</v>
      </c>
      <c r="J376" s="4" t="str">
        <f>IFERROR(__xludf.DUMMYFUNCTION("""COMPUTED_VALUE"""),"Tech Referent - Initial gathering")</f>
        <v>Tech Referent - Initial gathering</v>
      </c>
    </row>
    <row r="377">
      <c r="A377" s="4">
        <f>IFERROR(__xludf.DUMMYFUNCTION("""COMPUTED_VALUE"""),203.0)</f>
        <v>203</v>
      </c>
      <c r="B377" s="4" t="str">
        <f>IFERROR(__xludf.DUMMYFUNCTION("""COMPUTED_VALUE"""),"duverney.hernandez")</f>
        <v>duverney.hernandez</v>
      </c>
      <c r="C377" s="5">
        <f>IFERROR(__xludf.DUMMYFUNCTION("""COMPUTED_VALUE"""),45119.588076458334)</f>
        <v>45119.58808</v>
      </c>
      <c r="D377" s="5">
        <f>IFERROR(__xludf.DUMMYFUNCTION("""COMPUTED_VALUE"""),45119.0)</f>
        <v>45119</v>
      </c>
      <c r="E377" s="4" t="str">
        <f>IFERROR(__xludf.DUMMYFUNCTION("""COMPUTED_VALUE"""),"edgar.bonilla@patagoniansys.com")</f>
        <v>edgar.bonilla@patagoniansys.com</v>
      </c>
      <c r="F377" s="4" t="str">
        <f>IFERROR(__xludf.DUMMYFUNCTION("""COMPUTED_VALUE"""),"duverney.hernandez@patagoniansys.com")</f>
        <v>duverney.hernandez@patagoniansys.com</v>
      </c>
      <c r="G377" s="4" t="str">
        <f>IFERROR(__xludf.DUMMYFUNCTION("""COMPUTED_VALUE"""),"Initial gathering")</f>
        <v>Initial gathering</v>
      </c>
      <c r="H377" s="4"/>
      <c r="I377" s="6" t="str">
        <f>IFERROR(__xludf.DUMMYFUNCTION("""COMPUTED_VALUE"""),"- Interviewee e-Mail: duverney.hernandez@patagoniansys.com
- Project name: Almundo
- Project | Role: Frontend Developer
- Project | Description: - Está en el equipo de Alianzas. Almond establece alianzas con otras empresas y usan la misma plataforma, códi"&amp;"go e infraestructura para un portal web de la compañía aliada que funciona de la misma forma que funciona Almundo. Viene siendo como una iniciativa de Branded Apps. Avantrip es un aliado.
- Trabajan con la generación de promociones.
- En este momento tamb"&amp;"ién están trabajando buscando formas de optimizar la plataforma, por ejemplo con Lighthouse.
- Project | technologies: Agular, TypeScript, Jest, Lighthouse
- Happiness in project technology: 🙁 Poco Feliz
- Happiness in project technology | Description: V"&amp;"enía trabajando con React Native, lo cual es su especialidad y lo tenía muy motivado. Ahora trabaja con Angular en la web ya que Almundo decidió cerrar la app mobile, entonces tienen a los devs mobile haciendo cosas con Angular para la web.
Duverney ya v"&amp;"iene trabajando así un tiempo y si bien manifiesta que se quiso dar la oportunidad de aprender algo nuevo y contribuir al equipo y a la empresa, siente que al final no le encontró el gusto a lo que está haciendo ahora. De todos modos manifiesta que seguir"&amp;"á involucrado y dando su 100%, pero que quiere ya cambiar de proyecto.
- Project | The best/coolest thing: No desde el lado técnico, pero lo mejor del proyecto es el equipo y las personas.
- Project | The worst thing: El cambio brusco que sintió por pasar"&amp;" de mobile React Native a web Angular
- Project | Improvements: Optimizar la plataforma en cuanto a tiempo de carga, tamaño del bundle y demás. 
- Team | TL: Alvaro Gili (de Almundo)
- Team | PX: Tomás Bayley
- Team | QA: 1
- Team | QA Automation: 👍 Si
-"&amp;" Team | QA | Notes: Se hace poco QA
- Team | UI/UX: 2
- Team | DevOps: 1
- Team | Data Engineer: 1")</f>
        <v>- Interviewee e-Mail: duverney.hernandez@patagoniansys.com
- Project name: Almundo
- Project | Role: Frontend Developer
- Project | Description: - Está en el equipo de Alianzas. Almond establece alianzas con otras empresas y usan la misma plataforma, código e infraestructura para un portal web de la compañía aliada que funciona de la misma forma que funciona Almundo. Viene siendo como una iniciativa de Branded Apps. Avantrip es un aliado.
- Trabajan con la generación de promociones.
- En este momento también están trabajando buscando formas de optimizar la plataforma, por ejemplo con Lighthouse.
- Project | technologies: Agular, TypeScript, Jest, Lighthouse
- Happiness in project technology: 🙁 Poco Feliz
- Happiness in project technology | Description: Venía trabajando con React Native, lo cual es su especialidad y lo tenía muy motivado. Ahora trabaja con Angular en la web ya que Almundo decidió cerrar la app mobile, entonces tienen a los devs mobile haciendo cosas con Angular para la web.
Duverney ya viene trabajando así un tiempo y si bien manifiesta que se quiso dar la oportunidad de aprender algo nuevo y contribuir al equipo y a la empresa, siente que al final no le encontró el gusto a lo que está haciendo ahora. De todos modos manifiesta que seguirá involucrado y dando su 100%, pero que quiere ya cambiar de proyecto.
- Project | The best/coolest thing: No desde el lado técnico, pero lo mejor del proyecto es el equipo y las personas.
- Project | The worst thing: El cambio brusco que sintió por pasar de mobile React Native a web Angular
- Project | Improvements: Optimizar la plataforma en cuanto a tiempo de carga, tamaño del bundle y demás. 
- Team | TL: Alvaro Gili (de Almundo)
- Team | PX: Tomás Bayley
- Team | QA: 1
- Team | QA Automation: 👍 Si
- Team | QA | Notes: Se hace poco QA
- Team | UI/UX: 2
- Team | DevOps: 1
- Team | Data Engineer: 1</v>
      </c>
      <c r="J377" s="4" t="str">
        <f>IFERROR(__xludf.DUMMYFUNCTION("""COMPUTED_VALUE"""),"Tech Referent - Initial gathering")</f>
        <v>Tech Referent - Initial gathering</v>
      </c>
    </row>
    <row r="378">
      <c r="A378" s="4">
        <f>IFERROR(__xludf.DUMMYFUNCTION("""COMPUTED_VALUE"""),235.0)</f>
        <v>235</v>
      </c>
      <c r="B378" s="4" t="str">
        <f>IFERROR(__xludf.DUMMYFUNCTION("""COMPUTED_VALUE"""),"jose.acosta")</f>
        <v>jose.acosta</v>
      </c>
      <c r="C378" s="5">
        <f>IFERROR(__xludf.DUMMYFUNCTION("""COMPUTED_VALUE"""),45119.705654861114)</f>
        <v>45119.70565</v>
      </c>
      <c r="D378" s="5">
        <f>IFERROR(__xludf.DUMMYFUNCTION("""COMPUTED_VALUE"""),45119.0)</f>
        <v>45119</v>
      </c>
      <c r="E378" s="4" t="str">
        <f>IFERROR(__xludf.DUMMYFUNCTION("""COMPUTED_VALUE"""),"daniel.mansilla@patagoniansys.com")</f>
        <v>daniel.mansilla@patagoniansys.com</v>
      </c>
      <c r="F378" s="4" t="str">
        <f>IFERROR(__xludf.DUMMYFUNCTION("""COMPUTED_VALUE"""),"jose.acosta@patagoniansys.com")</f>
        <v>jose.acosta@patagoniansys.com</v>
      </c>
      <c r="G378" s="4" t="str">
        <f>IFERROR(__xludf.DUMMYFUNCTION("""COMPUTED_VALUE"""),"Initial gathering")</f>
        <v>Initial gathering</v>
      </c>
      <c r="H378" s="4"/>
      <c r="I378" s="6" t="str">
        <f>IFERROR(__xludf.DUMMYFUNCTION("""COMPUTED_VALUE"""),"- Interviewee e-Mail: jose.acosta@patagoniansys.com
- Project name: Bench
- Project | Role: Backend Developer, Frontend Developer
- Project | Description: Está en bench.
- Project | technologies: Está en bench. Tiene algo de experiencia en: React, Angular"&amp;", NodeJS, NestJS, .NET
- Happiness in project technology: 😐 Indiferente
- Happiness in project technology | Description: N/A
- Project | The best/coolest thing: N/A
- Project | The worst thing: N/A
- Project | Improvements: N/A
- Team | TL: N/A
- Team | "&amp;"PX: N/A
- Team | QA: 👀 Otra situación
- Team | QA Automation: 🤔 No lo se
- Team | QA | Notes: N/A
- Team | UI/UX: 👀 Otra situación
- Team | UI/UX | Notes: N/A
- Team | DevOps: 👀 Otra situación
- Team | DevOps | Notes: N/A
- Team | Data Engineer: 👀 Ot"&amp;"ra situación")</f>
        <v>- Interviewee e-Mail: jose.acosta@patagoniansys.com
- Project name: Bench
- Project | Role: Backend Developer, Frontend Developer
- Project | Description: Está en bench.
- Project | technologies: Está en bench. Tiene algo de experiencia en: React, Angular, NodeJS, NestJS, .NET
- Happiness in project technology: 😐 Indiferente
- Happiness in project technology | Description: N/A
- Project | The best/coolest thing: N/A
- Project | The worst thing: N/A
- Project | Improvements: N/A
- Team | TL: N/A
- Team | PX: N/A
- Team | QA: 👀 Otra situación
- Team | QA Automation: 🤔 No lo se
- Team | QA | Notes: N/A
- Team | UI/UX: 👀 Otra situación
- Team | UI/UX | Notes: N/A
- Team | DevOps: 👀 Otra situación
- Team | DevOps | Notes: N/A
- Team | Data Engineer: 👀 Otra situación</v>
      </c>
      <c r="J378" s="4" t="str">
        <f>IFERROR(__xludf.DUMMYFUNCTION("""COMPUTED_VALUE"""),"Tech Referent - Initial gathering")</f>
        <v>Tech Referent - Initial gathering</v>
      </c>
    </row>
    <row r="379" hidden="1">
      <c r="A379" s="4">
        <f>IFERROR(__xludf.DUMMYFUNCTION("""COMPUTED_VALUE"""),340.0)</f>
        <v>340</v>
      </c>
      <c r="B379" s="4" t="str">
        <f>IFERROR(__xludf.DUMMYFUNCTION("""COMPUTED_VALUE"""),"maximiliano.tiezzi")</f>
        <v>maximiliano.tiezzi</v>
      </c>
      <c r="C379" s="5">
        <f>IFERROR(__xludf.DUMMYFUNCTION("""COMPUTED_VALUE"""),45120.6957284838)</f>
        <v>45120.69573</v>
      </c>
      <c r="D379" s="5">
        <f>IFERROR(__xludf.DUMMYFUNCTION("""COMPUTED_VALUE"""),45119.0)</f>
        <v>45119</v>
      </c>
      <c r="E379" s="4" t="str">
        <f>IFERROR(__xludf.DUMMYFUNCTION("""COMPUTED_VALUE"""),"micaela.zorzetto@patagoniansys.com")</f>
        <v>micaela.zorzetto@patagoniansys.com</v>
      </c>
      <c r="F379" s="4" t="str">
        <f>IFERROR(__xludf.DUMMYFUNCTION("""COMPUTED_VALUE"""),"maximiliano.tiezzi@patagoniansys.com")</f>
        <v>maximiliano.tiezzi@patagoniansys.com</v>
      </c>
      <c r="G379" s="4" t="str">
        <f>IFERROR(__xludf.DUMMYFUNCTION("""COMPUTED_VALUE"""),"⏱ One on One")</f>
        <v>⏱ One on One</v>
      </c>
      <c r="H379" s="4" t="str">
        <f>IFERROR(__xludf.DUMMYFUNCTION("""COMPUTED_VALUE"""),"🙂 Feliz")</f>
        <v>🙂 Feliz</v>
      </c>
      <c r="I379" s="6" t="str">
        <f>IFERROR(__xludf.DUMMYFUNCTION("""COMPUTED_VALUE"""),"Esta contento en Patagonian, le gusta la cultura y lo calida que es la gente. 
En el proyecto, el primer mes no se le asignaron tareas ya que el proyecto estaba un poco desorganizado. Hoy en día ya esta con más asignación de tareas, si bien sabe que el ru"&amp;"bro del petroleo es complicado, lo tomo como un desafío y puedo adaptarse rapidamente.")</f>
        <v>Esta contento en Patagonian, le gusta la cultura y lo calida que es la gente. 
En el proyecto, el primer mes no se le asignaron tareas ya que el proyecto estaba un poco desorganizado. Hoy en día ya esta con más asignación de tareas, si bien sabe que el rubro del petroleo es complicado, lo tomo como un desafío y puedo adaptarse rapidamente.</v>
      </c>
      <c r="J379" s="4" t="str">
        <f>IFERROR(__xludf.DUMMYFUNCTION("""COMPUTED_VALUE"""),"PX|Referents|RRHH")</f>
        <v>PX|Referents|RRHH</v>
      </c>
    </row>
    <row r="380">
      <c r="A380" s="4">
        <f>IFERROR(__xludf.DUMMYFUNCTION("""COMPUTED_VALUE"""),247.0)</f>
        <v>247</v>
      </c>
      <c r="B380" s="4" t="str">
        <f>IFERROR(__xludf.DUMMYFUNCTION("""COMPUTED_VALUE"""),"isabel.yepes")</f>
        <v>isabel.yepes</v>
      </c>
      <c r="C380" s="5">
        <f>IFERROR(__xludf.DUMMYFUNCTION("""COMPUTED_VALUE"""),45120.460054131945)</f>
        <v>45120.46005</v>
      </c>
      <c r="D380" s="5">
        <f>IFERROR(__xludf.DUMMYFUNCTION("""COMPUTED_VALUE"""),45120.0)</f>
        <v>45120</v>
      </c>
      <c r="E380" s="4" t="str">
        <f>IFERROR(__xludf.DUMMYFUNCTION("""COMPUTED_VALUE"""),"luis.soto@patagoniansys.com")</f>
        <v>luis.soto@patagoniansys.com</v>
      </c>
      <c r="F380" s="4" t="str">
        <f>IFERROR(__xludf.DUMMYFUNCTION("""COMPUTED_VALUE"""),"isabel.yepes@patagoniansys.com")</f>
        <v>isabel.yepes@patagoniansys.com</v>
      </c>
      <c r="G380" s="4" t="str">
        <f>IFERROR(__xludf.DUMMYFUNCTION("""COMPUTED_VALUE"""),"Referent One on One")</f>
        <v>Referent One on One</v>
      </c>
      <c r="H380" s="4"/>
      <c r="I380" s="6" t="str">
        <f>IFERROR(__xludf.DUMMYFUNCTION("""COMPUTED_VALUE"""),"- Interviewee e-Mail: isabel.yepes@patagoniansys.com
- Project Status Check: BID Connect Americas, el proyecto toolkit, levantando requirimientos, test cases, estrategia de testing, Tambien trabajando mucho con la PM en la estructuracion de los tickets y "&amp;"demas. En este momento no ocupa ayuda exactamente, ya tiene una mejor guia. Pudo rsolver el problema con la API test automation.
- Project Changes | Notes: Inidica que el cambio de PM no la afecta directamente, aun estan en proceso de transition, ella se "&amp;"sentia muy a gusto con la antigua PM. 
- Project Role | Feeling: 5
- Extra Work Hours | Amount: 20+ (Más de 20)
- Extra Work Hours | Reason: ⏱ Mala estimación de los tiempos y tareas, 🏁 Deadlines próximas e inamovibles, Desde que ella llego no hay muy cl"&amp;"aro cual era la prioridad
- Techs | Research: Si, Estaba llevando un curso de Playwright, quiere empezar a aprender Javascript
- Techs | Recomendations: Un curso de Jvascript, otro de python y ademas de enfocarse mas en poner en practica la programacion y"&amp;" no solo dejarlo en lo academico
- Techs | Recomendations check: Si, y aplico bastante lo de documentar mas y prioritizar
- Collaborator | Seniority: 👍 No, es correcto
- Alerts: las horas trabajadas extra, ha estado bajo mucha presion y trabajando fines "&amp;"de semana
- Project Needs / Oportunities: Mayor claridad con los clientes y equipo sobre los tiempos de entrega
- Final notes: En general esta motivada, feliz y a gusto en su proyecto a pesar de los contratiempos y presion siente que ha aprendido mucho y "&amp;"para nada se siente cansada del mismo
- Project Techs | Learning: 8
- Techs | Research: 6
- Project Techs | Difficulty: 4
- Project Changes | Reasons: 🔀 Cambio de roles dentro del equipo
- Project Changes | Personal Impact: 4
- Project Role | Value: 5
- "&amp;"Project role | Notes: Se siente parte importante de los procesos, y que la toman en cuenta para muchas decisiones.")</f>
        <v>- Interviewee e-Mail: isabel.yepes@patagoniansys.com
- Project Status Check: BID Connect Americas, el proyecto toolkit, levantando requirimientos, test cases, estrategia de testing, Tambien trabajando mucho con la PM en la estructuracion de los tickets y demas. En este momento no ocupa ayuda exactamente, ya tiene una mejor guia. Pudo rsolver el problema con la API test automation.
- Project Changes | Notes: Inidica que el cambio de PM no la afecta directamente, aun estan en proceso de transition, ella se sentia muy a gusto con la antigua PM. 
- Project Role | Feeling: 5
- Extra Work Hours | Amount: 20+ (Más de 20)
- Extra Work Hours | Reason: ⏱ Mala estimación de los tiempos y tareas, 🏁 Deadlines próximas e inamovibles, Desde que ella llego no hay muy claro cual era la prioridad
- Techs | Research: Si, Estaba llevando un curso de Playwright, quiere empezar a aprender Javascript
- Techs | Recomendations: Un curso de Jvascript, otro de python y ademas de enfocarse mas en poner en practica la programacion y no solo dejarlo en lo academico
- Techs | Recomendations check: Si, y aplico bastante lo de documentar mas y prioritizar
- Collaborator | Seniority: 👍 No, es correcto
- Alerts: las horas trabajadas extra, ha estado bajo mucha presion y trabajando fines de semana
- Project Needs / Oportunities: Mayor claridad con los clientes y equipo sobre los tiempos de entrega
- Final notes: En general esta motivada, feliz y a gusto en su proyecto a pesar de los contratiempos y presion siente que ha aprendido mucho y para nada se siente cansada del mismo
- Project Techs | Learning: 8
- Techs | Research: 6
- Project Techs | Difficulty: 4
- Project Changes | Reasons: 🔀 Cambio de roles dentro del equipo
- Project Changes | Personal Impact: 4
- Project Role | Value: 5
- Project role | Notes: Se siente parte importante de los procesos, y que la toman en cuenta para muchas decisiones.</v>
      </c>
      <c r="J380" s="4" t="str">
        <f>IFERROR(__xludf.DUMMYFUNCTION("""COMPUTED_VALUE"""),"Tech Referent - OneOnOne")</f>
        <v>Tech Referent - OneOnOne</v>
      </c>
    </row>
    <row r="381" hidden="1">
      <c r="A381" s="4">
        <f>IFERROR(__xludf.DUMMYFUNCTION("""COMPUTED_VALUE"""),187.0)</f>
        <v>187</v>
      </c>
      <c r="B381" s="4" t="str">
        <f>IFERROR(__xludf.DUMMYFUNCTION("""COMPUTED_VALUE"""),"christian.amu")</f>
        <v>christian.amu</v>
      </c>
      <c r="C381" s="5">
        <f>IFERROR(__xludf.DUMMYFUNCTION("""COMPUTED_VALUE"""),45121.68222628473)</f>
        <v>45121.68223</v>
      </c>
      <c r="D381" s="5">
        <f>IFERROR(__xludf.DUMMYFUNCTION("""COMPUTED_VALUE"""),45121.0)</f>
        <v>45121</v>
      </c>
      <c r="E381" s="4" t="str">
        <f>IFERROR(__xludf.DUMMYFUNCTION("""COMPUTED_VALUE"""),"tomas.bayley@patagoniansys.com")</f>
        <v>tomas.bayley@patagoniansys.com</v>
      </c>
      <c r="F381" s="4" t="str">
        <f>IFERROR(__xludf.DUMMYFUNCTION("""COMPUTED_VALUE"""),"christian.amu@patagoniansys.com")</f>
        <v>christian.amu@patagoniansys.com</v>
      </c>
      <c r="G381" s="4" t="str">
        <f>IFERROR(__xludf.DUMMYFUNCTION("""COMPUTED_VALUE"""),"⏱ One on One")</f>
        <v>⏱ One on One</v>
      </c>
      <c r="H381" s="4" t="str">
        <f>IFERROR(__xludf.DUMMYFUNCTION("""COMPUTED_VALUE"""),"😀 Sumamente Feliz")</f>
        <v>😀 Sumamente Feliz</v>
      </c>
      <c r="I381" s="6" t="str">
        <f>IFERROR(__xludf.DUMMYFUNCTION("""COMPUTED_VALUE"""),"En proceso de aprender ingles sumamente motivado por ello")</f>
        <v>En proceso de aprender ingles sumamente motivado por ello</v>
      </c>
      <c r="J381" s="4" t="str">
        <f>IFERROR(__xludf.DUMMYFUNCTION("""COMPUTED_VALUE"""),"PX|Referents|RRHH")</f>
        <v>PX|Referents|RRHH</v>
      </c>
    </row>
    <row r="382" hidden="1">
      <c r="A382" s="4">
        <f>IFERROR(__xludf.DUMMYFUNCTION("""COMPUTED_VALUE"""),197.0)</f>
        <v>197</v>
      </c>
      <c r="B382" s="4" t="str">
        <f>IFERROR(__xludf.DUMMYFUNCTION("""COMPUTED_VALUE"""),"gianfranco.fois")</f>
        <v>gianfranco.fois</v>
      </c>
      <c r="C382" s="5">
        <f>IFERROR(__xludf.DUMMYFUNCTION("""COMPUTED_VALUE"""),45124.572278692125)</f>
        <v>45124.57228</v>
      </c>
      <c r="D382" s="5">
        <f>IFERROR(__xludf.DUMMYFUNCTION("""COMPUTED_VALUE"""),45121.0)</f>
        <v>45121</v>
      </c>
      <c r="E382" s="4" t="str">
        <f>IFERROR(__xludf.DUMMYFUNCTION("""COMPUTED_VALUE"""),"micaela.zorzetto@patagoniansys.com")</f>
        <v>micaela.zorzetto@patagoniansys.com</v>
      </c>
      <c r="F382" s="4" t="str">
        <f>IFERROR(__xludf.DUMMYFUNCTION("""COMPUTED_VALUE"""),"gianfranco.fois@patagoniansys.com")</f>
        <v>gianfranco.fois@patagoniansys.com</v>
      </c>
      <c r="G382" s="4" t="str">
        <f>IFERROR(__xludf.DUMMYFUNCTION("""COMPUTED_VALUE"""),"⏱ One on One")</f>
        <v>⏱ One on One</v>
      </c>
      <c r="H382" s="4" t="str">
        <f>IFERROR(__xludf.DUMMYFUNCTION("""COMPUTED_VALUE"""),"🙂 Feliz")</f>
        <v>🙂 Feliz</v>
      </c>
      <c r="I382" s="6" t="str">
        <f>IFERROR(__xludf.DUMMYFUNCTION("""COMPUTED_VALUE"""),"Esta actualmente en el proyecto SantaApp. Se lleva bien con todo el equipo.
Se puso contento que no estuvo mucho tiempo en Bench, solo 1 semana.")</f>
        <v>Esta actualmente en el proyecto SantaApp. Se lleva bien con todo el equipo.
Se puso contento que no estuvo mucho tiempo en Bench, solo 1 semana.</v>
      </c>
      <c r="J382" s="4" t="str">
        <f>IFERROR(__xludf.DUMMYFUNCTION("""COMPUTED_VALUE"""),"PX|Referents|RRHH")</f>
        <v>PX|Referents|RRHH</v>
      </c>
    </row>
    <row r="383" hidden="1">
      <c r="A383" s="4">
        <f>IFERROR(__xludf.DUMMYFUNCTION("""COMPUTED_VALUE"""),245.0)</f>
        <v>245</v>
      </c>
      <c r="B383" s="4" t="str">
        <f>IFERROR(__xludf.DUMMYFUNCTION("""COMPUTED_VALUE"""),"juan.baez")</f>
        <v>juan.baez</v>
      </c>
      <c r="C383" s="5">
        <f>IFERROR(__xludf.DUMMYFUNCTION("""COMPUTED_VALUE"""),45124.68742782408)</f>
        <v>45124.68743</v>
      </c>
      <c r="D383" s="5">
        <f>IFERROR(__xludf.DUMMYFUNCTION("""COMPUTED_VALUE"""),45121.0)</f>
        <v>45121</v>
      </c>
      <c r="E383" s="4" t="str">
        <f>IFERROR(__xludf.DUMMYFUNCTION("""COMPUTED_VALUE"""),"micaela.zorzetto@patagoniansys.com")</f>
        <v>micaela.zorzetto@patagoniansys.com</v>
      </c>
      <c r="F383" s="4" t="str">
        <f>IFERROR(__xludf.DUMMYFUNCTION("""COMPUTED_VALUE"""),"juan.baez@patagoniansys.com")</f>
        <v>juan.baez@patagoniansys.com</v>
      </c>
      <c r="G383" s="4" t="str">
        <f>IFERROR(__xludf.DUMMYFUNCTION("""COMPUTED_VALUE"""),"⏱ One on One")</f>
        <v>⏱ One on One</v>
      </c>
      <c r="H383" s="4" t="str">
        <f>IFERROR(__xludf.DUMMYFUNCTION("""COMPUTED_VALUE"""),"🙂 Feliz")</f>
        <v>🙂 Feliz</v>
      </c>
      <c r="I383" s="6" t="str">
        <f>IFERROR(__xludf.DUMMYFUNCTION("""COMPUTED_VALUE"""),"Juan esta trabajando en la SantaApp y en la página de Patagonian. 
Me comenta que el ingreso del Gastón (PO), ayudó mucho a organizar el proyecto y al cliente, que estaba un poco perdido con ls solicitudes que realizaba. 
Me comenta que le gustaría hacer "&amp;"un presentación a todos los Pms para que comprendan el rol del QA, pero el cree que tienen una visión errada de lo que verdaderamente hacen.")</f>
        <v>Juan esta trabajando en la SantaApp y en la página de Patagonian. 
Me comenta que el ingreso del Gastón (PO), ayudó mucho a organizar el proyecto y al cliente, que estaba un poco perdido con ls solicitudes que realizaba. 
Me comenta que le gustaría hacer un presentación a todos los Pms para que comprendan el rol del QA, pero el cree que tienen una visión errada de lo que verdaderamente hacen.</v>
      </c>
      <c r="J383" s="4" t="str">
        <f>IFERROR(__xludf.DUMMYFUNCTION("""COMPUTED_VALUE"""),"PX|Referents|RRHH")</f>
        <v>PX|Referents|RRHH</v>
      </c>
    </row>
    <row r="384">
      <c r="A384" s="4">
        <f>IFERROR(__xludf.DUMMYFUNCTION("""COMPUTED_VALUE"""),182.0)</f>
        <v>182</v>
      </c>
      <c r="B384" s="4" t="str">
        <f>IFERROR(__xludf.DUMMYFUNCTION("""COMPUTED_VALUE"""),"exequiel.soto")</f>
        <v>exequiel.soto</v>
      </c>
      <c r="C384" s="5">
        <f>IFERROR(__xludf.DUMMYFUNCTION("""COMPUTED_VALUE"""),45124.647322060184)</f>
        <v>45124.64732</v>
      </c>
      <c r="D384" s="5">
        <f>IFERROR(__xludf.DUMMYFUNCTION("""COMPUTED_VALUE"""),45124.0)</f>
        <v>45124</v>
      </c>
      <c r="E384" s="4" t="str">
        <f>IFERROR(__xludf.DUMMYFUNCTION("""COMPUTED_VALUE"""),"martin.castro@patagoniansys.com")</f>
        <v>martin.castro@patagoniansys.com</v>
      </c>
      <c r="F384" s="4" t="str">
        <f>IFERROR(__xludf.DUMMYFUNCTION("""COMPUTED_VALUE"""),"exequiel.soto@patagoniansys.com")</f>
        <v>exequiel.soto@patagoniansys.com</v>
      </c>
      <c r="G384" s="4" t="str">
        <f>IFERROR(__xludf.DUMMYFUNCTION("""COMPUTED_VALUE"""),"Initial gathering")</f>
        <v>Initial gathering</v>
      </c>
      <c r="H384" s="4"/>
      <c r="I384" s="6" t="str">
        <f>IFERROR(__xludf.DUMMYFUNCTION("""COMPUTED_VALUE"""),"- Interviewee e-Mail: exequiel.soto@patagoniansys.com
- Project name: Diario Rio Negro
- Project | Role: Backend Developer, Frontend Developer
- Project | Description: Proyecto es un CMS que hay que modificarlo constantemente segun las necesidades del cli"&amp;"ente.
Adaptarse a las urgencias de un diario, por ejemplo para una elección presidencial
- Project | technologies: Wordpress, PHP, Javascript, HTML, CSS, SASS
- Happiness in project technology: 🙂 Feliz
- Happiness in project technology | Description: Wor"&amp;"dpress
- Project | The best/coolest thing: Aprendió mucho, por ejemplo PHP.
- Project | The worst thing: Se pueden hacer ""muchas cosas buenas"" que el diario no lo quiere implementar
- Project | Improvements: Tener una copia de la DB en su local para des"&amp;"arrollar mas rápido, siempre tienen que deployar en QA para ver como queda el código
- Team | TL: No tienen, le pregunta a Fede Matos
- Team | PX: Fede Peralta
- Team | QA: 1
- Team | QA Automation: 👎 No
- Team | QA | Notes: Fayco entró hace 2 semanas
- "&amp;"Team | UI/UX: 0
- Team | UI/UX | Notes: Tenian pero no de Patagonian, sino de parte del Diario
- Team | DevOps: 0
- Team | DevOps | Notes: Deployan en un server del Diario con linea de comandos
- Team | Data Engineer: 0")</f>
        <v>- Interviewee e-Mail: exequiel.soto@patagoniansys.com
- Project name: Diario Rio Negro
- Project | Role: Backend Developer, Frontend Developer
- Project | Description: Proyecto es un CMS que hay que modificarlo constantemente segun las necesidades del cliente.
Adaptarse a las urgencias de un diario, por ejemplo para una elección presidencial
- Project | technologies: Wordpress, PHP, Javascript, HTML, CSS, SASS
- Happiness in project technology: 🙂 Feliz
- Happiness in project technology | Description: Wordpress
- Project | The best/coolest thing: Aprendió mucho, por ejemplo PHP.
- Project | The worst thing: Se pueden hacer "muchas cosas buenas" que el diario no lo quiere implementar
- Project | Improvements: Tener una copia de la DB en su local para desarrollar mas rápido, siempre tienen que deployar en QA para ver como queda el código
- Team | TL: No tienen, le pregunta a Fede Matos
- Team | PX: Fede Peralta
- Team | QA: 1
- Team | QA Automation: 👎 No
- Team | QA | Notes: Fayco entró hace 2 semanas
- Team | UI/UX: 0
- Team | UI/UX | Notes: Tenian pero no de Patagonian, sino de parte del Diario
- Team | DevOps: 0
- Team | DevOps | Notes: Deployan en un server del Diario con linea de comandos
- Team | Data Engineer: 0</v>
      </c>
      <c r="J384" s="4" t="str">
        <f>IFERROR(__xludf.DUMMYFUNCTION("""COMPUTED_VALUE"""),"Tech Referent - Initial gathering")</f>
        <v>Tech Referent - Initial gathering</v>
      </c>
    </row>
    <row r="385">
      <c r="A385" s="4">
        <f>IFERROR(__xludf.DUMMYFUNCTION("""COMPUTED_VALUE"""),73.0)</f>
        <v>73</v>
      </c>
      <c r="B385" s="4" t="str">
        <f>IFERROR(__xludf.DUMMYFUNCTION("""COMPUTED_VALUE"""),"andres.attwell")</f>
        <v>andres.attwell</v>
      </c>
      <c r="C385" s="5">
        <f>IFERROR(__xludf.DUMMYFUNCTION("""COMPUTED_VALUE"""),45125.505041435186)</f>
        <v>45125.50504</v>
      </c>
      <c r="D385" s="5">
        <f>IFERROR(__xludf.DUMMYFUNCTION("""COMPUTED_VALUE"""),45125.0)</f>
        <v>45125</v>
      </c>
      <c r="E385" s="4" t="str">
        <f>IFERROR(__xludf.DUMMYFUNCTION("""COMPUTED_VALUE"""),"bruno.molina@patagoniansys.com")</f>
        <v>bruno.molina@patagoniansys.com</v>
      </c>
      <c r="F385" s="4" t="str">
        <f>IFERROR(__xludf.DUMMYFUNCTION("""COMPUTED_VALUE"""),"andres.attwell@patagonian.com")</f>
        <v>andres.attwell@patagonian.com</v>
      </c>
      <c r="G385" s="4" t="str">
        <f>IFERROR(__xludf.DUMMYFUNCTION("""COMPUTED_VALUE"""),"Referent One on One")</f>
        <v>Referent One on One</v>
      </c>
      <c r="H385" s="4"/>
      <c r="I385" s="6" t="str">
        <f>IFERROR(__xludf.DUMMYFUNCTION("""COMPUTED_VALUE"""),"- Interviewee e-Mail: andres.attwell@patagonian.com
- Project Status Check: Ha estado trabajando en Toolkit Pyme un proyecto del mundo ConnectAmericas. Ya casi esta terminado y por salir a produccion.
- Project Changes | Notes: Hubo un cambio de PM recien"&amp;"temente. Todavia es muy pronto para sacar conclusiones.
- Project Role | Feeling: 4
- Extra Work Hours | Amount: 10+ (Más de 10)
- Extra Work Hours | Reason: 🏁 Deadlines próximas e inamovibles
- Techs | Research: Aprendiendo Slim Framework (por una neces"&amp;"idad del proyecto)
- Techs | Recomendations: Ya se le recomendo en su momento iniciar el curso de Practitioner de AWS , lo comenzo pero ahora no tiene tiempo para poder continuarlo.
- Techs | Recomendations check: La ultima one on one la tomo otra persona"&amp;" , pero me dijo que si pudo seguir las recomendaciones
- Collaborator | Seniority: 👆 Si, es mayor al establecido
- Alerts: Actualmente el proyecto que trabaja Andres esta sufriendo grandes cambios por una relacion deteriorada con el cliente. Andres esta "&amp;"realizando todos los esfuerzos posible realizando hasta horas extras y no queriendolo decir.
Hay que cuidar que no sufra algun tipo de burnout en mi opinion.
- Project Needs / Oportunities: Hay que revisar algunas metodologias y practicas del proyecto , p"&amp;"ero es algo que estamos realizando con el nuevo PM
- Final notes: Sin notas adicionales, solamente para comentar el tema del seniority, creo que por su rol de TL , responsabilidades y otras actitudes debiera estar a considerar moverlo a SR en algun moment"&amp;"o en el futuro.
Muchas gracias
- Project Techs | Learning: 0
- Techs | Research: 0
- Project Techs | Difficulty: 3
- Project Changes | Reasons: 🔀 Cambio de roles dentro del equipo
- Project Changes | Personal Impact: 3
- Project Role | Value: 4
- Project"&amp;" role | Notes: Sin comentarios")</f>
        <v>- Interviewee e-Mail: andres.attwell@patagonian.com
- Project Status Check: Ha estado trabajando en Toolkit Pyme un proyecto del mundo ConnectAmericas. Ya casi esta terminado y por salir a produccion.
- Project Changes | Notes: Hubo un cambio de PM recientemente. Todavia es muy pronto para sacar conclusiones.
- Project Role | Feeling: 4
- Extra Work Hours | Amount: 10+ (Más de 10)
- Extra Work Hours | Reason: 🏁 Deadlines próximas e inamovibles
- Techs | Research: Aprendiendo Slim Framework (por una necesidad del proyecto)
- Techs | Recomendations: Ya se le recomendo en su momento iniciar el curso de Practitioner de AWS , lo comenzo pero ahora no tiene tiempo para poder continuarlo.
- Techs | Recomendations check: La ultima one on one la tomo otra persona , pero me dijo que si pudo seguir las recomendaciones
- Collaborator | Seniority: 👆 Si, es mayor al establecido
- Alerts: Actualmente el proyecto que trabaja Andres esta sufriendo grandes cambios por una relacion deteriorada con el cliente. Andres esta realizando todos los esfuerzos posible realizando hasta horas extras y no queriendolo decir.
Hay que cuidar que no sufra algun tipo de burnout en mi opinion.
- Project Needs / Oportunities: Hay que revisar algunas metodologias y practicas del proyecto , pero es algo que estamos realizando con el nuevo PM
- Final notes: Sin notas adicionales, solamente para comentar el tema del seniority, creo que por su rol de TL , responsabilidades y otras actitudes debiera estar a considerar moverlo a SR en algun momento en el futuro.
Muchas gracias
- Project Techs | Learning: 0
- Techs | Research: 0
- Project Techs | Difficulty: 3
- Project Changes | Reasons: 🔀 Cambio de roles dentro del equipo
- Project Changes | Personal Impact: 3
- Project Role | Value: 4
- Project role | Notes: Sin comentarios</v>
      </c>
      <c r="J385" s="4" t="str">
        <f>IFERROR(__xludf.DUMMYFUNCTION("""COMPUTED_VALUE"""),"Tech Referent - OneOnOne")</f>
        <v>Tech Referent - OneOnOne</v>
      </c>
    </row>
    <row r="386" hidden="1">
      <c r="A386" s="4">
        <f>IFERROR(__xludf.DUMMYFUNCTION("""COMPUTED_VALUE"""),22.0)</f>
        <v>22</v>
      </c>
      <c r="B386" s="4" t="str">
        <f>IFERROR(__xludf.DUMMYFUNCTION("""COMPUTED_VALUE"""),"jmartinez")</f>
        <v>jmartinez</v>
      </c>
      <c r="C386" s="5">
        <f>IFERROR(__xludf.DUMMYFUNCTION("""COMPUTED_VALUE"""),45125.50778383102)</f>
        <v>45125.50778</v>
      </c>
      <c r="D386" s="5">
        <f>IFERROR(__xludf.DUMMYFUNCTION("""COMPUTED_VALUE"""),45125.0)</f>
        <v>45125</v>
      </c>
      <c r="E386" s="4" t="str">
        <f>IFERROR(__xludf.DUMMYFUNCTION("""COMPUTED_VALUE"""),"tomas.bayley@patagoniansys.com")</f>
        <v>tomas.bayley@patagoniansys.com</v>
      </c>
      <c r="F386" s="4" t="str">
        <f>IFERROR(__xludf.DUMMYFUNCTION("""COMPUTED_VALUE"""),"jmartinez@patagoniansys.com")</f>
        <v>jmartinez@patagoniansys.com</v>
      </c>
      <c r="G386" s="4" t="str">
        <f>IFERROR(__xludf.DUMMYFUNCTION("""COMPUTED_VALUE"""),"⏱ One on One")</f>
        <v>⏱ One on One</v>
      </c>
      <c r="H386" s="4" t="str">
        <f>IFERROR(__xludf.DUMMYFUNCTION("""COMPUTED_VALUE"""),"🙂 Feliz")</f>
        <v>🙂 Feliz</v>
      </c>
      <c r="I386" s="6" t="str">
        <f>IFERROR(__xludf.DUMMYFUNCTION("""COMPUTED_VALUE"""),"Cuenta que el proyecto actual esta en un buen momento, esta trabajando horas extra pero entiende que es durante este mes y luego se pasa a un momento de mas tranquilidad como lo ha sido siempre en el proyecto. Esta emocionado sobre la aparicion del juego "&amp;"que estan desarrollando en sharktank (programa de television sobre inversiones)")</f>
        <v>Cuenta que el proyecto actual esta en un buen momento, esta trabajando horas extra pero entiende que es durante este mes y luego se pasa a un momento de mas tranquilidad como lo ha sido siempre en el proyecto. Esta emocionado sobre la aparicion del juego que estan desarrollando en sharktank (programa de television sobre inversiones)</v>
      </c>
      <c r="J386" s="4" t="str">
        <f>IFERROR(__xludf.DUMMYFUNCTION("""COMPUTED_VALUE"""),"PX|Referents|RRHH")</f>
        <v>PX|Referents|RRHH</v>
      </c>
    </row>
    <row r="387">
      <c r="A387" s="4">
        <f>IFERROR(__xludf.DUMMYFUNCTION("""COMPUTED_VALUE"""),280.0)</f>
        <v>280</v>
      </c>
      <c r="B387" s="4" t="str">
        <f>IFERROR(__xludf.DUMMYFUNCTION("""COMPUTED_VALUE"""),"jose.flores")</f>
        <v>jose.flores</v>
      </c>
      <c r="C387" s="5">
        <f>IFERROR(__xludf.DUMMYFUNCTION("""COMPUTED_VALUE"""),45125.6403266088)</f>
        <v>45125.64033</v>
      </c>
      <c r="D387" s="5">
        <f>IFERROR(__xludf.DUMMYFUNCTION("""COMPUTED_VALUE"""),45125.0)</f>
        <v>45125</v>
      </c>
      <c r="E387" s="4" t="str">
        <f>IFERROR(__xludf.DUMMYFUNCTION("""COMPUTED_VALUE"""),"luciano.fuentes@patagoniansys.com")</f>
        <v>luciano.fuentes@patagoniansys.com</v>
      </c>
      <c r="F387" s="4" t="str">
        <f>IFERROR(__xludf.DUMMYFUNCTION("""COMPUTED_VALUE"""),"jose.flores@patagonian.com")</f>
        <v>jose.flores@patagonian.com</v>
      </c>
      <c r="G387" s="4" t="str">
        <f>IFERROR(__xludf.DUMMYFUNCTION("""COMPUTED_VALUE"""),"Referent One on One")</f>
        <v>Referent One on One</v>
      </c>
      <c r="H387" s="4"/>
      <c r="I387" s="6" t="str">
        <f>IFERROR(__xludf.DUMMYFUNCTION("""COMPUTED_VALUE"""),"- Interviewee e-Mail: jose.flores@patagonian.com
- Project Status Check: Estuvo trabajando en Spring Boot en la parte de backend. y tambien con migraciones en NestJS
- Project Role | Feeling: 5
- Extra Work Hours | Amount: 0 (Ningúna)
- Techs | Research: "&amp;"Mirando un poquita de reactividad en Angular
- Techs | Recomendations: https://github.com/angular/angular/discussions/50719
- Techs | Recomendations check: Si, le parecio genial
- Collaborator | Seniority: 👍 No, es correcto
- Alerts: No. Esta motivado co"&amp;"n el proyecto y contento por lo que va aprendiendo. 
- Project Techs | Learning: 3
- Techs | Research: 1
- Project Techs | Difficulty: 4
- Project Changes | Reasons: 🟰 No hubo cambios
- Project Role | Value: 5
- Project role | Notes: Cada vez suma mas re"&amp;"sponsabilidades del proyecto y empieza a ser y sentirse mas importante dentro del mismo. También puede sumar aportes y oportunidades de mejoras.")</f>
        <v>- Interviewee e-Mail: jose.flores@patagonian.com
- Project Status Check: Estuvo trabajando en Spring Boot en la parte de backend. y tambien con migraciones en NestJS
- Project Role | Feeling: 5
- Extra Work Hours | Amount: 0 (Ningúna)
- Techs | Research: Mirando un poquita de reactividad en Angular
- Techs | Recomendations: https://github.com/angular/angular/discussions/50719
- Techs | Recomendations check: Si, le parecio genial
- Collaborator | Seniority: 👍 No, es correcto
- Alerts: No. Esta motivado con el proyecto y contento por lo que va aprendiendo. 
- Project Techs | Learning: 3
- Techs | Research: 1
- Project Techs | Difficulty: 4
- Project Changes | Reasons: 🟰 No hubo cambios
- Project Role | Value: 5
- Project role | Notes: Cada vez suma mas responsabilidades del proyecto y empieza a ser y sentirse mas importante dentro del mismo. También puede sumar aportes y oportunidades de mejoras.</v>
      </c>
      <c r="J387" s="4" t="str">
        <f>IFERROR(__xludf.DUMMYFUNCTION("""COMPUTED_VALUE"""),"Tech Referent - OneOnOne")</f>
        <v>Tech Referent - OneOnOne</v>
      </c>
    </row>
    <row r="388" hidden="1">
      <c r="A388" s="4">
        <f>IFERROR(__xludf.DUMMYFUNCTION("""COMPUTED_VALUE"""),11.0)</f>
        <v>11</v>
      </c>
      <c r="B388" s="4" t="str">
        <f>IFERROR(__xludf.DUMMYFUNCTION("""COMPUTED_VALUE"""),"ernesto.parada")</f>
        <v>ernesto.parada</v>
      </c>
      <c r="C388" s="5">
        <f>IFERROR(__xludf.DUMMYFUNCTION("""COMPUTED_VALUE"""),45135.63838758102)</f>
        <v>45135.63839</v>
      </c>
      <c r="D388" s="5">
        <f>IFERROR(__xludf.DUMMYFUNCTION("""COMPUTED_VALUE"""),45125.0)</f>
        <v>45125</v>
      </c>
      <c r="E388" s="4" t="str">
        <f>IFERROR(__xludf.DUMMYFUNCTION("""COMPUTED_VALUE"""),"micaela.zorzetto@patagoniansys.com")</f>
        <v>micaela.zorzetto@patagoniansys.com</v>
      </c>
      <c r="F388" s="4" t="str">
        <f>IFERROR(__xludf.DUMMYFUNCTION("""COMPUTED_VALUE"""),"ernesto.parada@patagoniansys.com")</f>
        <v>ernesto.parada@patagoniansys.com</v>
      </c>
      <c r="G388" s="4" t="str">
        <f>IFERROR(__xludf.DUMMYFUNCTION("""COMPUTED_VALUE"""),"⏱ One on One")</f>
        <v>⏱ One on One</v>
      </c>
      <c r="H388" s="4" t="str">
        <f>IFERROR(__xludf.DUMMYFUNCTION("""COMPUTED_VALUE"""),"🙂 Feliz")</f>
        <v>🙂 Feliz</v>
      </c>
      <c r="I388" s="6" t="str">
        <f>IFERROR(__xludf.DUMMYFUNCTION("""COMPUTED_VALUE"""),"Ahora esta colaborando en diferentes tareas en la empresa, y también a full en el proyecto.
Siente que ahora esta con un poco más de tiempo para dedicarle a las tareas extras.")</f>
        <v>Ahora esta colaborando en diferentes tareas en la empresa, y también a full en el proyecto.
Siente que ahora esta con un poco más de tiempo para dedicarle a las tareas extras.</v>
      </c>
      <c r="J388" s="4" t="str">
        <f>IFERROR(__xludf.DUMMYFUNCTION("""COMPUTED_VALUE"""),"PX|Referents|RRHH")</f>
        <v>PX|Referents|RRHH</v>
      </c>
    </row>
    <row r="389" hidden="1">
      <c r="A389" s="4">
        <f>IFERROR(__xludf.DUMMYFUNCTION("""COMPUTED_VALUE"""),243.0)</f>
        <v>243</v>
      </c>
      <c r="B389" s="4" t="str">
        <f>IFERROR(__xludf.DUMMYFUNCTION("""COMPUTED_VALUE"""),"fernando.estevez")</f>
        <v>fernando.estevez</v>
      </c>
      <c r="C389" s="5">
        <f>IFERROR(__xludf.DUMMYFUNCTION("""COMPUTED_VALUE"""),45126.42998164352)</f>
        <v>45126.42998</v>
      </c>
      <c r="D389" s="5">
        <f>IFERROR(__xludf.DUMMYFUNCTION("""COMPUTED_VALUE"""),45126.0)</f>
        <v>45126</v>
      </c>
      <c r="E389" s="4" t="str">
        <f>IFERROR(__xludf.DUMMYFUNCTION("""COMPUTED_VALUE"""),"natalia.aguirre@patagoniansys.com")</f>
        <v>natalia.aguirre@patagoniansys.com</v>
      </c>
      <c r="F389" s="4" t="str">
        <f>IFERROR(__xludf.DUMMYFUNCTION("""COMPUTED_VALUE"""),"fernando.estevez@patagoniansys.com")</f>
        <v>fernando.estevez@patagoniansys.com</v>
      </c>
      <c r="G389" s="4" t="str">
        <f>IFERROR(__xludf.DUMMYFUNCTION("""COMPUTED_VALUE"""),"⏱ One on One")</f>
        <v>⏱ One on One</v>
      </c>
      <c r="H389" s="4" t="str">
        <f>IFERROR(__xludf.DUMMYFUNCTION("""COMPUTED_VALUE"""),"😀 Sumamente Feliz")</f>
        <v>😀 Sumamente Feliz</v>
      </c>
      <c r="I389" s="6" t="str">
        <f>IFERROR(__xludf.DUMMYFUNCTION("""COMPUTED_VALUE"""),"Expresa que está muy contento en el proyecto. Le gusta mucho el equipo de Pata y el PO del cliente. Está aprendiendo mucho de la mano Jorge Contreras, porque es muy didáctico y muy buen profesor, tienen 30 minutos al día para resolver dudas y este espacio"&amp;" le ha ayudado mucho para aprender. ")</f>
        <v>Expresa que está muy contento en el proyecto. Le gusta mucho el equipo de Pata y el PO del cliente. Está aprendiendo mucho de la mano Jorge Contreras, porque es muy didáctico y muy buen profesor, tienen 30 minutos al día para resolver dudas y este espacio le ha ayudado mucho para aprender. </v>
      </c>
      <c r="J389" s="4" t="str">
        <f>IFERROR(__xludf.DUMMYFUNCTION("""COMPUTED_VALUE"""),"PX|Referents|RRHH")</f>
        <v>PX|Referents|RRHH</v>
      </c>
    </row>
    <row r="390">
      <c r="A390" s="4">
        <f>IFERROR(__xludf.DUMMYFUNCTION("""COMPUTED_VALUE"""),241.0)</f>
        <v>241</v>
      </c>
      <c r="B390" s="4" t="str">
        <f>IFERROR(__xludf.DUMMYFUNCTION("""COMPUTED_VALUE"""),"stuard.romero")</f>
        <v>stuard.romero</v>
      </c>
      <c r="C390" s="5">
        <f>IFERROR(__xludf.DUMMYFUNCTION("""COMPUTED_VALUE"""),45126.49428053241)</f>
        <v>45126.49428</v>
      </c>
      <c r="D390" s="5">
        <f>IFERROR(__xludf.DUMMYFUNCTION("""COMPUTED_VALUE"""),45126.0)</f>
        <v>45126</v>
      </c>
      <c r="E390" s="4" t="str">
        <f>IFERROR(__xludf.DUMMYFUNCTION("""COMPUTED_VALUE"""),"bruno.molina@patagoniansys.com")</f>
        <v>bruno.molina@patagoniansys.com</v>
      </c>
      <c r="F390" s="4" t="str">
        <f>IFERROR(__xludf.DUMMYFUNCTION("""COMPUTED_VALUE"""),"stuard.romero@patagonian.com")</f>
        <v>stuard.romero@patagonian.com</v>
      </c>
      <c r="G390" s="4" t="str">
        <f>IFERROR(__xludf.DUMMYFUNCTION("""COMPUTED_VALUE"""),"Initial gathering")</f>
        <v>Initial gathering</v>
      </c>
      <c r="H390" s="4"/>
      <c r="I390" s="6" t="str">
        <f>IFERROR(__xludf.DUMMYFUNCTION("""COMPUTED_VALUE"""),"- Interviewee e-Mail: stuard.romero@patagonian.com
- Project name: BID ConnectAmericas
- Project | Role: Backend Developer, Frontend Developer
- Project | Description: El encargado es desarrollador fullstack en el marco del proyecto de ConnectAmericas y s"&amp;"us subproyectos.
- Project | technologies: PHP, Drupal, AngularJS, Javascript, Slim , Vuejs, Lumen, Mysql
- Happiness in project technology: 🙂 Feliz
- Happiness in project technology | Description: Su ultima asignacion tuvo tecnologias mas modernas lo cu"&amp;"al influyo positivamente, pero el stack general del proyecto si es un poco mas legacy.
- Project | The best/coolest thing: El equipo de trabajo (las personas) , es muy unido.
- Project | The worst thing: El stack tecnologico es muy viejo y no hay mucha do"&amp;"cumentacion para revisar, lo cual hace que las tareas sean muy tediosas.
- Project | Improvements: Un rewrite / rework en tecnologias mas modernas.
- Team | TL: Andres Atwell
- Team | PX: Juan Sebastian Villamizar
- Team | QA: 2
- Team | QA Automation: 🤔"&amp;" No lo se
- Team | UI/UX: 1
- Team | DevOps: 1
- Team | Data Engineer: 0")</f>
        <v>- Interviewee e-Mail: stuard.romero@patagonian.com
- Project name: BID ConnectAmericas
- Project | Role: Backend Developer, Frontend Developer
- Project | Description: El encargado es desarrollador fullstack en el marco del proyecto de ConnectAmericas y sus subproyectos.
- Project | technologies: PHP, Drupal, AngularJS, Javascript, Slim , Vuejs, Lumen, Mysql
- Happiness in project technology: 🙂 Feliz
- Happiness in project technology | Description: Su ultima asignacion tuvo tecnologias mas modernas lo cual influyo positivamente, pero el stack general del proyecto si es un poco mas legacy.
- Project | The best/coolest thing: El equipo de trabajo (las personas) , es muy unido.
- Project | The worst thing: El stack tecnologico es muy viejo y no hay mucha documentacion para revisar, lo cual hace que las tareas sean muy tediosas.
- Project | Improvements: Un rewrite / rework en tecnologias mas modernas.
- Team | TL: Andres Atwell
- Team | PX: Juan Sebastian Villamizar
- Team | QA: 2
- Team | QA Automation: 🤔 No lo se
- Team | UI/UX: 1
- Team | DevOps: 1
- Team | Data Engineer: 0</v>
      </c>
      <c r="J390" s="4" t="str">
        <f>IFERROR(__xludf.DUMMYFUNCTION("""COMPUTED_VALUE"""),"Tech Referent - Initial gathering")</f>
        <v>Tech Referent - Initial gathering</v>
      </c>
    </row>
    <row r="391">
      <c r="A391" s="4">
        <f>IFERROR(__xludf.DUMMYFUNCTION("""COMPUTED_VALUE"""),201.0)</f>
        <v>201</v>
      </c>
      <c r="B391" s="4" t="str">
        <f>IFERROR(__xludf.DUMMYFUNCTION("""COMPUTED_VALUE"""),"daniel.cardenas")</f>
        <v>daniel.cardenas</v>
      </c>
      <c r="C391" s="5">
        <f>IFERROR(__xludf.DUMMYFUNCTION("""COMPUTED_VALUE"""),45126.78553378472)</f>
        <v>45126.78553</v>
      </c>
      <c r="D391" s="5">
        <f>IFERROR(__xludf.DUMMYFUNCTION("""COMPUTED_VALUE"""),45126.0)</f>
        <v>45126</v>
      </c>
      <c r="E391" s="4" t="str">
        <f>IFERROR(__xludf.DUMMYFUNCTION("""COMPUTED_VALUE"""),"edgar.bonilla@patagoniansys.com")</f>
        <v>edgar.bonilla@patagoniansys.com</v>
      </c>
      <c r="F391" s="4" t="str">
        <f>IFERROR(__xludf.DUMMYFUNCTION("""COMPUTED_VALUE"""),"daniel.cardenas@patagoniansys.com")</f>
        <v>daniel.cardenas@patagoniansys.com</v>
      </c>
      <c r="G391" s="4" t="str">
        <f>IFERROR(__xludf.DUMMYFUNCTION("""COMPUTED_VALUE"""),"Referent One on One")</f>
        <v>Referent One on One</v>
      </c>
      <c r="H391" s="4"/>
      <c r="I391" s="6" t="str">
        <f>IFERROR(__xludf.DUMMYFUNCTION("""COMPUTED_VALUE"""),"- Interviewee e-Mail: daniel.cardenas@patagoniansys.com
- Project Status Check: Lo volvieron a pasar momentáneamente a la parte mobile, pero sólo para iniciar el proceso de shutdown de la aplicación y subir una última versión a las stores donde se le avis"&amp;"aba a los usuarios que ya la app mobile no estaba más en funcionamiento. Ahora sólo quedará la web.
Después de eso, probablemente vuelva al front-end con Angular.
- Project Changes | Notes: El nivel es 3, justo en el medio ya que si bien le afectó positi"&amp;"vamente volver a estar en la parte mobile, ese sentimiento bueno se ve contrarrestado por el hecho de que es temporal y con el único objetivo de hacer el proceso de shutdown de la app mobile para dejar en funcionamiento sólo a la web.
- Project Role | Fee"&amp;"ling: 2
- Extra Work Hours | Amount: 0 (Ningúna)
- Collaborator | Seniority: 👍 No, es correcto
- Alerts: Si. Daniel ya se encuentra un poco aburrido con el proyecto y el rol que está desempeñando desde que se decidió apagar la app mobile.
Siente que él e"&amp;"n su rol y sus funciones no le está agregando mucho valor al proyecto y así mismo, el proyecto y su rol no le están agregando mucho valor a su carrera.
Por otro lado, el trabajo en AlMundo se ha vuelto un poco más desorganizado y con muchos bloqueos, lo "&amp;"cual lo desmotiva un poco.
Manifiesta que siente que ya es hora de pedir un cambio de proyecto y cerrar su ciclo en AlMundo. Pero por otro lado no quiere esto llegue a significar entrar a bench ya que siente miedo de que estando en bench lo puedan sacar "&amp;"luego de la empresa, entonces prefiere quedarse en AlMundo haciendo algo que de pronto caer en un bench y que corra el mismo destino de unos compañeros que echaron hacer poco.
- Project Needs / Oportunities: Devs con experticia en Angular
- Project Techs "&amp;"| Learning: 4
- Project Techs | Difficulty: 3
- Project Changes | Reasons: 🏁 Cambios en los objetivos
- Project Changes | Personal Impact: 3
- Project Role | Value: 2
- Project role | Notes: Siente que desde el rol que está actualmente, no le ha agregado"&amp;" mucho valor al proyecto ni tampoco él ha percibido mucho valor hacia su carrera profesional. Por otro lado en AlMundo se está presentando mucho desorden interno y el trabajo del día a día se entorpece mucho, lo cual también lo desmotiva.")</f>
        <v>- Interviewee e-Mail: daniel.cardenas@patagoniansys.com
- Project Status Check: Lo volvieron a pasar momentáneamente a la parte mobile, pero sólo para iniciar el proceso de shutdown de la aplicación y subir una última versión a las stores donde se le avisaba a los usuarios que ya la app mobile no estaba más en funcionamiento. Ahora sólo quedará la web.
Después de eso, probablemente vuelva al front-end con Angular.
- Project Changes | Notes: El nivel es 3, justo en el medio ya que si bien le afectó positivamente volver a estar en la parte mobile, ese sentimiento bueno se ve contrarrestado por el hecho de que es temporal y con el único objetivo de hacer el proceso de shutdown de la app mobile para dejar en funcionamiento sólo a la web.
- Project Role | Feeling: 2
- Extra Work Hours | Amount: 0 (Ningúna)
- Collaborator | Seniority: 👍 No, es correcto
- Alerts: Si. Daniel ya se encuentra un poco aburrido con el proyecto y el rol que está desempeñando desde que se decidió apagar la app mobile.
Siente que él en su rol y sus funciones no le está agregando mucho valor al proyecto y así mismo, el proyecto y su rol no le están agregando mucho valor a su carrera.
Por otro lado, el trabajo en AlMundo se ha vuelto un poco más desorganizado y con muchos bloqueos, lo cual lo desmotiva un poco.
Manifiesta que siente que ya es hora de pedir un cambio de proyecto y cerrar su ciclo en AlMundo. Pero por otro lado no quiere esto llegue a significar entrar a bench ya que siente miedo de que estando en bench lo puedan sacar luego de la empresa, entonces prefiere quedarse en AlMundo haciendo algo que de pronto caer en un bench y que corra el mismo destino de unos compañeros que echaron hacer poco.
- Project Needs / Oportunities: Devs con experticia en Angular
- Project Techs | Learning: 4
- Project Techs | Difficulty: 3
- Project Changes | Reasons: 🏁 Cambios en los objetivos
- Project Changes | Personal Impact: 3
- Project Role | Value: 2
- Project role | Notes: Siente que desde el rol que está actualmente, no le ha agregado mucho valor al proyecto ni tampoco él ha percibido mucho valor hacia su carrera profesional. Por otro lado en AlMundo se está presentando mucho desorden interno y el trabajo del día a día se entorpece mucho, lo cual también lo desmotiva.</v>
      </c>
      <c r="J391" s="4" t="str">
        <f>IFERROR(__xludf.DUMMYFUNCTION("""COMPUTED_VALUE"""),"Tech Referent - OneOnOne")</f>
        <v>Tech Referent - OneOnOne</v>
      </c>
    </row>
    <row r="392" hidden="1">
      <c r="A392" s="4">
        <f>IFERROR(__xludf.DUMMYFUNCTION("""COMPUTED_VALUE"""),188.0)</f>
        <v>188</v>
      </c>
      <c r="B392" s="4" t="str">
        <f>IFERROR(__xludf.DUMMYFUNCTION("""COMPUTED_VALUE"""),"mauricio.lahitte")</f>
        <v>mauricio.lahitte</v>
      </c>
      <c r="C392" s="5">
        <f>IFERROR(__xludf.DUMMYFUNCTION("""COMPUTED_VALUE"""),45132.4992725)</f>
        <v>45132.49927</v>
      </c>
      <c r="D392" s="5">
        <f>IFERROR(__xludf.DUMMYFUNCTION("""COMPUTED_VALUE"""),45126.0)</f>
        <v>45126</v>
      </c>
      <c r="E392" s="4" t="str">
        <f>IFERROR(__xludf.DUMMYFUNCTION("""COMPUTED_VALUE"""),"micaela.zorzetto@patagoniansys.com")</f>
        <v>micaela.zorzetto@patagoniansys.com</v>
      </c>
      <c r="F392" s="4" t="str">
        <f>IFERROR(__xludf.DUMMYFUNCTION("""COMPUTED_VALUE"""),"mauricio.lahitte@patagoniansys.com")</f>
        <v>mauricio.lahitte@patagoniansys.com</v>
      </c>
      <c r="G392" s="4" t="str">
        <f>IFERROR(__xludf.DUMMYFUNCTION("""COMPUTED_VALUE"""),"⏱ One on One")</f>
        <v>⏱ One on One</v>
      </c>
      <c r="H392" s="4" t="str">
        <f>IFERROR(__xludf.DUMMYFUNCTION("""COMPUTED_VALUE"""),"🙂 Feliz")</f>
        <v>🙂 Feliz</v>
      </c>
      <c r="I392" s="6" t="str">
        <f>IFERROR(__xludf.DUMMYFUNCTION("""COMPUTED_VALUE"""),"En el proyecto surgieron cosas nuevas y dió un giro para hacer cosas nuevas. 
Entró nueva gente de parte del cliente, entonces estan en un proceso de adaptación.
Tienen call con una persona de la India, y muchas veces le es complicado entenderlo.")</f>
        <v>En el proyecto surgieron cosas nuevas y dió un giro para hacer cosas nuevas. 
Entró nueva gente de parte del cliente, entonces estan en un proceso de adaptación.
Tienen call con una persona de la India, y muchas veces le es complicado entenderlo.</v>
      </c>
      <c r="J392" s="4" t="str">
        <f>IFERROR(__xludf.DUMMYFUNCTION("""COMPUTED_VALUE"""),"PX|Referents|RRHH")</f>
        <v>PX|Referents|RRHH</v>
      </c>
    </row>
    <row r="393">
      <c r="A393" s="4">
        <f>IFERROR(__xludf.DUMMYFUNCTION("""COMPUTED_VALUE"""),279.0)</f>
        <v>279</v>
      </c>
      <c r="B393" s="4" t="str">
        <f>IFERROR(__xludf.DUMMYFUNCTION("""COMPUTED_VALUE"""),"emerson.pereira")</f>
        <v>emerson.pereira</v>
      </c>
      <c r="C393" s="5">
        <f>IFERROR(__xludf.DUMMYFUNCTION("""COMPUTED_VALUE"""),45128.67856004629)</f>
        <v>45128.67856</v>
      </c>
      <c r="D393" s="5">
        <f>IFERROR(__xludf.DUMMYFUNCTION("""COMPUTED_VALUE"""),45128.0)</f>
        <v>45128</v>
      </c>
      <c r="E393" s="4" t="str">
        <f>IFERROR(__xludf.DUMMYFUNCTION("""COMPUTED_VALUE"""),"ivan.vasquez@patagoniansys.com")</f>
        <v>ivan.vasquez@patagoniansys.com</v>
      </c>
      <c r="F393" s="4" t="str">
        <f>IFERROR(__xludf.DUMMYFUNCTION("""COMPUTED_VALUE"""),"emerson.pereira@patagoniansys.com")</f>
        <v>emerson.pereira@patagoniansys.com</v>
      </c>
      <c r="G393" s="4" t="str">
        <f>IFERROR(__xludf.DUMMYFUNCTION("""COMPUTED_VALUE"""),"Initial gathering")</f>
        <v>Initial gathering</v>
      </c>
      <c r="H393" s="4"/>
      <c r="I393" s="6" t="str">
        <f>IFERROR(__xludf.DUMMYFUNCTION("""COMPUTED_VALUE"""),"- Interviewee e-Mail: emerson.pereira@patagoniansys.com
- Project name: Rhebus
- Project | Role: QA Manual
- Project | Description: Propósito: Da soporte a los registros realizados por robots relacionados con el are de la medicina
Objetivo: Se revisa los "&amp;"endpoints, se generan store procedures y se validan los datos
Fortalezas: como unico recurso QA tiene la libertad de decicion en la administracion y ejecucion de casos de testeo
Debilidades: No sigue una metodologia de desarrollo como tal, se trabaja bajo"&amp;" requerimiento
Oportunidades: Mejoramos el proceso de desarrollo del proyecto, mejorar el proceso dentro del area de QA
- Project | technologies: Jira, Postman
- Happiness in project technology: 🙂 Feliz
- Happiness in project technology | Description: No"&amp;" se siente desmotivado, solo siente que es diferente la manera de trabajar.
- Project | The best/coolest thing: La confianza que tienen los PO, PM para el area de testeo.
- Project | The worst thing: No se siente molesto con ninguna caracteristica del pro"&amp;"yecto.
- Project | Improvements: Mejorar la metodologia de desarrollo por uno agil
- Team | TL: Madhusudhan Tarimella (DEV)
- Team | PX: Aitor de Legarra Belaustegui y Santhosh Kumar Bhaskaran Unnithan
- Team | QA: 1
- Team | QA Automation: 👎 No
- Team |"&amp;" QA | Notes: empieza a usar Jira, pero solo crea tickets en el. Espera las observaciones del experto en Jira que fue recientemente contratado
- Team | UI/UX: 0
- Team | UI/UX | Notes: Se desconoce realmente
- Team | DevOps: 5+ (Más de 5)
- Team | DevOps |"&amp;" Notes: son muchas personas quienes responden a solucitudes a DevOps
- Team | Data Engineer: 0")</f>
        <v>- Interviewee e-Mail: emerson.pereira@patagoniansys.com
- Project name: Rhebus
- Project | Role: QA Manual
- Project | Description: Propósito: Da soporte a los registros realizados por robots relacionados con el are de la medicina
Objetivo: Se revisa los endpoints, se generan store procedures y se validan los datos
Fortalezas: como unico recurso QA tiene la libertad de decicion en la administracion y ejecucion de casos de testeo
Debilidades: No sigue una metodologia de desarrollo como tal, se trabaja bajo requerimiento
Oportunidades: Mejoramos el proceso de desarrollo del proyecto, mejorar el proceso dentro del area de QA
- Project | technologies: Jira, Postman
- Happiness in project technology: 🙂 Feliz
- Happiness in project technology | Description: No se siente desmotivado, solo siente que es diferente la manera de trabajar.
- Project | The best/coolest thing: La confianza que tienen los PO, PM para el area de testeo.
- Project | The worst thing: No se siente molesto con ninguna caracteristica del proyecto.
- Project | Improvements: Mejorar la metodologia de desarrollo por uno agil
- Team | TL: Madhusudhan Tarimella (DEV)
- Team | PX: Aitor de Legarra Belaustegui y Santhosh Kumar Bhaskaran Unnithan
- Team | QA: 1
- Team | QA Automation: 👎 No
- Team | QA | Notes: empieza a usar Jira, pero solo crea tickets en el. Espera las observaciones del experto en Jira que fue recientemente contratado
- Team | UI/UX: 0
- Team | UI/UX | Notes: Se desconoce realmente
- Team | DevOps: 5+ (Más de 5)
- Team | DevOps | Notes: son muchas personas quienes responden a solucitudes a DevOps
- Team | Data Engineer: 0</v>
      </c>
      <c r="J393" s="4" t="str">
        <f>IFERROR(__xludf.DUMMYFUNCTION("""COMPUTED_VALUE"""),"Tech Referent - Initial gathering")</f>
        <v>Tech Referent - Initial gathering</v>
      </c>
    </row>
    <row r="394">
      <c r="A394" s="4">
        <f>IFERROR(__xludf.DUMMYFUNCTION("""COMPUTED_VALUE"""),136.0)</f>
        <v>136</v>
      </c>
      <c r="B394" s="4" t="str">
        <f>IFERROR(__xludf.DUMMYFUNCTION("""COMPUTED_VALUE"""),"freddy.orozco")</f>
        <v>freddy.orozco</v>
      </c>
      <c r="C394" s="5">
        <f>IFERROR(__xludf.DUMMYFUNCTION("""COMPUTED_VALUE"""),45128.67918130787)</f>
        <v>45128.67918</v>
      </c>
      <c r="D394" s="5">
        <f>IFERROR(__xludf.DUMMYFUNCTION("""COMPUTED_VALUE"""),45128.0)</f>
        <v>45128</v>
      </c>
      <c r="E394" s="4" t="str">
        <f>IFERROR(__xludf.DUMMYFUNCTION("""COMPUTED_VALUE"""),"daniel.mansilla@patagoniansys.com")</f>
        <v>daniel.mansilla@patagoniansys.com</v>
      </c>
      <c r="F394" s="4" t="str">
        <f>IFERROR(__xludf.DUMMYFUNCTION("""COMPUTED_VALUE"""),"freddy.orozco@patagonian.com")</f>
        <v>freddy.orozco@patagonian.com</v>
      </c>
      <c r="G394" s="4" t="str">
        <f>IFERROR(__xludf.DUMMYFUNCTION("""COMPUTED_VALUE"""),"Referent One on One")</f>
        <v>Referent One on One</v>
      </c>
      <c r="H394" s="4"/>
      <c r="I394" s="6" t="str">
        <f>IFERROR(__xludf.DUMMYFUNCTION("""COMPUTED_VALUE"""),"- Interviewee e-Mail: freddy.orozco@patagonian.com
- Project Status Check: Nuevo proyecto. Migración a React (Zustand) (front), Strapi (Back). Gestión de camiones y conductores. Transporte.
- Project Changes | Notes: El cambio es de un proyecto a otro. El"&amp;" cambio le resultó beneficioso en cierta forma porque en el anterior, se sentía un poco estacando técnicamente hablando.
- Project Role | Feeling: 3
- Extra Work Hours | Amount: 10+ (Más de 10)
- Extra Work Hours | Reason: 🙋Decisión propia
- Collaborator"&amp;" | Seniority: 👍 No, es correcto
- Alerts: Ha estado trabajando algunas horas extras por decisión propia y sin informarle al PM debido a las necesidades y tiempos del proyecto.
- Project Needs / Oportunities: Solo ver el tema de las horas eztras si es nec"&amp;"esario.
- Final notes: Se siente bien en el nuevo proyecto aunque considera que es un poco desgastante por los tiempos que se manejan. A nivel de tecnología, el proyecto no le resulta desafiante pero aún así se siente cómodo.
- Project Techs | Learning: 0"&amp;"
- Project Techs | Difficulty: 5
- Project Changes | Reasons: Es un proyecto nuevo por lo que no aplica.
- Project Changes | Personal Impact: 4
- Project Role | Value: 5
- Project role | Notes: Como son solo dos devs y él está mayormente a cargo del front"&amp;" siente que es muy importante su rol. Además, aporta su conocimiento en diseño para definir termas relacionados a UI.")</f>
        <v>- Interviewee e-Mail: freddy.orozco@patagonian.com
- Project Status Check: Nuevo proyecto. Migración a React (Zustand) (front), Strapi (Back). Gestión de camiones y conductores. Transporte.
- Project Changes | Notes: El cambio es de un proyecto a otro. El cambio le resultó beneficioso en cierta forma porque en el anterior, se sentía un poco estacando técnicamente hablando.
- Project Role | Feeling: 3
- Extra Work Hours | Amount: 10+ (Más de 10)
- Extra Work Hours | Reason: 🙋Decisión propia
- Collaborator | Seniority: 👍 No, es correcto
- Alerts: Ha estado trabajando algunas horas extras por decisión propia y sin informarle al PM debido a las necesidades y tiempos del proyecto.
- Project Needs / Oportunities: Solo ver el tema de las horas eztras si es necesario.
- Final notes: Se siente bien en el nuevo proyecto aunque considera que es un poco desgastante por los tiempos que se manejan. A nivel de tecnología, el proyecto no le resulta desafiante pero aún así se siente cómodo.
- Project Techs | Learning: 0
- Project Techs | Difficulty: 5
- Project Changes | Reasons: Es un proyecto nuevo por lo que no aplica.
- Project Changes | Personal Impact: 4
- Project Role | Value: 5
- Project role | Notes: Como son solo dos devs y él está mayormente a cargo del front siente que es muy importante su rol. Además, aporta su conocimiento en diseño para definir termas relacionados a UI.</v>
      </c>
      <c r="J394" s="4" t="str">
        <f>IFERROR(__xludf.DUMMYFUNCTION("""COMPUTED_VALUE"""),"Tech Referent - OneOnOne")</f>
        <v>Tech Referent - OneOnOne</v>
      </c>
    </row>
    <row r="395">
      <c r="A395" s="4">
        <f>IFERROR(__xludf.DUMMYFUNCTION("""COMPUTED_VALUE"""),149.0)</f>
        <v>149</v>
      </c>
      <c r="B395" s="4" t="str">
        <f>IFERROR(__xludf.DUMMYFUNCTION("""COMPUTED_VALUE"""),"jonatan.ordonez")</f>
        <v>jonatan.ordonez</v>
      </c>
      <c r="C395" s="5">
        <f>IFERROR(__xludf.DUMMYFUNCTION("""COMPUTED_VALUE"""),45128.72744103009)</f>
        <v>45128.72744</v>
      </c>
      <c r="D395" s="5">
        <f>IFERROR(__xludf.DUMMYFUNCTION("""COMPUTED_VALUE"""),45128.0)</f>
        <v>45128</v>
      </c>
      <c r="E395" s="4" t="str">
        <f>IFERROR(__xludf.DUMMYFUNCTION("""COMPUTED_VALUE"""),"gonzalo.garro@patagoniansys.com")</f>
        <v>gonzalo.garro@patagoniansys.com</v>
      </c>
      <c r="F395" s="4" t="str">
        <f>IFERROR(__xludf.DUMMYFUNCTION("""COMPUTED_VALUE"""),"jonatan.ordonez@patagoniansys.com")</f>
        <v>jonatan.ordonez@patagoniansys.com</v>
      </c>
      <c r="G395" s="4" t="str">
        <f>IFERROR(__xludf.DUMMYFUNCTION("""COMPUTED_VALUE"""),"Referent One on One")</f>
        <v>Referent One on One</v>
      </c>
      <c r="H395" s="4"/>
      <c r="I395" s="6" t="str">
        <f>IFERROR(__xludf.DUMMYFUNCTION("""COMPUTED_VALUE"""),"- Interviewee e-Mail: jonatan.ordonez@patagoniansys.com
- Project Status Check: Martin se tomó vacaciones. Jonathan quedó dirigiendo y atendiendo el proyecto. Salto un problema en policies de S3 donde un servicio no tenía acceso. Mataron el Pod y lo reini"&amp;"ciaron. El bug del dinero no pasó a mayores, no se ha hablado nuevamente al respecto.
Terminaron el Calendario pero le están mejorando la UI con drag &amp; drop, el cliente quiere que se parezca a Google Calendar.
- Project Changes | Notes: Levantó el pedido "&amp;"y ahora es SR+. Lo gestionaron entre Isa la PM y Daniela Morales.
- Project Role | Feeling: 5
- Extra Work Hours | Amount: 1 - 5 (Entre 1 y 5)
- Extra Work Hours | Reason: 🦫 Problemas técnicos inesperados
- Techs | Certifications: AWS Cloud Practitioner
"&amp;"- Techs | Recomendations: No se le recomendó ningúno pero le gustaría que para la próxima reunión realicemos un test o evaluación como si fuera una entrevista técnica para medir sus conocimientos.
- Collaborator | Seniority: 👍 No, es correcto
- Project T"&amp;"echs | Learning: 0
- Project Techs | Difficulty: 3
- Project Changes | Reasons: 🔀 Cambio de roles dentro del equipo
- Project Changes | Personal Impact: 5
- Project Role | Value: 4
- Project role | Notes: Últimamente es el segundo que se queda a cargo cu"&amp;"ando Martin no está. Se encuentra muy contento con el nuevo rol y seniority que obtuvo.")</f>
        <v>- Interviewee e-Mail: jonatan.ordonez@patagoniansys.com
- Project Status Check: Martin se tomó vacaciones. Jonathan quedó dirigiendo y atendiendo el proyecto. Salto un problema en policies de S3 donde un servicio no tenía acceso. Mataron el Pod y lo reiniciaron. El bug del dinero no pasó a mayores, no se ha hablado nuevamente al respecto.
Terminaron el Calendario pero le están mejorando la UI con drag &amp; drop, el cliente quiere que se parezca a Google Calendar.
- Project Changes | Notes: Levantó el pedido y ahora es SR+. Lo gestionaron entre Isa la PM y Daniela Morales.
- Project Role | Feeling: 5
- Extra Work Hours | Amount: 1 - 5 (Entre 1 y 5)
- Extra Work Hours | Reason: 🦫 Problemas técnicos inesperados
- Techs | Certifications: AWS Cloud Practitioner
- Techs | Recomendations: No se le recomendó ningúno pero le gustaría que para la próxima reunión realicemos un test o evaluación como si fuera una entrevista técnica para medir sus conocimientos.
- Collaborator | Seniority: 👍 No, es correcto
- Project Techs | Learning: 0
- Project Techs | Difficulty: 3
- Project Changes | Reasons: 🔀 Cambio de roles dentro del equipo
- Project Changes | Personal Impact: 5
- Project Role | Value: 4
- Project role | Notes: Últimamente es el segundo que se queda a cargo cuando Martin no está. Se encuentra muy contento con el nuevo rol y seniority que obtuvo.</v>
      </c>
      <c r="J395" s="4" t="str">
        <f>IFERROR(__xludf.DUMMYFUNCTION("""COMPUTED_VALUE"""),"Tech Referent - OneOnOne")</f>
        <v>Tech Referent - OneOnOne</v>
      </c>
    </row>
    <row r="396">
      <c r="A396" s="4">
        <f>IFERROR(__xludf.DUMMYFUNCTION("""COMPUTED_VALUE"""),330.0)</f>
        <v>330</v>
      </c>
      <c r="B396" s="4" t="str">
        <f>IFERROR(__xludf.DUMMYFUNCTION("""COMPUTED_VALUE"""),"gabriel.ospina")</f>
        <v>gabriel.ospina</v>
      </c>
      <c r="C396" s="5">
        <f>IFERROR(__xludf.DUMMYFUNCTION("""COMPUTED_VALUE"""),45128.74389633102)</f>
        <v>45128.7439</v>
      </c>
      <c r="D396" s="5">
        <f>IFERROR(__xludf.DUMMYFUNCTION("""COMPUTED_VALUE"""),45128.0)</f>
        <v>45128</v>
      </c>
      <c r="E396" s="4" t="str">
        <f>IFERROR(__xludf.DUMMYFUNCTION("""COMPUTED_VALUE"""),"mariano.sckerl@patagoniansys.com")</f>
        <v>mariano.sckerl@patagoniansys.com</v>
      </c>
      <c r="F396" s="4" t="str">
        <f>IFERROR(__xludf.DUMMYFUNCTION("""COMPUTED_VALUE"""),"gabriel.ospina@patagonian.com")</f>
        <v>gabriel.ospina@patagonian.com</v>
      </c>
      <c r="G396" s="4" t="str">
        <f>IFERROR(__xludf.DUMMYFUNCTION("""COMPUTED_VALUE"""),"Initial gathering")</f>
        <v>Initial gathering</v>
      </c>
      <c r="H396" s="4"/>
      <c r="I396" s="6" t="str">
        <f>IFERROR(__xludf.DUMMYFUNCTION("""COMPUTED_VALUE"""),"- Interviewee e-Mail: gabriel.ospina@patagonian.com
- Project name: Intuitive Surgical
- Project | Role: QA Manual, qa engineeer
- Project | technologies: Franework basado en Javascript, sql server
- Happiness in project technology: 😀 Sumamente Feliz
- H"&amp;"appiness in project technology | Description: Hizo automatizacion siempre y deseaba volver a las raices de forma manual, esta contento con esto. No creo que quiera volver a automatizar como tarea principal en este proyecto.
La documentacion que manejan es"&amp;" excesiva. Tiene que imprimir protocolos, firmarlos, escanearlos y mandarlos. Eso le parece tedioso, pero lo impone el cliente.
- Project | The best/coolest thing: Tienen todo perfectamente documentado y esta accesible. Proyecto muy maduro, uno de los mej"&amp;"ores que vio.
- Project | The worst thing: El onboarding casi no existe, perdió mucho tiempo para configurar todo y preguntando
- Project | Improvements: Manejan Jira de forma mas laxa ya que tienen todo tan documentado.
Implementar una solución para el o"&amp;"nboarding.
- Team | TL: Propio del cliente
- Team | PX: Marcela Benavidez
- Team | QA: 5+ (Más de 5)
- Team | QA Automation: 👍 Si
- Team | QA | Notes: son 7 QAs. Hay 1 haciendo Security\automation
- Team | UI/UX: 👀 Otra situación
- Team | DevOps: 👀 Otr"&amp;"a situación
- Team | Data Engineer: 👀 Otra situación")</f>
        <v>- Interviewee e-Mail: gabriel.ospina@patagonian.com
- Project name: Intuitive Surgical
- Project | Role: QA Manual, qa engineeer
- Project | technologies: Franework basado en Javascript, sql server
- Happiness in project technology: 😀 Sumamente Feliz
- Happiness in project technology | Description: Hizo automatizacion siempre y deseaba volver a las raices de forma manual, esta contento con esto. No creo que quiera volver a automatizar como tarea principal en este proyecto.
La documentacion que manejan es excesiva. Tiene que imprimir protocolos, firmarlos, escanearlos y mandarlos. Eso le parece tedioso, pero lo impone el cliente.
- Project | The best/coolest thing: Tienen todo perfectamente documentado y esta accesible. Proyecto muy maduro, uno de los mejores que vio.
- Project | The worst thing: El onboarding casi no existe, perdió mucho tiempo para configurar todo y preguntando
- Project | Improvements: Manejan Jira de forma mas laxa ya que tienen todo tan documentado.
Implementar una solución para el onboarding.
- Team | TL: Propio del cliente
- Team | PX: Marcela Benavidez
- Team | QA: 5+ (Más de 5)
- Team | QA Automation: 👍 Si
- Team | QA | Notes: son 7 QAs. Hay 1 haciendo Security\automation
- Team | UI/UX: 👀 Otra situación
- Team | DevOps: 👀 Otra situación
- Team | Data Engineer: 👀 Otra situación</v>
      </c>
      <c r="J396" s="4" t="str">
        <f>IFERROR(__xludf.DUMMYFUNCTION("""COMPUTED_VALUE"""),"Tech Referent - Initial gathering")</f>
        <v>Tech Referent - Initial gathering</v>
      </c>
    </row>
    <row r="397">
      <c r="A397" s="4">
        <f>IFERROR(__xludf.DUMMYFUNCTION("""COMPUTED_VALUE"""),197.0)</f>
        <v>197</v>
      </c>
      <c r="B397" s="4" t="str">
        <f>IFERROR(__xludf.DUMMYFUNCTION("""COMPUTED_VALUE"""),"gianfranco.fois")</f>
        <v>gianfranco.fois</v>
      </c>
      <c r="C397" s="5">
        <f>IFERROR(__xludf.DUMMYFUNCTION("""COMPUTED_VALUE"""),45110.50674664352)</f>
        <v>45110.50675</v>
      </c>
      <c r="D397" s="5">
        <f>IFERROR(__xludf.DUMMYFUNCTION("""COMPUTED_VALUE"""),45129.0)</f>
        <v>45129</v>
      </c>
      <c r="E397" s="4" t="str">
        <f>IFERROR(__xludf.DUMMYFUNCTION("""COMPUTED_VALUE"""),"jmartinez@patagoniansys.com")</f>
        <v>jmartinez@patagoniansys.com</v>
      </c>
      <c r="F397" s="4" t="str">
        <f>IFERROR(__xludf.DUMMYFUNCTION("""COMPUTED_VALUE"""),"gianfranco.fois@patagonian.com")</f>
        <v>gianfranco.fois@patagonian.com</v>
      </c>
      <c r="G397" s="4" t="str">
        <f>IFERROR(__xludf.DUMMYFUNCTION("""COMPUTED_VALUE"""),"Referent One on One")</f>
        <v>Referent One on One</v>
      </c>
      <c r="H397" s="4"/>
      <c r="I397" s="6" t="str">
        <f>IFERROR(__xludf.DUMMYFUNCTION("""COMPUTED_VALUE"""),"- Interviewee e-Mail: gianfranco.fois@patagonian.com
- Project Status Check: Está apenas arrancando con un proyecto nuevo, Santa App. El proyecto apenas está comenzando, así que no tiene mucho para decir al respecto.
- Project Role | Feeling: 3
- Extra Wo"&amp;"rk Hours | Amount: 0 (Ningúna)
- Techs | Recomendations: Todavía no pude sentarme prepararlo bien, pero acordamos en que iba a proponerle hacer una app chiquita o POC para aplicar los conceptos de Android que le interesan.
- Techs | Recomendations check: "&amp;"Estuvo viendo los artículos y haciendo los Android Codelabs de Google que le recomendé en el encuentro anterior.
- Collaborator | Seniority: 👍 No, es correcto
- Project Techs | Learning: 2
- Project Techs | Difficulty: 3
- Project Changes | Reasons: Camb"&amp;"io de proyecto
- Project Changes | Personal Impact: 3
- Project Role | Value: 3
- Project role | Notes: Lo noté un poco escéptico con respecto al stack de tecnologías que se eligió para el proyecto. Ya me había comentado anteriormente que no le agradaba m"&amp;"ucho Strapi y FlutterFlow es algo completamente nuevo para él (tiene dudas con respecto a si en algún momento se va a encontrar con una limitación para implementar algo, algo que tiene sentido ya que es la primera vez que se usa en la empresa). Mencionó q"&amp;"ue tiene miedo de tener poco trabajo para hacer (ya que la diseñadora iba a intentar aliviar un poco la carga de desarrollo implementando las pantallas directamente en FlutterFlow), me dio la sensación de que eso lo hace sentir un poco incómodo.")</f>
        <v>- Interviewee e-Mail: gianfranco.fois@patagonian.com
- Project Status Check: Está apenas arrancando con un proyecto nuevo, Santa App. El proyecto apenas está comenzando, así que no tiene mucho para decir al respecto.
- Project Role | Feeling: 3
- Extra Work Hours | Amount: 0 (Ningúna)
- Techs | Recomendations: Todavía no pude sentarme prepararlo bien, pero acordamos en que iba a proponerle hacer una app chiquita o POC para aplicar los conceptos de Android que le interesan.
- Techs | Recomendations check: Estuvo viendo los artículos y haciendo los Android Codelabs de Google que le recomendé en el encuentro anterior.
- Collaborator | Seniority: 👍 No, es correcto
- Project Techs | Learning: 2
- Project Techs | Difficulty: 3
- Project Changes | Reasons: Cambio de proyecto
- Project Changes | Personal Impact: 3
- Project Role | Value: 3
- Project role | Notes: Lo noté un poco escéptico con respecto al stack de tecnologías que se eligió para el proyecto. Ya me había comentado anteriormente que no le agradaba mucho Strapi y FlutterFlow es algo completamente nuevo para él (tiene dudas con respecto a si en algún momento se va a encontrar con una limitación para implementar algo, algo que tiene sentido ya que es la primera vez que se usa en la empresa). Mencionó que tiene miedo de tener poco trabajo para hacer (ya que la diseñadora iba a intentar aliviar un poco la carga de desarrollo implementando las pantallas directamente en FlutterFlow), me dio la sensación de que eso lo hace sentir un poco incómodo.</v>
      </c>
      <c r="J397" s="4" t="str">
        <f>IFERROR(__xludf.DUMMYFUNCTION("""COMPUTED_VALUE"""),"Tech Referent - OneOnOne")</f>
        <v>Tech Referent - OneOnOne</v>
      </c>
    </row>
    <row r="398" hidden="1">
      <c r="A398" s="4">
        <f>IFERROR(__xludf.DUMMYFUNCTION("""COMPUTED_VALUE"""),301.0)</f>
        <v>301</v>
      </c>
      <c r="B398" s="4" t="str">
        <f>IFERROR(__xludf.DUMMYFUNCTION("""COMPUTED_VALUE"""),"luis.soto")</f>
        <v>luis.soto</v>
      </c>
      <c r="C398" s="5">
        <f>IFERROR(__xludf.DUMMYFUNCTION("""COMPUTED_VALUE"""),45110.62924760417)</f>
        <v>45110.62925</v>
      </c>
      <c r="D398" s="5">
        <f>IFERROR(__xludf.DUMMYFUNCTION("""COMPUTED_VALUE"""),45129.0)</f>
        <v>45129</v>
      </c>
      <c r="E398" s="4" t="str">
        <f>IFERROR(__xludf.DUMMYFUNCTION("""COMPUTED_VALUE"""),"micaela.zorzetto@patagoniansys.com")</f>
        <v>micaela.zorzetto@patagoniansys.com</v>
      </c>
      <c r="F398" s="4" t="str">
        <f>IFERROR(__xludf.DUMMYFUNCTION("""COMPUTED_VALUE"""),"luis.soto@patagoniansys.com")</f>
        <v>luis.soto@patagoniansys.com</v>
      </c>
      <c r="G398" s="4" t="str">
        <f>IFERROR(__xludf.DUMMYFUNCTION("""COMPUTED_VALUE"""),"⏱ One on One")</f>
        <v>⏱ One on One</v>
      </c>
      <c r="H398" s="4" t="str">
        <f>IFERROR(__xludf.DUMMYFUNCTION("""COMPUTED_VALUE"""),"🙂 Feliz")</f>
        <v>🙂 Feliz</v>
      </c>
      <c r="I398" s="6" t="str">
        <f>IFERROR(__xludf.DUMMYFUNCTION("""COMPUTED_VALUE"""),"Esta muy contento en Patagonian y en el proyecto Ntopology, si bien tiene muchos altibajos en el proyecto, porque muchos partes son muy desprolijos y no hay procesos definidos.
Lo hacen sentir 100% parte de equipo, por el momento no tiene manager por part"&amp;"e del equipo.
Pidió que se le aclaré al cliente que él tiene los feriados de su pais.")</f>
        <v>Esta muy contento en Patagonian y en el proyecto Ntopology, si bien tiene muchos altibajos en el proyecto, porque muchos partes son muy desprolijos y no hay procesos definidos.
Lo hacen sentir 100% parte de equipo, por el momento no tiene manager por parte del equipo.
Pidió que se le aclaré al cliente que él tiene los feriados de su pais.</v>
      </c>
      <c r="J398" s="4" t="str">
        <f>IFERROR(__xludf.DUMMYFUNCTION("""COMPUTED_VALUE"""),"PX|Referents|RRHH")</f>
        <v>PX|Referents|RRHH</v>
      </c>
    </row>
    <row r="399">
      <c r="A399" s="4">
        <f>IFERROR(__xludf.DUMMYFUNCTION("""COMPUTED_VALUE"""),204.0)</f>
        <v>204</v>
      </c>
      <c r="B399" s="4" t="str">
        <f>IFERROR(__xludf.DUMMYFUNCTION("""COMPUTED_VALUE"""),"luisa.fernandez")</f>
        <v>luisa.fernandez</v>
      </c>
      <c r="C399" s="5">
        <f>IFERROR(__xludf.DUMMYFUNCTION("""COMPUTED_VALUE"""),45131.457646111114)</f>
        <v>45131.45765</v>
      </c>
      <c r="D399" s="5">
        <f>IFERROR(__xludf.DUMMYFUNCTION("""COMPUTED_VALUE"""),45131.0)</f>
        <v>45131</v>
      </c>
      <c r="E399" s="4" t="str">
        <f>IFERROR(__xludf.DUMMYFUNCTION("""COMPUTED_VALUE"""),"martin.infante@patagoniansys.com")</f>
        <v>martin.infante@patagoniansys.com</v>
      </c>
      <c r="F399" s="4" t="str">
        <f>IFERROR(__xludf.DUMMYFUNCTION("""COMPUTED_VALUE"""),"luisa.fernandez@patagoniansys.com")</f>
        <v>luisa.fernandez@patagoniansys.com</v>
      </c>
      <c r="G399" s="4" t="str">
        <f>IFERROR(__xludf.DUMMYFUNCTION("""COMPUTED_VALUE"""),"Referent One on One")</f>
        <v>Referent One on One</v>
      </c>
      <c r="H399" s="4"/>
      <c r="I399" s="6" t="str">
        <f>IFERROR(__xludf.DUMMYFUNCTION("""COMPUTED_VALUE"""),"- Interviewee e-Mail: luisa.fernandez@patagoniansys.com
- Project Role | Feeling: 3
- Extra Work Hours | Amount: 0 (Ningúna)
- Collaborator | Seniority: 👍 No, es correcto
- Final notes: NOTA: Este feedback es un placeholder para nuestra reunion. La reuni"&amp;"on no fue llevada a cabo debido a temas de salud de la entrevistada.
- Project Techs | Learning: 0
- Project Techs | Difficulty: 3
- Project Role | Value: 3
- Project role | Notes: -")</f>
        <v>- Interviewee e-Mail: luisa.fernandez@patagoniansys.com
- Project Role | Feeling: 3
- Extra Work Hours | Amount: 0 (Ningúna)
- Collaborator | Seniority: 👍 No, es correcto
- Final notes: NOTA: Este feedback es un placeholder para nuestra reunion. La reunion no fue llevada a cabo debido a temas de salud de la entrevistada.
- Project Techs | Learning: 0
- Project Techs | Difficulty: 3
- Project Role | Value: 3
- Project role | Notes: -</v>
      </c>
      <c r="J399" s="4" t="str">
        <f>IFERROR(__xludf.DUMMYFUNCTION("""COMPUTED_VALUE"""),"Tech Referent - OneOnOne")</f>
        <v>Tech Referent - OneOnOne</v>
      </c>
    </row>
    <row r="400" hidden="1">
      <c r="A400" s="4">
        <f>IFERROR(__xludf.DUMMYFUNCTION("""COMPUTED_VALUE"""),125.0)</f>
        <v>125</v>
      </c>
      <c r="B400" s="4" t="str">
        <f>IFERROR(__xludf.DUMMYFUNCTION("""COMPUTED_VALUE"""),"pablo.triandafilide")</f>
        <v>pablo.triandafilide</v>
      </c>
      <c r="C400" s="5">
        <f>IFERROR(__xludf.DUMMYFUNCTION("""COMPUTED_VALUE"""),45131.512866412035)</f>
        <v>45131.51287</v>
      </c>
      <c r="D400" s="5">
        <f>IFERROR(__xludf.DUMMYFUNCTION("""COMPUTED_VALUE"""),45131.0)</f>
        <v>45131</v>
      </c>
      <c r="E400" s="4" t="str">
        <f>IFERROR(__xludf.DUMMYFUNCTION("""COMPUTED_VALUE"""),"jesica.petrauskas@patagoniansys.com")</f>
        <v>jesica.petrauskas@patagoniansys.com</v>
      </c>
      <c r="F400" s="4" t="str">
        <f>IFERROR(__xludf.DUMMYFUNCTION("""COMPUTED_VALUE"""),"pablo.triandafilide@patagoniansys.com")</f>
        <v>pablo.triandafilide@patagoniansys.com</v>
      </c>
      <c r="G400" s="4" t="str">
        <f>IFERROR(__xludf.DUMMYFUNCTION("""COMPUTED_VALUE"""),"⏱ One on One")</f>
        <v>⏱ One on One</v>
      </c>
      <c r="H400" s="4" t="str">
        <f>IFERROR(__xludf.DUMMYFUNCTION("""COMPUTED_VALUE"""),"🙂 Feliz")</f>
        <v>🙂 Feliz</v>
      </c>
      <c r="I400" s="6" t="str">
        <f>IFERROR(__xludf.DUMMYFUNCTION("""COMPUTED_VALUE"""),"Bien con el proyecto, entusiasmado con la nueva feature porque va a implicar usar tecnologías nuevas. Su foco sigue siendo el backend y va a buscar algún curso para complementar el desarrollo de esta nueva feature. Tiene que retomar las clases de inglés. ")</f>
        <v>Bien con el proyecto, entusiasmado con la nueva feature porque va a implicar usar tecnologías nuevas. Su foco sigue siendo el backend y va a buscar algún curso para complementar el desarrollo de esta nueva feature. Tiene que retomar las clases de inglés. </v>
      </c>
      <c r="J400" s="4" t="str">
        <f>IFERROR(__xludf.DUMMYFUNCTION("""COMPUTED_VALUE"""),"PX|Referents|RRHH")</f>
        <v>PX|Referents|RRHH</v>
      </c>
    </row>
    <row r="401" hidden="1">
      <c r="A401" s="4">
        <f>IFERROR(__xludf.DUMMYFUNCTION("""COMPUTED_VALUE"""),331.0)</f>
        <v>331</v>
      </c>
      <c r="B401" s="4" t="str">
        <f>IFERROR(__xludf.DUMMYFUNCTION("""COMPUTED_VALUE"""),"eduardo.giorgio")</f>
        <v>eduardo.giorgio</v>
      </c>
      <c r="C401" s="5">
        <f>IFERROR(__xludf.DUMMYFUNCTION("""COMPUTED_VALUE"""),45131.68377993056)</f>
        <v>45131.68378</v>
      </c>
      <c r="D401" s="5">
        <f>IFERROR(__xludf.DUMMYFUNCTION("""COMPUTED_VALUE"""),45131.0)</f>
        <v>45131</v>
      </c>
      <c r="E401" s="4" t="str">
        <f>IFERROR(__xludf.DUMMYFUNCTION("""COMPUTED_VALUE"""),"natalia.aguirre@patagoniansys.com")</f>
        <v>natalia.aguirre@patagoniansys.com</v>
      </c>
      <c r="F401" s="4" t="str">
        <f>IFERROR(__xludf.DUMMYFUNCTION("""COMPUTED_VALUE"""),"eduardo.giorgio@patagoniansys.com")</f>
        <v>eduardo.giorgio@patagoniansys.com</v>
      </c>
      <c r="G401" s="4" t="str">
        <f>IFERROR(__xludf.DUMMYFUNCTION("""COMPUTED_VALUE"""),"⏱ One on One")</f>
        <v>⏱ One on One</v>
      </c>
      <c r="H401" s="4" t="str">
        <f>IFERROR(__xludf.DUMMYFUNCTION("""COMPUTED_VALUE"""),"🙂 Feliz")</f>
        <v>🙂 Feliz</v>
      </c>
      <c r="I401" s="6" t="str">
        <f>IFERROR(__xludf.DUMMYFUNCTION("""COMPUTED_VALUE"""),"Proyecto/cliente:  Me han incluido en los temas de negocios para entender mejor,  le agradezco a Sergay que los tiempos que define porque son muy razonables. En general es un buen cliente, puedo tomarme los feriados lo que me parece genial.")</f>
        <v>Proyecto/cliente:  Me han incluido en los temas de negocios para entender mejor,  le agradezco a Sergay que los tiempos que define porque son muy razonables. En general es un buen cliente, puedo tomarme los feriados lo que me parece genial.</v>
      </c>
      <c r="J401" s="4" t="str">
        <f>IFERROR(__xludf.DUMMYFUNCTION("""COMPUTED_VALUE"""),"PX|Referents|RRHH")</f>
        <v>PX|Referents|RRHH</v>
      </c>
    </row>
    <row r="402" hidden="1">
      <c r="A402" s="4">
        <f>IFERROR(__xludf.DUMMYFUNCTION("""COMPUTED_VALUE"""),23.0)</f>
        <v>23</v>
      </c>
      <c r="B402" s="4" t="str">
        <f>IFERROR(__xludf.DUMMYFUNCTION("""COMPUTED_VALUE"""),"leonardo.buret")</f>
        <v>leonardo.buret</v>
      </c>
      <c r="C402" s="5">
        <f>IFERROR(__xludf.DUMMYFUNCTION("""COMPUTED_VALUE"""),45131.69481090277)</f>
        <v>45131.69481</v>
      </c>
      <c r="D402" s="5">
        <f>IFERROR(__xludf.DUMMYFUNCTION("""COMPUTED_VALUE"""),45131.0)</f>
        <v>45131</v>
      </c>
      <c r="E402" s="4" t="str">
        <f>IFERROR(__xludf.DUMMYFUNCTION("""COMPUTED_VALUE"""),"natalia.aguirre@patagoniansys.com")</f>
        <v>natalia.aguirre@patagoniansys.com</v>
      </c>
      <c r="F402" s="4" t="str">
        <f>IFERROR(__xludf.DUMMYFUNCTION("""COMPUTED_VALUE"""),"leonardo.buret@patagoniansys.com")</f>
        <v>leonardo.buret@patagoniansys.com</v>
      </c>
      <c r="G402" s="4" t="str">
        <f>IFERROR(__xludf.DUMMYFUNCTION("""COMPUTED_VALUE"""),"⏱ One on One")</f>
        <v>⏱ One on One</v>
      </c>
      <c r="H402" s="4" t="str">
        <f>IFERROR(__xludf.DUMMYFUNCTION("""COMPUTED_VALUE"""),"😀 Sumamente Feliz")</f>
        <v>😀 Sumamente Feliz</v>
      </c>
      <c r="I402" s="6" t="str">
        <f>IFERROR(__xludf.DUMMYFUNCTION("""COMPUTED_VALUE"""),"Centriply: En este cliente es TL de Eduardo Giorgio. la asignación (20 horas al mes) ha sido equilibrada con su otro proyecto/Cliente AAO. 
AAO: Su rol es Dev Senior. El proyecto está bien, el cliente nos ha incluido en conversaciones para continuar en ot"&amp;"ras iniciativas, si existe la posibilidad de continuar me gustaría, tienen tecnologia interesante y manejan bases de datos realmente grandes que me permite aprender.
")</f>
        <v>Centriply: En este cliente es TL de Eduardo Giorgio. la asignación (20 horas al mes) ha sido equilibrada con su otro proyecto/Cliente AAO. 
AAO: Su rol es Dev Senior. El proyecto está bien, el cliente nos ha incluido en conversaciones para continuar en otras iniciativas, si existe la posibilidad de continuar me gustaría, tienen tecnologia interesante y manejan bases de datos realmente grandes que me permite aprender.
</v>
      </c>
      <c r="J402" s="4" t="str">
        <f>IFERROR(__xludf.DUMMYFUNCTION("""COMPUTED_VALUE"""),"PX|Referents|RRHH")</f>
        <v>PX|Referents|RRHH</v>
      </c>
    </row>
    <row r="403">
      <c r="A403" s="4">
        <f>IFERROR(__xludf.DUMMYFUNCTION("""COMPUTED_VALUE"""),256.0)</f>
        <v>256</v>
      </c>
      <c r="B403" s="4" t="str">
        <f>IFERROR(__xludf.DUMMYFUNCTION("""COMPUTED_VALUE"""),"kevin.lopez")</f>
        <v>kevin.lopez</v>
      </c>
      <c r="C403" s="5">
        <f>IFERROR(__xludf.DUMMYFUNCTION("""COMPUTED_VALUE"""),45131.70029179398)</f>
        <v>45131.70029</v>
      </c>
      <c r="D403" s="5">
        <f>IFERROR(__xludf.DUMMYFUNCTION("""COMPUTED_VALUE"""),45131.0)</f>
        <v>45131</v>
      </c>
      <c r="E403" s="4" t="str">
        <f>IFERROR(__xludf.DUMMYFUNCTION("""COMPUTED_VALUE"""),"jorge.contreras@patagoniansys.com")</f>
        <v>jorge.contreras@patagoniansys.com</v>
      </c>
      <c r="F403" s="4" t="str">
        <f>IFERROR(__xludf.DUMMYFUNCTION("""COMPUTED_VALUE"""),"kevin.lopez@patagonian.com")</f>
        <v>kevin.lopez@patagonian.com</v>
      </c>
      <c r="G403" s="4" t="str">
        <f>IFERROR(__xludf.DUMMYFUNCTION("""COMPUTED_VALUE"""),"Initial gathering")</f>
        <v>Initial gathering</v>
      </c>
      <c r="H403" s="4"/>
      <c r="I403" s="6" t="str">
        <f>IFERROR(__xludf.DUMMYFUNCTION("""COMPUTED_VALUE"""),"- Interviewee e-Mail: kevin.lopez@patagonian.com
- Project name: Diario Rio Negro
- Project | Role: Mobile Developer
- Project | Description: Mobile developer y soporte
- Project | technologies: React Native (android y iphone)
- Happiness in project techn"&amp;"ology: 😀 Sumamente Feliz
- Happiness in project technology | Description: Para el momento se desconocen la tareas debido a que está iniciando
- Project | The best/coolest thing: Ver como manejaron la infraestructura de la aplicación en React Native.
- Pr"&amp;"oject | The worst thing: Aún no se.
- Project | Improvements: Aún no se.
- Team | TL: Benjamin Bascarí
- Team | PX: Federico Peralta
- Team | QA: 1
- Team | QA Automation: 🤔 No lo se
- Team | QA | Notes: Está empezando en el proyecto.
- Team | UI/UX: 0
-"&amp;" Team | DevOps: 1
- Team | DevOps | Notes: Hay una persona, pero no se sabe quién es,
- Team | Data Engineer: 0")</f>
        <v>- Interviewee e-Mail: kevin.lopez@patagonian.com
- Project name: Diario Rio Negro
- Project | Role: Mobile Developer
- Project | Description: Mobile developer y soporte
- Project | technologies: React Native (android y iphone)
- Happiness in project technology: 😀 Sumamente Feliz
- Happiness in project technology | Description: Para el momento se desconocen la tareas debido a que está iniciando
- Project | The best/coolest thing: Ver como manejaron la infraestructura de la aplicación en React Native.
- Project | The worst thing: Aún no se.
- Project | Improvements: Aún no se.
- Team | TL: Benjamin Bascarí
- Team | PX: Federico Peralta
- Team | QA: 1
- Team | QA Automation: 🤔 No lo se
- Team | QA | Notes: Está empezando en el proyecto.
- Team | UI/UX: 0
- Team | DevOps: 1
- Team | DevOps | Notes: Hay una persona, pero no se sabe quién es,
- Team | Data Engineer: 0</v>
      </c>
      <c r="J403" s="4" t="str">
        <f>IFERROR(__xludf.DUMMYFUNCTION("""COMPUTED_VALUE"""),"Tech Referent - Initial gathering")</f>
        <v>Tech Referent - Initial gathering</v>
      </c>
    </row>
    <row r="404" hidden="1">
      <c r="A404" s="4">
        <f>IFERROR(__xludf.DUMMYFUNCTION("""COMPUTED_VALUE"""),105.0)</f>
        <v>105</v>
      </c>
      <c r="B404" s="4" t="str">
        <f>IFERROR(__xludf.DUMMYFUNCTION("""COMPUTED_VALUE"""),"henry.tong")</f>
        <v>henry.tong</v>
      </c>
      <c r="C404" s="5">
        <f>IFERROR(__xludf.DUMMYFUNCTION("""COMPUTED_VALUE"""),45131.70577849537)</f>
        <v>45131.70578</v>
      </c>
      <c r="D404" s="5">
        <f>IFERROR(__xludf.DUMMYFUNCTION("""COMPUTED_VALUE"""),45131.0)</f>
        <v>45131</v>
      </c>
      <c r="E404" s="4" t="str">
        <f>IFERROR(__xludf.DUMMYFUNCTION("""COMPUTED_VALUE"""),"natalia.aguirre@patagoniansys.com")</f>
        <v>natalia.aguirre@patagoniansys.com</v>
      </c>
      <c r="F404" s="4" t="str">
        <f>IFERROR(__xludf.DUMMYFUNCTION("""COMPUTED_VALUE"""),"henry.tong@patagoniansys.com")</f>
        <v>henry.tong@patagoniansys.com</v>
      </c>
      <c r="G404" s="4" t="str">
        <f>IFERROR(__xludf.DUMMYFUNCTION("""COMPUTED_VALUE"""),"⏱ One on One")</f>
        <v>⏱ One on One</v>
      </c>
      <c r="H404" s="4" t="str">
        <f>IFERROR(__xludf.DUMMYFUNCTION("""COMPUTED_VALUE"""),"😀 Sumamente Feliz")</f>
        <v>😀 Sumamente Feliz</v>
      </c>
      <c r="I404" s="6" t="str">
        <f>IFERROR(__xludf.DUMMYFUNCTION("""COMPUTED_VALUE"""),"
Comentarios: El proyecto va bien (Test Machine). En el cliente estoy contento. El equipo en el cliente me han compartido información para aprender de Blockchain, aunque mayormente sigue trabajando en Python. Me gustaría pensar en poder dar un taller en P"&amp;"atagonian, cuando esté mas contextualizado de Blockchain. ")</f>
        <v>
Comentarios: El proyecto va bien (Test Machine). En el cliente estoy contento. El equipo en el cliente me han compartido información para aprender de Blockchain, aunque mayormente sigue trabajando en Python. Me gustaría pensar en poder dar un taller en Patagonian, cuando esté mas contextualizado de Blockchain. </v>
      </c>
      <c r="J404" s="4" t="str">
        <f>IFERROR(__xludf.DUMMYFUNCTION("""COMPUTED_VALUE"""),"PX|Referents|RRHH")</f>
        <v>PX|Referents|RRHH</v>
      </c>
    </row>
    <row r="405" hidden="1">
      <c r="A405" s="4">
        <f>IFERROR(__xludf.DUMMYFUNCTION("""COMPUTED_VALUE"""),234.0)</f>
        <v>234</v>
      </c>
      <c r="B405" s="4" t="str">
        <f>IFERROR(__xludf.DUMMYFUNCTION("""COMPUTED_VALUE"""),"matias.gudar")</f>
        <v>matias.gudar</v>
      </c>
      <c r="C405" s="5">
        <f>IFERROR(__xludf.DUMMYFUNCTION("""COMPUTED_VALUE"""),45131.751642129624)</f>
        <v>45131.75164</v>
      </c>
      <c r="D405" s="5">
        <f>IFERROR(__xludf.DUMMYFUNCTION("""COMPUTED_VALUE"""),45131.0)</f>
        <v>45131</v>
      </c>
      <c r="E405" s="4" t="str">
        <f>IFERROR(__xludf.DUMMYFUNCTION("""COMPUTED_VALUE"""),"marcela.benavides@patagoniansys.com")</f>
        <v>marcela.benavides@patagoniansys.com</v>
      </c>
      <c r="F405" s="4" t="str">
        <f>IFERROR(__xludf.DUMMYFUNCTION("""COMPUTED_VALUE"""),"matias.gudar@patagoniansys.com")</f>
        <v>matias.gudar@patagoniansys.com</v>
      </c>
      <c r="G405" s="4" t="str">
        <f>IFERROR(__xludf.DUMMYFUNCTION("""COMPUTED_VALUE"""),"⏱ One on One")</f>
        <v>⏱ One on One</v>
      </c>
      <c r="H405" s="4" t="str">
        <f>IFERROR(__xludf.DUMMYFUNCTION("""COMPUTED_VALUE"""),"🙂 Feliz")</f>
        <v>🙂 Feliz</v>
      </c>
      <c r="I405" s="6" t="str">
        <f>IFERROR(__xludf.DUMMYFUNCTION("""COMPUTED_VALUE"""),"Matías esta contento en el proyecto de Forge, menciona que es de los mejores proyectos en los que ha estado. Hace mención a que quiere seguirse formando como Data, fortaleciéndose más en lo técnico y conociendo más herramientas que le den una visión de Da"&amp;"ta más amplia. Le gustaría dar una mano en el proyecto de Data de Patagonian o de lo que se este realizando en cuánto al Career Path de Data. ")</f>
        <v>Matías esta contento en el proyecto de Forge, menciona que es de los mejores proyectos en los que ha estado. Hace mención a que quiere seguirse formando como Data, fortaleciéndose más en lo técnico y conociendo más herramientas que le den una visión de Data más amplia. Le gustaría dar una mano en el proyecto de Data de Patagonian o de lo que se este realizando en cuánto al Career Path de Data. </v>
      </c>
      <c r="J405" s="4" t="str">
        <f>IFERROR(__xludf.DUMMYFUNCTION("""COMPUTED_VALUE"""),"PX|Referents|RRHH")</f>
        <v>PX|Referents|RRHH</v>
      </c>
    </row>
    <row r="406" hidden="1">
      <c r="A406" s="4">
        <f>IFERROR(__xludf.DUMMYFUNCTION("""COMPUTED_VALUE"""),167.0)</f>
        <v>167</v>
      </c>
      <c r="B406" s="4" t="str">
        <f>IFERROR(__xludf.DUMMYFUNCTION("""COMPUTED_VALUE"""),"rodrigo.cibils")</f>
        <v>rodrigo.cibils</v>
      </c>
      <c r="C406" s="5">
        <f>IFERROR(__xludf.DUMMYFUNCTION("""COMPUTED_VALUE"""),45132.36144912037)</f>
        <v>45132.36145</v>
      </c>
      <c r="D406" s="5">
        <f>IFERROR(__xludf.DUMMYFUNCTION("""COMPUTED_VALUE"""),45131.0)</f>
        <v>45131</v>
      </c>
      <c r="E406" s="4" t="str">
        <f>IFERROR(__xludf.DUMMYFUNCTION("""COMPUTED_VALUE"""),"jesica.petrauskas@patagoniansys.com")</f>
        <v>jesica.petrauskas@patagoniansys.com</v>
      </c>
      <c r="F406" s="4" t="str">
        <f>IFERROR(__xludf.DUMMYFUNCTION("""COMPUTED_VALUE"""),"rodrigo.cibils@patagoniansys.com")</f>
        <v>rodrigo.cibils@patagoniansys.com</v>
      </c>
      <c r="G406" s="4" t="str">
        <f>IFERROR(__xludf.DUMMYFUNCTION("""COMPUTED_VALUE"""),"⏱ One on One")</f>
        <v>⏱ One on One</v>
      </c>
      <c r="H406" s="4" t="str">
        <f>IFERROR(__xludf.DUMMYFUNCTION("""COMPUTED_VALUE"""),"🙂 Feliz")</f>
        <v>🙂 Feliz</v>
      </c>
      <c r="I406" s="6" t="str">
        <f>IFERROR(__xludf.DUMMYFUNCTION("""COMPUTED_VALUE"""),"Sigue bien con el proyecto y con ganas de aprender más de React Native y que lo tengan en cuenta para esa tecnología. Avanza también con el career path de mobile. ")</f>
        <v>Sigue bien con el proyecto y con ganas de aprender más de React Native y que lo tengan en cuenta para esa tecnología. Avanza también con el career path de mobile. </v>
      </c>
      <c r="J406" s="4" t="str">
        <f>IFERROR(__xludf.DUMMYFUNCTION("""COMPUTED_VALUE"""),"PX|Referents|RRHH")</f>
        <v>PX|Referents|RRHH</v>
      </c>
    </row>
    <row r="407" hidden="1">
      <c r="A407" s="4">
        <f>IFERROR(__xludf.DUMMYFUNCTION("""COMPUTED_VALUE"""),227.0)</f>
        <v>227</v>
      </c>
      <c r="B407" s="4" t="str">
        <f>IFERROR(__xludf.DUMMYFUNCTION("""COMPUTED_VALUE"""),"martin.infante")</f>
        <v>martin.infante</v>
      </c>
      <c r="C407" s="5">
        <f>IFERROR(__xludf.DUMMYFUNCTION("""COMPUTED_VALUE"""),45145.7269340625)</f>
        <v>45145.72693</v>
      </c>
      <c r="D407" s="5">
        <f>IFERROR(__xludf.DUMMYFUNCTION("""COMPUTED_VALUE"""),45131.0)</f>
        <v>45131</v>
      </c>
      <c r="E407" s="4" t="str">
        <f>IFERROR(__xludf.DUMMYFUNCTION("""COMPUTED_VALUE"""),"micaela.zorzetto@patagoniansys.com")</f>
        <v>micaela.zorzetto@patagoniansys.com</v>
      </c>
      <c r="F407" s="4" t="str">
        <f>IFERROR(__xludf.DUMMYFUNCTION("""COMPUTED_VALUE"""),"martin.infante@patagoniansys.com")</f>
        <v>martin.infante@patagoniansys.com</v>
      </c>
      <c r="G407" s="4" t="str">
        <f>IFERROR(__xludf.DUMMYFUNCTION("""COMPUTED_VALUE"""),"⏱ One on One")</f>
        <v>⏱ One on One</v>
      </c>
      <c r="H407" s="4" t="str">
        <f>IFERROR(__xludf.DUMMYFUNCTION("""COMPUTED_VALUE"""),"🙂 Feliz")</f>
        <v>🙂 Feliz</v>
      </c>
      <c r="I407" s="6" t="str">
        <f>IFERROR(__xludf.DUMMYFUNCTION("""COMPUTED_VALUE"""),"Esta contento, a full con el proyecto y con pedidos internos de Patagonian. ")</f>
        <v>Esta contento, a full con el proyecto y con pedidos internos de Patagonian. </v>
      </c>
      <c r="J407" s="4" t="str">
        <f>IFERROR(__xludf.DUMMYFUNCTION("""COMPUTED_VALUE"""),"PX|Referents|RRHH")</f>
        <v>PX|Referents|RRHH</v>
      </c>
    </row>
    <row r="408">
      <c r="A408" s="4">
        <f>IFERROR(__xludf.DUMMYFUNCTION("""COMPUTED_VALUE"""),254.0)</f>
        <v>254</v>
      </c>
      <c r="B408" s="4" t="str">
        <f>IFERROR(__xludf.DUMMYFUNCTION("""COMPUTED_VALUE"""),"ismael.cespedes")</f>
        <v>ismael.cespedes</v>
      </c>
      <c r="C408" s="5">
        <f>IFERROR(__xludf.DUMMYFUNCTION("""COMPUTED_VALUE"""),45132.46603943287)</f>
        <v>45132.46604</v>
      </c>
      <c r="D408" s="5">
        <f>IFERROR(__xludf.DUMMYFUNCTION("""COMPUTED_VALUE"""),45132.0)</f>
        <v>45132</v>
      </c>
      <c r="E408" s="4" t="str">
        <f>IFERROR(__xludf.DUMMYFUNCTION("""COMPUTED_VALUE"""),"juan.calou@patagoniansys.com")</f>
        <v>juan.calou@patagoniansys.com</v>
      </c>
      <c r="F408" s="4" t="str">
        <f>IFERROR(__xludf.DUMMYFUNCTION("""COMPUTED_VALUE"""),"ismael.cespedes@patagoniansys.com")</f>
        <v>ismael.cespedes@patagoniansys.com</v>
      </c>
      <c r="G408" s="4" t="str">
        <f>IFERROR(__xludf.DUMMYFUNCTION("""COMPUTED_VALUE"""),"Referent One on One")</f>
        <v>Referent One on One</v>
      </c>
      <c r="H408" s="4"/>
      <c r="I408" s="6" t="str">
        <f>IFERROR(__xludf.DUMMYFUNCTION("""COMPUTED_VALUE"""),"- Interviewee e-Mail: ismael.cespedes@patagoniansys.com
- Project Status Check: Sigue en su proyecto, esta contento. No necesita ayuda.
- Project Role | Feeling: 4
- Extra Work Hours | Amount: 0 (Ningúna)
- Techs | Certifications: posgrado AI por su cuent"&amp;"a
- Collaborator | Seniority: 👍 No, es correcto
- Alerts: Lo vi bien, motivado y contento
- Project Needs / Oportunities: node	react
strapi. trabaja haciendo endpoints custom especificos.	
le dijeron que iba para tres meses	
pidieron que funcione lo mas "&amp;"parecido a lo que tienen	
pequeñas mejoras en los forms para que sea mas intuitivo	
mejorar tiempos de carga	
- Final notes: Lo veo contento con su proyecto. Tambien esta haciendo un posgrado de AI. Converamos sobre lo del career path porque el ya estuvo "&amp;"haciendo un par de cosas y la semana que viene arrancamos oficialmente
- Project Techs | Learning: 2
- Project Techs | Difficulty: 4
- Project Changes | Reasons: 🟰 No hubo cambios
- Project Changes | Personal Impact: 3
- Project Role | Value: 4
- Project"&amp;" role | Notes: strapi. trabaja haciendo endpoints custom especificos.")</f>
        <v>- Interviewee e-Mail: ismael.cespedes@patagoniansys.com
- Project Status Check: Sigue en su proyecto, esta contento. No necesita ayuda.
- Project Role | Feeling: 4
- Extra Work Hours | Amount: 0 (Ningúna)
- Techs | Certifications: posgrado AI por su cuenta
- Collaborator | Seniority: 👍 No, es correcto
- Alerts: Lo vi bien, motivado y contento
- Project Needs / Oportunities: node	react
strapi. trabaja haciendo endpoints custom especificos.	
le dijeron que iba para tres meses	
pidieron que funcione lo mas parecido a lo que tienen	
pequeñas mejoras en los forms para que sea mas intuitivo	
mejorar tiempos de carga	
- Final notes: Lo veo contento con su proyecto. Tambien esta haciendo un posgrado de AI. Converamos sobre lo del career path porque el ya estuvo haciendo un par de cosas y la semana que viene arrancamos oficialmente
- Project Techs | Learning: 2
- Project Techs | Difficulty: 4
- Project Changes | Reasons: 🟰 No hubo cambios
- Project Changes | Personal Impact: 3
- Project Role | Value: 4
- Project role | Notes: strapi. trabaja haciendo endpoints custom especificos.</v>
      </c>
      <c r="J408" s="4" t="str">
        <f>IFERROR(__xludf.DUMMYFUNCTION("""COMPUTED_VALUE"""),"Tech Referent - OneOnOne")</f>
        <v>Tech Referent - OneOnOne</v>
      </c>
    </row>
    <row r="409" hidden="1">
      <c r="A409" s="4">
        <f>IFERROR(__xludf.DUMMYFUNCTION("""COMPUTED_VALUE"""),177.0)</f>
        <v>177</v>
      </c>
      <c r="B409" s="4" t="str">
        <f>IFERROR(__xludf.DUMMYFUNCTION("""COMPUTED_VALUE"""),"juan.marin")</f>
        <v>juan.marin</v>
      </c>
      <c r="C409" s="5">
        <f>IFERROR(__xludf.DUMMYFUNCTION("""COMPUTED_VALUE"""),45132.52778996528)</f>
        <v>45132.52779</v>
      </c>
      <c r="D409" s="5">
        <f>IFERROR(__xludf.DUMMYFUNCTION("""COMPUTED_VALUE"""),45132.0)</f>
        <v>45132</v>
      </c>
      <c r="E409" s="4" t="str">
        <f>IFERROR(__xludf.DUMMYFUNCTION("""COMPUTED_VALUE"""),"jesica.petrauskas@patagoniansys.com")</f>
        <v>jesica.petrauskas@patagoniansys.com</v>
      </c>
      <c r="F409" s="4" t="str">
        <f>IFERROR(__xludf.DUMMYFUNCTION("""COMPUTED_VALUE"""),"juan.marin@patagoniansys.com")</f>
        <v>juan.marin@patagoniansys.com</v>
      </c>
      <c r="G409" s="4" t="str">
        <f>IFERROR(__xludf.DUMMYFUNCTION("""COMPUTED_VALUE"""),"⏱ One on One")</f>
        <v>⏱ One on One</v>
      </c>
      <c r="H409" s="4" t="str">
        <f>IFERROR(__xludf.DUMMYFUNCTION("""COMPUTED_VALUE"""),"🙂 Feliz")</f>
        <v>🙂 Feliz</v>
      </c>
      <c r="I409" s="6" t="str">
        <f>IFERROR(__xludf.DUMMYFUNCTION("""COMPUTED_VALUE"""),"Con el proyecto bien, está haciendo un curso para certificación CKA que luego va a necesitar solicitar la certificación. Le interesaría también colaborar en algún proyecto con AWS. Con inglés cree que está bien por lo que no necesitaría las clases de Pata"&amp;"gonian. Detecta que es un momento un poco difícil en el rubro IT .")</f>
        <v>Con el proyecto bien, está haciendo un curso para certificación CKA que luego va a necesitar solicitar la certificación. Le interesaría también colaborar en algún proyecto con AWS. Con inglés cree que está bien por lo que no necesitaría las clases de Patagonian. Detecta que es un momento un poco difícil en el rubro IT .</v>
      </c>
      <c r="J409" s="4" t="str">
        <f>IFERROR(__xludf.DUMMYFUNCTION("""COMPUTED_VALUE"""),"PX|Referents|RRHH")</f>
        <v>PX|Referents|RRHH</v>
      </c>
    </row>
    <row r="410" hidden="1">
      <c r="A410" s="4">
        <f>IFERROR(__xludf.DUMMYFUNCTION("""COMPUTED_VALUE"""),11.0)</f>
        <v>11</v>
      </c>
      <c r="B410" s="4" t="str">
        <f>IFERROR(__xludf.DUMMYFUNCTION("""COMPUTED_VALUE"""),"ernesto.parada")</f>
        <v>ernesto.parada</v>
      </c>
      <c r="C410" s="5">
        <f>IFERROR(__xludf.DUMMYFUNCTION("""COMPUTED_VALUE"""),45132.529194965275)</f>
        <v>45132.52919</v>
      </c>
      <c r="D410" s="5">
        <f>IFERROR(__xludf.DUMMYFUNCTION("""COMPUTED_VALUE"""),45132.0)</f>
        <v>45132</v>
      </c>
      <c r="E410" s="4" t="str">
        <f>IFERROR(__xludf.DUMMYFUNCTION("""COMPUTED_VALUE"""),"jesica.petrauskas@patagoniansys.com")</f>
        <v>jesica.petrauskas@patagoniansys.com</v>
      </c>
      <c r="F410" s="4" t="str">
        <f>IFERROR(__xludf.DUMMYFUNCTION("""COMPUTED_VALUE"""),"ernesto.parada@patagoniansys.com")</f>
        <v>ernesto.parada@patagoniansys.com</v>
      </c>
      <c r="G410" s="4" t="str">
        <f>IFERROR(__xludf.DUMMYFUNCTION("""COMPUTED_VALUE"""),"⏱ One on One")</f>
        <v>⏱ One on One</v>
      </c>
      <c r="H410" s="4" t="str">
        <f>IFERROR(__xludf.DUMMYFUNCTION("""COMPUTED_VALUE"""),"🙂 Feliz")</f>
        <v>🙂 Feliz</v>
      </c>
      <c r="I410" s="6" t="str">
        <f>IFERROR(__xludf.DUMMYFUNCTION("""COMPUTED_VALUE"""),"Certificación de AWS pendiente y colaborando con la iniciativa de BI. Cree que sigue habiendo problemas de comunicación a nivel rrhh sobre temas de aumentos o administrativos. ")</f>
        <v>Certificación de AWS pendiente y colaborando con la iniciativa de BI. Cree que sigue habiendo problemas de comunicación a nivel rrhh sobre temas de aumentos o administrativos. </v>
      </c>
      <c r="J410" s="4" t="str">
        <f>IFERROR(__xludf.DUMMYFUNCTION("""COMPUTED_VALUE"""),"PX|Referents|RRHH")</f>
        <v>PX|Referents|RRHH</v>
      </c>
    </row>
    <row r="411" hidden="1">
      <c r="A411" s="4">
        <f>IFERROR(__xludf.DUMMYFUNCTION("""COMPUTED_VALUE"""),260.0)</f>
        <v>260</v>
      </c>
      <c r="B411" s="4" t="str">
        <f>IFERROR(__xludf.DUMMYFUNCTION("""COMPUTED_VALUE"""),"ivan.vasquez")</f>
        <v>ivan.vasquez</v>
      </c>
      <c r="C411" s="5">
        <f>IFERROR(__xludf.DUMMYFUNCTION("""COMPUTED_VALUE"""),45132.53139778935)</f>
        <v>45132.5314</v>
      </c>
      <c r="D411" s="5">
        <f>IFERROR(__xludf.DUMMYFUNCTION("""COMPUTED_VALUE"""),45132.0)</f>
        <v>45132</v>
      </c>
      <c r="E411" s="4" t="str">
        <f>IFERROR(__xludf.DUMMYFUNCTION("""COMPUTED_VALUE"""),"jesica.petrauskas@patagoniansys.com")</f>
        <v>jesica.petrauskas@patagoniansys.com</v>
      </c>
      <c r="F411" s="4" t="str">
        <f>IFERROR(__xludf.DUMMYFUNCTION("""COMPUTED_VALUE"""),"ivan.vasquez@patagoniansys.com")</f>
        <v>ivan.vasquez@patagoniansys.com</v>
      </c>
      <c r="G411" s="4" t="str">
        <f>IFERROR(__xludf.DUMMYFUNCTION("""COMPUTED_VALUE"""),"⏱ One on One")</f>
        <v>⏱ One on One</v>
      </c>
      <c r="H411" s="4" t="str">
        <f>IFERROR(__xludf.DUMMYFUNCTION("""COMPUTED_VALUE"""),"🙂 Feliz")</f>
        <v>🙂 Feliz</v>
      </c>
      <c r="I411" s="6" t="str">
        <f>IFERROR(__xludf.DUMMYFUNCTION("""COMPUTED_VALUE"""),"Con el proyecto bien y también con el equipo. A nivel desarrollo está haciendo un curso de python para poder trabajar en la parte de automatización y a la vez preparando otra certificación de usabilidad. Ingles siente que las clases no se aprovechan bien "&amp;"o que no puede cuadrar los horarios por lo que le propongo ver alternativas con el profesor y RRHH. Le gustaría hacer un viaje a Roca para conocer al equipo.")</f>
        <v>Con el proyecto bien y también con el equipo. A nivel desarrollo está haciendo un curso de python para poder trabajar en la parte de automatización y a la vez preparando otra certificación de usabilidad. Ingles siente que las clases no se aprovechan bien o que no puede cuadrar los horarios por lo que le propongo ver alternativas con el profesor y RRHH. Le gustaría hacer un viaje a Roca para conocer al equipo.</v>
      </c>
      <c r="J411" s="4" t="str">
        <f>IFERROR(__xludf.DUMMYFUNCTION("""COMPUTED_VALUE"""),"PX|Referents|RRHH")</f>
        <v>PX|Referents|RRHH</v>
      </c>
    </row>
    <row r="412" hidden="1">
      <c r="A412" s="4">
        <f>IFERROR(__xludf.DUMMYFUNCTION("""COMPUTED_VALUE"""),23.0)</f>
        <v>23</v>
      </c>
      <c r="B412" s="4" t="str">
        <f>IFERROR(__xludf.DUMMYFUNCTION("""COMPUTED_VALUE"""),"leonardo.buret")</f>
        <v>leonardo.buret</v>
      </c>
      <c r="C412" s="5">
        <f>IFERROR(__xludf.DUMMYFUNCTION("""COMPUTED_VALUE"""),45138.66127885416)</f>
        <v>45138.66128</v>
      </c>
      <c r="D412" s="5">
        <f>IFERROR(__xludf.DUMMYFUNCTION("""COMPUTED_VALUE"""),45132.0)</f>
        <v>45132</v>
      </c>
      <c r="E412" s="4" t="str">
        <f>IFERROR(__xludf.DUMMYFUNCTION("""COMPUTED_VALUE"""),"micaela.zorzetto@patagoniansys.com")</f>
        <v>micaela.zorzetto@patagoniansys.com</v>
      </c>
      <c r="F412" s="4" t="str">
        <f>IFERROR(__xludf.DUMMYFUNCTION("""COMPUTED_VALUE"""),"leonardo.buret@patagoniansys.com")</f>
        <v>leonardo.buret@patagoniansys.com</v>
      </c>
      <c r="G412" s="4" t="str">
        <f>IFERROR(__xludf.DUMMYFUNCTION("""COMPUTED_VALUE"""),"⏱ One on One")</f>
        <v>⏱ One on One</v>
      </c>
      <c r="H412" s="4" t="str">
        <f>IFERROR(__xludf.DUMMYFUNCTION("""COMPUTED_VALUE"""),"🙂 Feliz")</f>
        <v>🙂 Feliz</v>
      </c>
      <c r="I412" s="6" t="str">
        <f>IFERROR(__xludf.DUMMYFUNCTION("""COMPUTED_VALUE"""),"Ahora esta sin mucho trabajo, ya que estan a la espera de un nuevo contrato con el cliente. El feedback del cliente fue muy bueno,tiene un rol de DEV ya que necesitaban eliminar una lsita de bug.
Solicitud de envio de silla.")</f>
        <v>Ahora esta sin mucho trabajo, ya que estan a la espera de un nuevo contrato con el cliente. El feedback del cliente fue muy bueno,tiene un rol de DEV ya que necesitaban eliminar una lsita de bug.
Solicitud de envio de silla.</v>
      </c>
      <c r="J412" s="4" t="str">
        <f>IFERROR(__xludf.DUMMYFUNCTION("""COMPUTED_VALUE"""),"PX|Referents|RRHH")</f>
        <v>PX|Referents|RRHH</v>
      </c>
    </row>
    <row r="413" hidden="1">
      <c r="A413" s="4">
        <f>IFERROR(__xludf.DUMMYFUNCTION("""COMPUTED_VALUE"""),345.0)</f>
        <v>345</v>
      </c>
      <c r="B413" s="4" t="str">
        <f>IFERROR(__xludf.DUMMYFUNCTION("""COMPUTED_VALUE"""),"gaston.foyatier")</f>
        <v>gaston.foyatier</v>
      </c>
      <c r="C413" s="5">
        <f>IFERROR(__xludf.DUMMYFUNCTION("""COMPUTED_VALUE"""),45141.45152027777)</f>
        <v>45141.45152</v>
      </c>
      <c r="D413" s="5">
        <f>IFERROR(__xludf.DUMMYFUNCTION("""COMPUTED_VALUE"""),45132.0)</f>
        <v>45132</v>
      </c>
      <c r="E413" s="4" t="str">
        <f>IFERROR(__xludf.DUMMYFUNCTION("""COMPUTED_VALUE"""),"natalia.aguirre@patagoniansys.com")</f>
        <v>natalia.aguirre@patagoniansys.com</v>
      </c>
      <c r="F413" s="4" t="str">
        <f>IFERROR(__xludf.DUMMYFUNCTION("""COMPUTED_VALUE"""),"gaston.foyatier@patagoniansys.com")</f>
        <v>gaston.foyatier@patagoniansys.com</v>
      </c>
      <c r="G413" s="4" t="str">
        <f>IFERROR(__xludf.DUMMYFUNCTION("""COMPUTED_VALUE"""),"⏱ One on One")</f>
        <v>⏱ One on One</v>
      </c>
      <c r="H413" s="4" t="str">
        <f>IFERROR(__xludf.DUMMYFUNCTION("""COMPUTED_VALUE"""),"🙂 Feliz")</f>
        <v>🙂 Feliz</v>
      </c>
      <c r="I413" s="6" t="str">
        <f>IFERROR(__xludf.DUMMYFUNCTION("""COMPUTED_VALUE"""),"Gaston ingresó a Patagonian  recientemente (hace 2 meses) y llegó directamente a trabajar en el proyecto de Santa App. El onboarding a la empresa y al proyecto fue en paralelo. Comentarios ""Me gusta el proyecto, todos en el equipo son muy piolas, en el p"&amp;"royecto me siento bien, al principio estuve muy enfocado en estabilizar el proyecto como producto"" ""me gustaría conocer de Patagonian y que mas podría mas a hacer dentro de la empresa""
")</f>
        <v>Gaston ingresó a Patagonian  recientemente (hace 2 meses) y llegó directamente a trabajar en el proyecto de Santa App. El onboarding a la empresa y al proyecto fue en paralelo. Comentarios "Me gusta el proyecto, todos en el equipo son muy piolas, en el proyecto me siento bien, al principio estuve muy enfocado en estabilizar el proyecto como producto" "me gustaría conocer de Patagonian y que mas podría mas a hacer dentro de la empresa"
</v>
      </c>
      <c r="J413" s="4" t="str">
        <f>IFERROR(__xludf.DUMMYFUNCTION("""COMPUTED_VALUE"""),"PX|Referents|RRHH")</f>
        <v>PX|Referents|RRHH</v>
      </c>
    </row>
    <row r="414" hidden="1">
      <c r="A414" s="4">
        <f>IFERROR(__xludf.DUMMYFUNCTION("""COMPUTED_VALUE"""),248.0)</f>
        <v>248</v>
      </c>
      <c r="B414" s="4" t="str">
        <f>IFERROR(__xludf.DUMMYFUNCTION("""COMPUTED_VALUE"""),"geronimo.cornou")</f>
        <v>geronimo.cornou</v>
      </c>
      <c r="C414" s="5">
        <f>IFERROR(__xludf.DUMMYFUNCTION("""COMPUTED_VALUE"""),45145.72544278935)</f>
        <v>45145.72544</v>
      </c>
      <c r="D414" s="5">
        <f>IFERROR(__xludf.DUMMYFUNCTION("""COMPUTED_VALUE"""),45132.0)</f>
        <v>45132</v>
      </c>
      <c r="E414" s="4" t="str">
        <f>IFERROR(__xludf.DUMMYFUNCTION("""COMPUTED_VALUE"""),"micaela.zorzetto@patagoniansys.com")</f>
        <v>micaela.zorzetto@patagoniansys.com</v>
      </c>
      <c r="F414" s="4" t="str">
        <f>IFERROR(__xludf.DUMMYFUNCTION("""COMPUTED_VALUE"""),"geronimo.cornou@patagoniansys.com")</f>
        <v>geronimo.cornou@patagoniansys.com</v>
      </c>
      <c r="G414" s="4" t="str">
        <f>IFERROR(__xludf.DUMMYFUNCTION("""COMPUTED_VALUE"""),"⏱ One on One")</f>
        <v>⏱ One on One</v>
      </c>
      <c r="H414" s="4" t="str">
        <f>IFERROR(__xludf.DUMMYFUNCTION("""COMPUTED_VALUE"""),"🙂 Feliz")</f>
        <v>🙂 Feliz</v>
      </c>
      <c r="I414" s="6" t="str">
        <f>IFERROR(__xludf.DUMMYFUNCTION("""COMPUTED_VALUE"""),"Esta trabajando en Rehus, un nuevo lanzamiento y en Sukarevicius donde estan renovando la tecnología. Le gusta estar en dos proyectos, ya que de ambos aprende cosas diferentes. 
Le gustaría comenzar hacer cursos de diseño, ya que cree que puede combinar l"&amp;"o que ya sabe de QA con diseño. ")</f>
        <v>Esta trabajando en Rehus, un nuevo lanzamiento y en Sukarevicius donde estan renovando la tecnología. Le gusta estar en dos proyectos, ya que de ambos aprende cosas diferentes. 
Le gustaría comenzar hacer cursos de diseño, ya que cree que puede combinar lo que ya sabe de QA con diseño. </v>
      </c>
      <c r="J414" s="4" t="str">
        <f>IFERROR(__xludf.DUMMYFUNCTION("""COMPUTED_VALUE"""),"PX|Referents|RRHH")</f>
        <v>PX|Referents|RRHH</v>
      </c>
    </row>
    <row r="415">
      <c r="A415" s="4">
        <f>IFERROR(__xludf.DUMMYFUNCTION("""COMPUTED_VALUE"""),145.0)</f>
        <v>145</v>
      </c>
      <c r="B415" s="4" t="str">
        <f>IFERROR(__xludf.DUMMYFUNCTION("""COMPUTED_VALUE"""),"victor.abitu")</f>
        <v>victor.abitu</v>
      </c>
      <c r="C415" s="5">
        <f>IFERROR(__xludf.DUMMYFUNCTION("""COMPUTED_VALUE"""),45133.647417534725)</f>
        <v>45133.64742</v>
      </c>
      <c r="D415" s="5">
        <f>IFERROR(__xludf.DUMMYFUNCTION("""COMPUTED_VALUE"""),45133.0)</f>
        <v>45133</v>
      </c>
      <c r="E415" s="4" t="str">
        <f>IFERROR(__xludf.DUMMYFUNCTION("""COMPUTED_VALUE"""),"rodrigo.cibils@patagoniansys.com")</f>
        <v>rodrigo.cibils@patagoniansys.com</v>
      </c>
      <c r="F415" s="4" t="str">
        <f>IFERROR(__xludf.DUMMYFUNCTION("""COMPUTED_VALUE"""),"victor.abitu@patagoniansys.com")</f>
        <v>victor.abitu@patagoniansys.com</v>
      </c>
      <c r="G415" s="4" t="str">
        <f>IFERROR(__xludf.DUMMYFUNCTION("""COMPUTED_VALUE"""),"Referent One on One")</f>
        <v>Referent One on One</v>
      </c>
      <c r="H415" s="4"/>
      <c r="I415" s="6" t="str">
        <f>IFERROR(__xludf.DUMMYFUNCTION("""COMPUTED_VALUE"""),"- Interviewee e-Mail: victor.abitu@patagoniansys.com
- Project Status Check: Todo bien, no necesita ayuda. Esta trabajando en subida de datos a un servicio de Azure (data lake storage), csvs, desde un contexto con constraints de ancho de banda y tiempo di"&amp;"sponible. Fase de pruebas.
- Project Role | Feeling: 5
- Extra Work Hours | Amount: 0 (Ningúna)
- Techs | Research: No, de momento se estuvo dedicando solo a lo del proyecto
- Techs | Recomendations: Nada que recomendarle especificamente.
- Collaborator |"&amp;" Seniority: 👍 No, es correcto
- Alerts: Nada que señalar
- Project Needs / Oportunities: Se les podria acercar algun asesoramiento puntual de alguien que tenga experiencia con networking y transferencia de datos para que encuentren la solucion mas optima"&amp;" para sus necesidades
- Project Techs | Learning: 1
- Project Techs | Difficulty: 3
- Project Changes | Reasons: 🟰 No hubo cambios
- Project Role | Value: 4
- Project role | Notes: Se siente desafiado tecnicamente, teniendo que enfrentar el objetivo con "&amp;"los constraints que tiene.")</f>
        <v>- Interviewee e-Mail: victor.abitu@patagoniansys.com
- Project Status Check: Todo bien, no necesita ayuda. Esta trabajando en subida de datos a un servicio de Azure (data lake storage), csvs, desde un contexto con constraints de ancho de banda y tiempo disponible. Fase de pruebas.
- Project Role | Feeling: 5
- Extra Work Hours | Amount: 0 (Ningúna)
- Techs | Research: No, de momento se estuvo dedicando solo a lo del proyecto
- Techs | Recomendations: Nada que recomendarle especificamente.
- Collaborator | Seniority: 👍 No, es correcto
- Alerts: Nada que señalar
- Project Needs / Oportunities: Se les podria acercar algun asesoramiento puntual de alguien que tenga experiencia con networking y transferencia de datos para que encuentren la solucion mas optima para sus necesidades
- Project Techs | Learning: 1
- Project Techs | Difficulty: 3
- Project Changes | Reasons: 🟰 No hubo cambios
- Project Role | Value: 4
- Project role | Notes: Se siente desafiado tecnicamente, teniendo que enfrentar el objetivo con los constraints que tiene.</v>
      </c>
      <c r="J415" s="4" t="str">
        <f>IFERROR(__xludf.DUMMYFUNCTION("""COMPUTED_VALUE"""),"Tech Referent - OneOnOne")</f>
        <v>Tech Referent - OneOnOne</v>
      </c>
    </row>
    <row r="416" hidden="1">
      <c r="A416" s="4">
        <f>IFERROR(__xludf.DUMMYFUNCTION("""COMPUTED_VALUE"""),273.0)</f>
        <v>273</v>
      </c>
      <c r="B416" s="4" t="str">
        <f>IFERROR(__xludf.DUMMYFUNCTION("""COMPUTED_VALUE"""),"laura.oviedo")</f>
        <v>laura.oviedo</v>
      </c>
      <c r="C416" s="5">
        <f>IFERROR(__xludf.DUMMYFUNCTION("""COMPUTED_VALUE"""),45145.733007476854)</f>
        <v>45145.73301</v>
      </c>
      <c r="D416" s="5">
        <f>IFERROR(__xludf.DUMMYFUNCTION("""COMPUTED_VALUE"""),45133.0)</f>
        <v>45133</v>
      </c>
      <c r="E416" s="4" t="str">
        <f>IFERROR(__xludf.DUMMYFUNCTION("""COMPUTED_VALUE"""),"micaela.zorzetto@patagoniansys.com")</f>
        <v>micaela.zorzetto@patagoniansys.com</v>
      </c>
      <c r="F416" s="4" t="str">
        <f>IFERROR(__xludf.DUMMYFUNCTION("""COMPUTED_VALUE"""),"laura.oviedo@patagoniansys.com")</f>
        <v>laura.oviedo@patagoniansys.com</v>
      </c>
      <c r="G416" s="4" t="str">
        <f>IFERROR(__xludf.DUMMYFUNCTION("""COMPUTED_VALUE"""),"⏱ One on One")</f>
        <v>⏱ One on One</v>
      </c>
      <c r="H416" s="4" t="str">
        <f>IFERROR(__xludf.DUMMYFUNCTION("""COMPUTED_VALUE"""),"🙂 Feliz")</f>
        <v>🙂 Feliz</v>
      </c>
      <c r="I416" s="6" t="str">
        <f>IFERROR(__xludf.DUMMYFUNCTION("""COMPUTED_VALUE"""),"Esta a la espera de que el proyecto con halliburton se extienda 1 mes mas, y desde halli le pidieron que no le respondan ningun mail al cliente de ellos que es EcoPetrol hasta que se firme el contrato nuevamente.")</f>
        <v>Esta a la espera de que el proyecto con halliburton se extienda 1 mes mas, y desde halli le pidieron que no le respondan ningun mail al cliente de ellos que es EcoPetrol hasta que se firme el contrato nuevamente.</v>
      </c>
      <c r="J416" s="4" t="str">
        <f>IFERROR(__xludf.DUMMYFUNCTION("""COMPUTED_VALUE"""),"PX|Referents|RRHH")</f>
        <v>PX|Referents|RRHH</v>
      </c>
    </row>
    <row r="417" hidden="1">
      <c r="A417" s="4">
        <f>IFERROR(__xludf.DUMMYFUNCTION("""COMPUTED_VALUE"""),205.0)</f>
        <v>205</v>
      </c>
      <c r="B417" s="4" t="str">
        <f>IFERROR(__xludf.DUMMYFUNCTION("""COMPUTED_VALUE"""),"manuel.abruzzo")</f>
        <v>manuel.abruzzo</v>
      </c>
      <c r="C417" s="5">
        <f>IFERROR(__xludf.DUMMYFUNCTION("""COMPUTED_VALUE"""),45145.74141542824)</f>
        <v>45145.74142</v>
      </c>
      <c r="D417" s="5">
        <f>IFERROR(__xludf.DUMMYFUNCTION("""COMPUTED_VALUE"""),45133.0)</f>
        <v>45133</v>
      </c>
      <c r="E417" s="4" t="str">
        <f>IFERROR(__xludf.DUMMYFUNCTION("""COMPUTED_VALUE"""),"micaela.zorzetto@patagoniansys.com")</f>
        <v>micaela.zorzetto@patagoniansys.com</v>
      </c>
      <c r="F417" s="4" t="str">
        <f>IFERROR(__xludf.DUMMYFUNCTION("""COMPUTED_VALUE"""),"manuel.abruzzo@patagoniansys.com")</f>
        <v>manuel.abruzzo@patagoniansys.com</v>
      </c>
      <c r="G417" s="4" t="str">
        <f>IFERROR(__xludf.DUMMYFUNCTION("""COMPUTED_VALUE"""),"⏱ One on One")</f>
        <v>⏱ One on One</v>
      </c>
      <c r="H417" s="4" t="str">
        <f>IFERROR(__xludf.DUMMYFUNCTION("""COMPUTED_VALUE"""),"🙂 Feliz")</f>
        <v>🙂 Feliz</v>
      </c>
      <c r="I417" s="6" t="str">
        <f>IFERROR(__xludf.DUMMYFUNCTION("""COMPUTED_VALUE"""),"Con Nati esta dividiendo que tareas toma cada uno. Esta con ideas nuevas para mejorar el funcionamiento del proyecto. 
Le gustaría participar de la iniciativa de mostrar lo que hace un QA y la importancia que tiene que participen de manera activo en los p"&amp;"royectos/reuniones.")</f>
        <v>Con Nati esta dividiendo que tareas toma cada uno. Esta con ideas nuevas para mejorar el funcionamiento del proyecto. 
Le gustaría participar de la iniciativa de mostrar lo que hace un QA y la importancia que tiene que participen de manera activo en los proyectos/reuniones.</v>
      </c>
      <c r="J417" s="4" t="str">
        <f>IFERROR(__xludf.DUMMYFUNCTION("""COMPUTED_VALUE"""),"PX|Referents|RRHH")</f>
        <v>PX|Referents|RRHH</v>
      </c>
    </row>
    <row r="418" hidden="1">
      <c r="A418" s="4">
        <f>IFERROR(__xludf.DUMMYFUNCTION("""COMPUTED_VALUE"""),224.0)</f>
        <v>224</v>
      </c>
      <c r="B418" s="4" t="str">
        <f>IFERROR(__xludf.DUMMYFUNCTION("""COMPUTED_VALUE"""),"luciano.fuentes")</f>
        <v>luciano.fuentes</v>
      </c>
      <c r="C418" s="5">
        <f>IFERROR(__xludf.DUMMYFUNCTION("""COMPUTED_VALUE"""),45145.74718663194)</f>
        <v>45145.74719</v>
      </c>
      <c r="D418" s="5">
        <f>IFERROR(__xludf.DUMMYFUNCTION("""COMPUTED_VALUE"""),45133.0)</f>
        <v>45133</v>
      </c>
      <c r="E418" s="4" t="str">
        <f>IFERROR(__xludf.DUMMYFUNCTION("""COMPUTED_VALUE"""),"micaela.zorzetto@patagoniansys.com")</f>
        <v>micaela.zorzetto@patagoniansys.com</v>
      </c>
      <c r="F418" s="4" t="str">
        <f>IFERROR(__xludf.DUMMYFUNCTION("""COMPUTED_VALUE"""),"luciano.fuentes@patagoniansys.com")</f>
        <v>luciano.fuentes@patagoniansys.com</v>
      </c>
      <c r="G418" s="4" t="str">
        <f>IFERROR(__xludf.DUMMYFUNCTION("""COMPUTED_VALUE"""),"⏱ One on One")</f>
        <v>⏱ One on One</v>
      </c>
      <c r="H418" s="4" t="str">
        <f>IFERROR(__xludf.DUMMYFUNCTION("""COMPUTED_VALUE"""),"🙂 Feliz")</f>
        <v>🙂 Feliz</v>
      </c>
      <c r="I418" s="6" t="str">
        <f>IFERROR(__xludf.DUMMYFUNCTION("""COMPUTED_VALUE"""),"Esta bien en el proyecto y con el cliente, se siente cómodo.")</f>
        <v>Esta bien en el proyecto y con el cliente, se siente cómodo.</v>
      </c>
      <c r="J418" s="4" t="str">
        <f>IFERROR(__xludf.DUMMYFUNCTION("""COMPUTED_VALUE"""),"PX|Referents|RRHH")</f>
        <v>PX|Referents|RRHH</v>
      </c>
    </row>
    <row r="419">
      <c r="A419" s="4">
        <f>IFERROR(__xludf.DUMMYFUNCTION("""COMPUTED_VALUE"""),106.0)</f>
        <v>106</v>
      </c>
      <c r="B419" s="4" t="str">
        <f>IFERROR(__xludf.DUMMYFUNCTION("""COMPUTED_VALUE"""),"natalia.martinez")</f>
        <v>natalia.martinez</v>
      </c>
      <c r="C419" s="5">
        <f>IFERROR(__xludf.DUMMYFUNCTION("""COMPUTED_VALUE"""),45134.46575153935)</f>
        <v>45134.46575</v>
      </c>
      <c r="D419" s="5">
        <f>IFERROR(__xludf.DUMMYFUNCTION("""COMPUTED_VALUE"""),45134.0)</f>
        <v>45134</v>
      </c>
      <c r="E419" s="4" t="str">
        <f>IFERROR(__xludf.DUMMYFUNCTION("""COMPUTED_VALUE"""),"luis.soto@patagoniansys.com")</f>
        <v>luis.soto@patagoniansys.com</v>
      </c>
      <c r="F419" s="4" t="str">
        <f>IFERROR(__xludf.DUMMYFUNCTION("""COMPUTED_VALUE"""),"natalia.martinez@patagonian.com")</f>
        <v>natalia.martinez@patagonian.com</v>
      </c>
      <c r="G419" s="4" t="str">
        <f>IFERROR(__xludf.DUMMYFUNCTION("""COMPUTED_VALUE"""),"Referent One on One")</f>
        <v>Referent One on One</v>
      </c>
      <c r="H419" s="4"/>
      <c r="I419" s="6" t="str">
        <f>IFERROR(__xludf.DUMMYFUNCTION("""COMPUTED_VALUE"""),"- Interviewee e-Mail: natalia.martinez@patagonian.com
- Project Status Check: Conversifi
- Project Changes | Notes: ningun cambio 
- Project Role | Feeling: 3
- Extra Work Hours | Amount: 0 (Ningúna)
- Extra Work Hours | Reason: n/a
- Techs | Research: No"&amp;", esta enfocandose en Product Owner 
- Techs | Certifications: Curso de Product Owner 
- Techs | Recomendations: De momento solo quiere enfocarse en Product Owner
- Techs | Recomendations check: Si, ha estado viendo los tools, la de diseno
- Collaborator "&amp;"| Seniority: 👍 No, es correcto
- Alerts: Motivacion: De momento se siente un poco frustrada manteniendo un rol hibrido de QA + PO, quiere cambiar su career path a Product Owner dentro del equipo, sin embargo no ha recibido respuestas claras de como logra"&amp;"rlo
- Project Needs / Oportunities: El area de mayor ""necesidad"" es la mejora en las relaciones con la cliente, pero ya tanto Nati como la PM del proyecto estan trabajando en eso, aparte de la necesidad de al menos tener un disenador que se pueda contra"&amp;"tar ""por trabajo"", osea no alguien full time pero si alguien que porte unas cuantas horas cuando sea necesario
- Final notes: Nati quiere enfocarse como PO y me parece un punto relevante en su motivacion actualmente, darle la oportunidad/herramientas y "&amp;"acompanamiento seria ideal
- Project Techs | Learning: 6
- Techs | Research: 2
- Project Techs | Difficulty: 4
- Project Changes | Reasons: 🟰 No hubo cambios
- Project Changes | Personal Impact: 5
- Project Role | Value: 5
- Project role | Notes: En este"&amp;" momento esta un poco en un hibrido entre QA y PO y ha sido un poco frustrante, pricnipalmente porque siente que le falta conocimiento de PO, ya se encuentra capacitandose y a la vez emocionada, de momento no le gusta ser un hibrido entre QA y PO pero se "&amp;"frustra, quisiera estar 100% como PO.")</f>
        <v>- Interviewee e-Mail: natalia.martinez@patagonian.com
- Project Status Check: Conversifi
- Project Changes | Notes: ningun cambio 
- Project Role | Feeling: 3
- Extra Work Hours | Amount: 0 (Ningúna)
- Extra Work Hours | Reason: n/a
- Techs | Research: No, esta enfocandose en Product Owner 
- Techs | Certifications: Curso de Product Owner 
- Techs | Recomendations: De momento solo quiere enfocarse en Product Owner
- Techs | Recomendations check: Si, ha estado viendo los tools, la de diseno
- Collaborator | Seniority: 👍 No, es correcto
- Alerts: Motivacion: De momento se siente un poco frustrada manteniendo un rol hibrido de QA + PO, quiere cambiar su career path a Product Owner dentro del equipo, sin embargo no ha recibido respuestas claras de como lograrlo
- Project Needs / Oportunities: El area de mayor "necesidad" es la mejora en las relaciones con la cliente, pero ya tanto Nati como la PM del proyecto estan trabajando en eso, aparte de la necesidad de al menos tener un disenador que se pueda contratar "por trabajo", osea no alguien full time pero si alguien que porte unas cuantas horas cuando sea necesario
- Final notes: Nati quiere enfocarse como PO y me parece un punto relevante en su motivacion actualmente, darle la oportunidad/herramientas y acompanamiento seria ideal
- Project Techs | Learning: 6
- Techs | Research: 2
- Project Techs | Difficulty: 4
- Project Changes | Reasons: 🟰 No hubo cambios
- Project Changes | Personal Impact: 5
- Project Role | Value: 5
- Project role | Notes: En este momento esta un poco en un hibrido entre QA y PO y ha sido un poco frustrante, pricnipalmente porque siente que le falta conocimiento de PO, ya se encuentra capacitandose y a la vez emocionada, de momento no le gusta ser un hibrido entre QA y PO pero se frustra, quisiera estar 100% como PO.</v>
      </c>
      <c r="J419" s="4" t="str">
        <f>IFERROR(__xludf.DUMMYFUNCTION("""COMPUTED_VALUE"""),"Tech Referent - OneOnOne")</f>
        <v>Tech Referent - OneOnOne</v>
      </c>
    </row>
    <row r="420">
      <c r="A420" s="4">
        <f>IFERROR(__xludf.DUMMYFUNCTION("""COMPUTED_VALUE"""),41.0)</f>
        <v>41</v>
      </c>
      <c r="B420" s="4" t="str">
        <f>IFERROR(__xludf.DUMMYFUNCTION("""COMPUTED_VALUE"""),"ezequiel.cortes")</f>
        <v>ezequiel.cortes</v>
      </c>
      <c r="C420" s="5">
        <f>IFERROR(__xludf.DUMMYFUNCTION("""COMPUTED_VALUE"""),45134.641703634254)</f>
        <v>45134.6417</v>
      </c>
      <c r="D420" s="5">
        <f>IFERROR(__xludf.DUMMYFUNCTION("""COMPUTED_VALUE"""),45134.0)</f>
        <v>45134</v>
      </c>
      <c r="E420" s="4" t="str">
        <f>IFERROR(__xludf.DUMMYFUNCTION("""COMPUTED_VALUE"""),"jorge.contreras@patagoniansys.com")</f>
        <v>jorge.contreras@patagoniansys.com</v>
      </c>
      <c r="F420" s="4" t="str">
        <f>IFERROR(__xludf.DUMMYFUNCTION("""COMPUTED_VALUE"""),"ezequiel.cortes@patagoniansys.com")</f>
        <v>ezequiel.cortes@patagoniansys.com</v>
      </c>
      <c r="G420" s="4" t="str">
        <f>IFERROR(__xludf.DUMMYFUNCTION("""COMPUTED_VALUE"""),"Referent One on One")</f>
        <v>Referent One on One</v>
      </c>
      <c r="H420" s="4"/>
      <c r="I420" s="6" t="str">
        <f>IFERROR(__xludf.DUMMYFUNCTION("""COMPUTED_VALUE"""),"- Interviewee e-Mail: ezequiel.cortes@patagoniansys.com
- Project Status Check: Sigue en Overplay
- Project Changes | Notes: No cambios
- Project Role | Feeling: 5
- Extra Work Hours | Amount: 0 (Ningúna)
- Techs | Research: Sobre esta charla acerca del c"&amp;"odec hls con la gente de AWS, solo estuve investigando todo lo que nos enseñaron.
- Techs | Recomendations: Por ahora todo bien
- Techs | Recomendations check: Estoy leyendo todo lo de arquitectura que nos ha entregado Brayan, así que todo bien.
- Collabo"&amp;"rator | Seniority: 👍 No, es correcto
- Alerts: Ninguna
- Project Needs / Oportunities: Todo bien
- Final notes: Todo continúa en orden, ninguna alerta.
- Project Techs | Learning: 0
- Techs | Research: 0
- Project Techs | Difficulty: 4
- Project Changes "&amp;"| Reasons: 🟰 No hubo cambios
- Project Role | Value: 5
- Project role | Notes: Sigue trabajando como desarrollador en la aplicación. Debo crear una tabla de líderes y un componente de rewards.")</f>
        <v>- Interviewee e-Mail: ezequiel.cortes@patagoniansys.com
- Project Status Check: Sigue en Overplay
- Project Changes | Notes: No cambios
- Project Role | Feeling: 5
- Extra Work Hours | Amount: 0 (Ningúna)
- Techs | Research: Sobre esta charla acerca del codec hls con la gente de AWS, solo estuve investigando todo lo que nos enseñaron.
- Techs | Recomendations: Por ahora todo bien
- Techs | Recomendations check: Estoy leyendo todo lo de arquitectura que nos ha entregado Brayan, así que todo bien.
- Collaborator | Seniority: 👍 No, es correcto
- Alerts: Ninguna
- Project Needs / Oportunities: Todo bien
- Final notes: Todo continúa en orden, ninguna alerta.
- Project Techs | Learning: 0
- Techs | Research: 0
- Project Techs | Difficulty: 4
- Project Changes | Reasons: 🟰 No hubo cambios
- Project Role | Value: 5
- Project role | Notes: Sigue trabajando como desarrollador en la aplicación. Debo crear una tabla de líderes y un componente de rewards.</v>
      </c>
      <c r="J420" s="4" t="str">
        <f>IFERROR(__xludf.DUMMYFUNCTION("""COMPUTED_VALUE"""),"Tech Referent - OneOnOne")</f>
        <v>Tech Referent - OneOnOne</v>
      </c>
    </row>
    <row r="421" hidden="1">
      <c r="A421" s="4">
        <f>IFERROR(__xludf.DUMMYFUNCTION("""COMPUTED_VALUE"""),153.0)</f>
        <v>153</v>
      </c>
      <c r="B421" s="4" t="str">
        <f>IFERROR(__xludf.DUMMYFUNCTION("""COMPUTED_VALUE"""),"david.zuluaga")</f>
        <v>david.zuluaga</v>
      </c>
      <c r="C421" s="5">
        <f>IFERROR(__xludf.DUMMYFUNCTION("""COMPUTED_VALUE"""),45134.65333363426)</f>
        <v>45134.65333</v>
      </c>
      <c r="D421" s="5">
        <f>IFERROR(__xludf.DUMMYFUNCTION("""COMPUTED_VALUE"""),45134.0)</f>
        <v>45134</v>
      </c>
      <c r="E421" s="4" t="str">
        <f>IFERROR(__xludf.DUMMYFUNCTION("""COMPUTED_VALUE"""),"hernan.muras@patagoniansys.com")</f>
        <v>hernan.muras@patagoniansys.com</v>
      </c>
      <c r="F421" s="4" t="str">
        <f>IFERROR(__xludf.DUMMYFUNCTION("""COMPUTED_VALUE"""),"david.zuluaga@patagoniansys.com")</f>
        <v>david.zuluaga@patagoniansys.com</v>
      </c>
      <c r="G421" s="4" t="str">
        <f>IFERROR(__xludf.DUMMYFUNCTION("""COMPUTED_VALUE"""),"⏱ One on One")</f>
        <v>⏱ One on One</v>
      </c>
      <c r="H421" s="4" t="str">
        <f>IFERROR(__xludf.DUMMYFUNCTION("""COMPUTED_VALUE"""),"🙂 Feliz")</f>
        <v>🙂 Feliz</v>
      </c>
      <c r="I421" s="6" t="str">
        <f>IFERROR(__xludf.DUMMYFUNCTION("""COMPUTED_VALUE"""),"David está terminando su asignación en SnapClose. Originalmente estaba en uno de los equipos de desarrollo de módulo, donde se sentía muy a gusto, pero al regresar de su recuperación por una operación fue asignado a un equipo del cliente, donde se siente "&amp;"un tanto sólo y sin mucha ayuda. Su inminente incorporación a Eyethena le levantó el ánimo. El feedback del cliente respecto a su performance es muy positivo.")</f>
        <v>David está terminando su asignación en SnapClose. Originalmente estaba en uno de los equipos de desarrollo de módulo, donde se sentía muy a gusto, pero al regresar de su recuperación por una operación fue asignado a un equipo del cliente, donde se siente un tanto sólo y sin mucha ayuda. Su inminente incorporación a Eyethena le levantó el ánimo. El feedback del cliente respecto a su performance es muy positivo.</v>
      </c>
      <c r="J421" s="4" t="str">
        <f>IFERROR(__xludf.DUMMYFUNCTION("""COMPUTED_VALUE"""),"PX|Referents|RRHH")</f>
        <v>PX|Referents|RRHH</v>
      </c>
    </row>
    <row r="422">
      <c r="A422" s="4">
        <f>IFERROR(__xludf.DUMMYFUNCTION("""COMPUTED_VALUE"""),255.0)</f>
        <v>255</v>
      </c>
      <c r="B422" s="4" t="str">
        <f>IFERROR(__xludf.DUMMYFUNCTION("""COMPUTED_VALUE"""),"hubert.alfaro")</f>
        <v>hubert.alfaro</v>
      </c>
      <c r="C422" s="5">
        <f>IFERROR(__xludf.DUMMYFUNCTION("""COMPUTED_VALUE"""),45135.684263703704)</f>
        <v>45135.68426</v>
      </c>
      <c r="D422" s="5">
        <f>IFERROR(__xludf.DUMMYFUNCTION("""COMPUTED_VALUE"""),45135.0)</f>
        <v>45135</v>
      </c>
      <c r="E422" s="4" t="str">
        <f>IFERROR(__xludf.DUMMYFUNCTION("""COMPUTED_VALUE"""),"henry.tong@patagoniansys.com")</f>
        <v>henry.tong@patagoniansys.com</v>
      </c>
      <c r="F422" s="4" t="str">
        <f>IFERROR(__xludf.DUMMYFUNCTION("""COMPUTED_VALUE"""),"hubert.alfaro@patagonian.com")</f>
        <v>hubert.alfaro@patagonian.com</v>
      </c>
      <c r="G422" s="4" t="str">
        <f>IFERROR(__xludf.DUMMYFUNCTION("""COMPUTED_VALUE"""),"Initial gathering")</f>
        <v>Initial gathering</v>
      </c>
      <c r="H422" s="4"/>
      <c r="I422" s="6" t="str">
        <f>IFERROR(__xludf.DUMMYFUNCTION("""COMPUTED_VALUE"""),"- Interviewee e-Mail: hubert.alfaro@patagonian.com
- Project name: 4Logik
- Project | Role: Backend Developer
- Project | Description: SantApp es una app para personas religiosas para compartir información sobre religión. La parte de monetización es de su"&amp;"bscripción.
- Project | technologies: Backend strapi, mobile flutter flow (se busca velocidad en el desarrollo). NodeJS
- Happiness in project technology: 😀 Sumamente Feliz
- Happiness in project technology | Description: Buena tecnología pero no necesar"&amp;"iamente escalable, así que bien.
- Project | The best/coolest thing: Equipo bien coordinado. Features técnicas se implemetan rápido
- Project | The worst thing: No todos conocen la parte interna de cada componente. No hay acceso a todos los repos por todo"&amp;"s. 
- Project | Improvements: Si alguien no está se depende mucho de la persona que hizo el cpomonente, entonces se debería mejorar la comunicación y documentación
- Team | TL: Inicialmente Patagonian, por corto tiempo.
- Team | PX: Natalia Aguirre
- Team"&amp;" | QA: 👀 Otra situación
- Team | QA Automation: 👎 No
- Team | UI/UX: 👀 Otra situación
- Team | UI/UX | Notes: Patagonian inicialmente
- Team | DevOps: 👀 Otra situación
- Team | Data Engineer: 👀 Otra situación")</f>
        <v>- Interviewee e-Mail: hubert.alfaro@patagonian.com
- Project name: 4Logik
- Project | Role: Backend Developer
- Project | Description: SantApp es una app para personas religiosas para compartir información sobre religión. La parte de monetización es de subscripción.
- Project | technologies: Backend strapi, mobile flutter flow (se busca velocidad en el desarrollo). NodeJS
- Happiness in project technology: 😀 Sumamente Feliz
- Happiness in project technology | Description: Buena tecnología pero no necesariamente escalable, así que bien.
- Project | The best/coolest thing: Equipo bien coordinado. Features técnicas se implemetan rápido
- Project | The worst thing: No todos conocen la parte interna de cada componente. No hay acceso a todos los repos por todos. 
- Project | Improvements: Si alguien no está se depende mucho de la persona que hizo el cpomonente, entonces se debería mejorar la comunicación y documentación
- Team | TL: Inicialmente Patagonian, por corto tiempo.
- Team | PX: Natalia Aguirre
- Team | QA: 👀 Otra situación
- Team | QA Automation: 👎 No
- Team | UI/UX: 👀 Otra situación
- Team | UI/UX | Notes: Patagonian inicialmente
- Team | DevOps: 👀 Otra situación
- Team | Data Engineer: 👀 Otra situación</v>
      </c>
      <c r="J422" s="4" t="str">
        <f>IFERROR(__xludf.DUMMYFUNCTION("""COMPUTED_VALUE"""),"Tech Referent - Initial gathering")</f>
        <v>Tech Referent - Initial gathering</v>
      </c>
    </row>
    <row r="423">
      <c r="A423" s="4">
        <f>IFERROR(__xludf.DUMMYFUNCTION("""COMPUTED_VALUE"""),125.0)</f>
        <v>125</v>
      </c>
      <c r="B423" s="4" t="str">
        <f>IFERROR(__xludf.DUMMYFUNCTION("""COMPUTED_VALUE"""),"pablo.triandafilide")</f>
        <v>pablo.triandafilide</v>
      </c>
      <c r="C423" s="5">
        <f>IFERROR(__xludf.DUMMYFUNCTION("""COMPUTED_VALUE"""),45135.686069571755)</f>
        <v>45135.68607</v>
      </c>
      <c r="D423" s="5">
        <f>IFERROR(__xludf.DUMMYFUNCTION("""COMPUTED_VALUE"""),45135.0)</f>
        <v>45135</v>
      </c>
      <c r="E423" s="4" t="str">
        <f>IFERROR(__xludf.DUMMYFUNCTION("""COMPUTED_VALUE"""),"eugenio.fioriti@patagoniansys.com")</f>
        <v>eugenio.fioriti@patagoniansys.com</v>
      </c>
      <c r="F423" s="4" t="str">
        <f>IFERROR(__xludf.DUMMYFUNCTION("""COMPUTED_VALUE"""),"pablo.triandafilide@patagonian.com")</f>
        <v>pablo.triandafilide@patagonian.com</v>
      </c>
      <c r="G423" s="4" t="str">
        <f>IFERROR(__xludf.DUMMYFUNCTION("""COMPUTED_VALUE"""),"Referent One on One")</f>
        <v>Referent One on One</v>
      </c>
      <c r="H423" s="4"/>
      <c r="I423" s="6" t="str">
        <f>IFERROR(__xludf.DUMMYFUNCTION("""COMPUTED_VALUE"""),"- Interviewee e-Mail: pablo.triandafilide@patagonian.com
- Project Status Check: En el mismo proyecto. No necesita ayuda por el momento.
- Project Changes | Notes: Todo estable
- Project Role | Feeling: 4
- Extra Work Hours | Amount: 1 - 5 (Entre 1 y 5)
-"&amp;" Extra Work Hours | Reason: 🦫 Problemas técnicos inesperados
- Techs | Research: Fuera de horario laboral está investigando GO y Rust.
- Techs | Recomendations: Le recomendé aprovechar las plataformas de elarning disponibles en patagonian para que haga u"&amp;"n curso de su interés acerca de GO o Rust.
- Collaborator | Seniority: 👍 No, es correcto
- Final notes: En la reunión inicial el colaborador manifestó como punto posible de mejora de su proyecto, que se iniciara el trabajo de separación del frontend y el"&amp;" backend de la aplicación en la que trabaja. Eso está en marcha hoy por hoy, con lo cual se puede decir que su sugerencia de mejora fue aplicada.
- Project Techs | Learning: 12
- Techs | Research: 20
- Project Techs | Difficulty: 3
- Project Changes | Rea"&amp;"sons: 🟰 No hubo cambios
- Project Role | Value: 3
- Project role | Notes: El proyecto está estancado tecnológicamente, pero ahora empieza una etapa nueva con una actualización de tecnologías.")</f>
        <v>- Interviewee e-Mail: pablo.triandafilide@patagonian.com
- Project Status Check: En el mismo proyecto. No necesita ayuda por el momento.
- Project Changes | Notes: Todo estable
- Project Role | Feeling: 4
- Extra Work Hours | Amount: 1 - 5 (Entre 1 y 5)
- Extra Work Hours | Reason: 🦫 Problemas técnicos inesperados
- Techs | Research: Fuera de horario laboral está investigando GO y Rust.
- Techs | Recomendations: Le recomendé aprovechar las plataformas de elarning disponibles en patagonian para que haga un curso de su interés acerca de GO o Rust.
- Collaborator | Seniority: 👍 No, es correcto
- Final notes: En la reunión inicial el colaborador manifestó como punto posible de mejora de su proyecto, que se iniciara el trabajo de separación del frontend y el backend de la aplicación en la que trabaja. Eso está en marcha hoy por hoy, con lo cual se puede decir que su sugerencia de mejora fue aplicada.
- Project Techs | Learning: 12
- Techs | Research: 20
- Project Techs | Difficulty: 3
- Project Changes | Reasons: 🟰 No hubo cambios
- Project Role | Value: 3
- Project role | Notes: El proyecto está estancado tecnológicamente, pero ahora empieza una etapa nueva con una actualización de tecnologías.</v>
      </c>
      <c r="J423" s="4" t="str">
        <f>IFERROR(__xludf.DUMMYFUNCTION("""COMPUTED_VALUE"""),"Tech Referent - OneOnOne")</f>
        <v>Tech Referent - OneOnOne</v>
      </c>
    </row>
    <row r="424" hidden="1">
      <c r="A424" s="4">
        <f>IFERROR(__xludf.DUMMYFUNCTION("""COMPUTED_VALUE"""),188.0)</f>
        <v>188</v>
      </c>
      <c r="B424" s="4" t="str">
        <f>IFERROR(__xludf.DUMMYFUNCTION("""COMPUTED_VALUE"""),"mauricio.lahitte")</f>
        <v>mauricio.lahitte</v>
      </c>
      <c r="C424" s="5">
        <f>IFERROR(__xludf.DUMMYFUNCTION("""COMPUTED_VALUE"""),45137.70139634259)</f>
        <v>45137.7014</v>
      </c>
      <c r="D424" s="5">
        <f>IFERROR(__xludf.DUMMYFUNCTION("""COMPUTED_VALUE"""),45135.0)</f>
        <v>45135</v>
      </c>
      <c r="E424" s="4" t="str">
        <f>IFERROR(__xludf.DUMMYFUNCTION("""COMPUTED_VALUE"""),"hernan.muras@patagoniansys.com")</f>
        <v>hernan.muras@patagoniansys.com</v>
      </c>
      <c r="F424" s="4" t="str">
        <f>IFERROR(__xludf.DUMMYFUNCTION("""COMPUTED_VALUE"""),"mauricio.lahitte@patagoniansys.com")</f>
        <v>mauricio.lahitte@patagoniansys.com</v>
      </c>
      <c r="G424" s="4" t="str">
        <f>IFERROR(__xludf.DUMMYFUNCTION("""COMPUTED_VALUE"""),"⏱ One on One")</f>
        <v>⏱ One on One</v>
      </c>
      <c r="H424" s="4" t="str">
        <f>IFERROR(__xludf.DUMMYFUNCTION("""COMPUTED_VALUE"""),"🙂 Feliz")</f>
        <v>🙂 Feliz</v>
      </c>
      <c r="I424" s="6" t="str">
        <f>IFERROR(__xludf.DUMMYFUNCTION("""COMPUTED_VALUE"""),"Mauricio se siente cómodo en la empresa. Hace más de un año que está en el proyecto, lo conoce y siente que ha crecido como profesional. El hecho de servir como TL y Mentor de Emma Trassani le ayudó a explorar sus habilidades como líder, por lo que le rec"&amp;"omendé material de lectura y cursos breves acerca habilidades blandas. También le gustaría mejorar su costado front-end.")</f>
        <v>Mauricio se siente cómodo en la empresa. Hace más de un año que está en el proyecto, lo conoce y siente que ha crecido como profesional. El hecho de servir como TL y Mentor de Emma Trassani le ayudó a explorar sus habilidades como líder, por lo que le recomendé material de lectura y cursos breves acerca habilidades blandas. También le gustaría mejorar su costado front-end.</v>
      </c>
      <c r="J424" s="4" t="str">
        <f>IFERROR(__xludf.DUMMYFUNCTION("""COMPUTED_VALUE"""),"PX|Referents|RRHH")</f>
        <v>PX|Referents|RRHH</v>
      </c>
    </row>
    <row r="425" hidden="1">
      <c r="A425" s="4">
        <f>IFERROR(__xludf.DUMMYFUNCTION("""COMPUTED_VALUE"""),250.0)</f>
        <v>250</v>
      </c>
      <c r="B425" s="4" t="str">
        <f>IFERROR(__xludf.DUMMYFUNCTION("""COMPUTED_VALUE"""),"antonella.godoy")</f>
        <v>antonella.godoy</v>
      </c>
      <c r="C425" s="5">
        <f>IFERROR(__xludf.DUMMYFUNCTION("""COMPUTED_VALUE"""),45147.489537118054)</f>
        <v>45147.48954</v>
      </c>
      <c r="D425" s="5">
        <f>IFERROR(__xludf.DUMMYFUNCTION("""COMPUTED_VALUE"""),45135.0)</f>
        <v>45135</v>
      </c>
      <c r="E425" s="4" t="str">
        <f>IFERROR(__xludf.DUMMYFUNCTION("""COMPUTED_VALUE"""),"micaela.zorzetto@patagoniansys.com")</f>
        <v>micaela.zorzetto@patagoniansys.com</v>
      </c>
      <c r="F425" s="4" t="str">
        <f>IFERROR(__xludf.DUMMYFUNCTION("""COMPUTED_VALUE"""),"antonella.godoy@patagoniansys.com")</f>
        <v>antonella.godoy@patagoniansys.com</v>
      </c>
      <c r="G425" s="4" t="str">
        <f>IFERROR(__xludf.DUMMYFUNCTION("""COMPUTED_VALUE"""),"⏱ One on One")</f>
        <v>⏱ One on One</v>
      </c>
      <c r="H425" s="4" t="str">
        <f>IFERROR(__xludf.DUMMYFUNCTION("""COMPUTED_VALUE"""),"🙂 Feliz")</f>
        <v>🙂 Feliz</v>
      </c>
      <c r="I425" s="6" t="str">
        <f>IFERROR(__xludf.DUMMYFUNCTION("""COMPUTED_VALUE"""),"Esta más tranquila ahora que no trabaja más en Halliburton, cuando estaba ahi se sentía muy estresada. 
Ahora esta esperando acceder a un nuevo proyecto.
Se siente cómoda y contenta en Patagonia, le gusta el grupo que se armo en Mendoza, son muy unidos. ")</f>
        <v>Esta más tranquila ahora que no trabaja más en Halliburton, cuando estaba ahi se sentía muy estresada. 
Ahora esta esperando acceder a un nuevo proyecto.
Se siente cómoda y contenta en Patagonia, le gusta el grupo que se armo en Mendoza, son muy unidos. </v>
      </c>
      <c r="J425" s="4" t="str">
        <f>IFERROR(__xludf.DUMMYFUNCTION("""COMPUTED_VALUE"""),"PX|Referents|RRHH")</f>
        <v>PX|Referents|RRHH</v>
      </c>
    </row>
    <row r="426">
      <c r="A426" s="4">
        <f>IFERROR(__xludf.DUMMYFUNCTION("""COMPUTED_VALUE"""),85.0)</f>
        <v>85</v>
      </c>
      <c r="B426" s="4" t="str">
        <f>IFERROR(__xludf.DUMMYFUNCTION("""COMPUTED_VALUE"""),"camila.maron")</f>
        <v>camila.maron</v>
      </c>
      <c r="C426" s="5">
        <f>IFERROR(__xludf.DUMMYFUNCTION("""COMPUTED_VALUE"""),45138.68747253472)</f>
        <v>45138.68747</v>
      </c>
      <c r="D426" s="5">
        <f>IFERROR(__xludf.DUMMYFUNCTION("""COMPUTED_VALUE"""),45138.0)</f>
        <v>45138</v>
      </c>
      <c r="E426" s="4" t="str">
        <f>IFERROR(__xludf.DUMMYFUNCTION("""COMPUTED_VALUE"""),"bruno.molina@patagoniansys.com")</f>
        <v>bruno.molina@patagoniansys.com</v>
      </c>
      <c r="F426" s="4" t="str">
        <f>IFERROR(__xludf.DUMMYFUNCTION("""COMPUTED_VALUE"""),"camila.maron@patagoniansys.com")</f>
        <v>camila.maron@patagoniansys.com</v>
      </c>
      <c r="G426" s="4" t="str">
        <f>IFERROR(__xludf.DUMMYFUNCTION("""COMPUTED_VALUE"""),"Initial gathering")</f>
        <v>Initial gathering</v>
      </c>
      <c r="H426" s="4"/>
      <c r="I426" s="6" t="str">
        <f>IFERROR(__xludf.DUMMYFUNCTION("""COMPUTED_VALUE"""),"- Interviewee e-Mail: camila.maron@patagoniansys.com
- Project name: Mbody
- Project | Role: Backend Developer, Frontend Developer
- Project | Description: Mbody es una plataforma en la que profesionales de la salud le pueden asignar planes a sus clientes"&amp;"/pacientes y hacerle un seguimiento a grandes rasgos.
Dentro del equipo Camila es desarrolladora Fullstack , a ella le gusta mas el frontend.
- Project | technologies: Grails,Mysql,Serverless (Azure functions), MongoDb (Cosmos), AWS (SNS,S3), NextJs
- Hap"&amp;"piness in project technology: 🙂 Feliz
- Happiness in project technology | Description: Dice sentirse motivada por la transicion de Grails a NextJs en el frontend.
- Project | The best/coolest thing: Todo lo mas nuevo con Azure Functions
- Project | The w"&amp;"orst thing: Grails (version muy vieja 2)
- Project | Improvements: Ya esta en progreso remover Grails por NextJs. Se esta haciendo en el frontend , sugiere hacerlo en el backend.
- Team | TL: Ernesto Parada
- Team | PX: Jesica Petrauskas
- Team | QA: 1
- "&amp;"Team | QA Automation: 🤔 No lo se
- Team | QA | Notes: Hay test de integracion / unitarios pero falta
- Team | UI/UX: 0
- Team | UI/UX | Notes: Manejado por parte del cliente
- Team | DevOps: 1
- Team | DevOps | Notes: Juanda a cargo
- Team | Data Enginee"&amp;"r: 0")</f>
        <v>- Interviewee e-Mail: camila.maron@patagoniansys.com
- Project name: Mbody
- Project | Role: Backend Developer, Frontend Developer
- Project | Description: Mbody es una plataforma en la que profesionales de la salud le pueden asignar planes a sus clientes/pacientes y hacerle un seguimiento a grandes rasgos.
Dentro del equipo Camila es desarrolladora Fullstack , a ella le gusta mas el frontend.
- Project | technologies: Grails,Mysql,Serverless (Azure functions), MongoDb (Cosmos), AWS (SNS,S3), NextJs
- Happiness in project technology: 🙂 Feliz
- Happiness in project technology | Description: Dice sentirse motivada por la transicion de Grails a NextJs en el frontend.
- Project | The best/coolest thing: Todo lo mas nuevo con Azure Functions
- Project | The worst thing: Grails (version muy vieja 2)
- Project | Improvements: Ya esta en progreso remover Grails por NextJs. Se esta haciendo en el frontend , sugiere hacerlo en el backend.
- Team | TL: Ernesto Parada
- Team | PX: Jesica Petrauskas
- Team | QA: 1
- Team | QA Automation: 🤔 No lo se
- Team | QA | Notes: Hay test de integracion / unitarios pero falta
- Team | UI/UX: 0
- Team | UI/UX | Notes: Manejado por parte del cliente
- Team | DevOps: 1
- Team | DevOps | Notes: Juanda a cargo
- Team | Data Engineer: 0</v>
      </c>
      <c r="J426" s="4" t="str">
        <f>IFERROR(__xludf.DUMMYFUNCTION("""COMPUTED_VALUE"""),"Tech Referent - Initial gathering")</f>
        <v>Tech Referent - Initial gathering</v>
      </c>
    </row>
    <row r="427">
      <c r="A427" s="4">
        <f>IFERROR(__xludf.DUMMYFUNCTION("""COMPUTED_VALUE"""),220.0)</f>
        <v>220</v>
      </c>
      <c r="B427" s="4" t="str">
        <f>IFERROR(__xludf.DUMMYFUNCTION("""COMPUTED_VALUE"""),"andres.rudqvist")</f>
        <v>andres.rudqvist</v>
      </c>
      <c r="C427" s="5">
        <f>IFERROR(__xludf.DUMMYFUNCTION("""COMPUTED_VALUE"""),45138.860787604164)</f>
        <v>45138.86079</v>
      </c>
      <c r="D427" s="5">
        <f>IFERROR(__xludf.DUMMYFUNCTION("""COMPUTED_VALUE"""),45138.0)</f>
        <v>45138</v>
      </c>
      <c r="E427" s="4" t="str">
        <f>IFERROR(__xludf.DUMMYFUNCTION("""COMPUTED_VALUE"""),"jorge.contreras@patagoniansys.com")</f>
        <v>jorge.contreras@patagoniansys.com</v>
      </c>
      <c r="F427" s="4" t="str">
        <f>IFERROR(__xludf.DUMMYFUNCTION("""COMPUTED_VALUE"""),"andres.rudqvist@patagoniansys.com")</f>
        <v>andres.rudqvist@patagoniansys.com</v>
      </c>
      <c r="G427" s="4" t="str">
        <f>IFERROR(__xludf.DUMMYFUNCTION("""COMPUTED_VALUE"""),"Initial gathering")</f>
        <v>Initial gathering</v>
      </c>
      <c r="H427" s="4"/>
      <c r="I427" s="6" t="str">
        <f>IFERROR(__xludf.DUMMYFUNCTION("""COMPUTED_VALUE"""),"- Interviewee e-Mail: andres.rudqvist@patagoniansys.com
- Project name: Podvisory
- Project | Role: Backend Developer
- Project | Description: Al inicio eramos 2 desarrolladores, pero ahora solo estoy yo. Software para consecionarios. Un marketplace para "&amp;"el banco Santander US. En este último desarrollo se calculan los interéses de venta del vehículo junto con sus impuestos.
- Project | technologies: Node.js, Next.js
- Happiness in project technology: 😀 Sumamente Feliz
- Happiness in project technology | "&amp;"Description: Si, todo normal.
- Project | The best/coolest thing: El enfoque en desempeño del proyecto. Se debe cuidar las expectativas de desempeño del servicio. Siempre optimizar.
- Project | The worst thing: No
- Project | Improvements: No
- Team | TL:"&amp;" Gabriel Leadman
- Team | PX: Tomás Bayle
- Team | QA: 2
- Team | QA Automation: 👍 Si
- Team | QA | Notes: No se cuántos hay en todo Autofi, pero en general hablamos sólo con 2
- Team | UI/UX: 0
- Team | UI/UX | Notes: No hay
- Team | DevOps: 2
- Team | "&amp;"DevOps | Notes: Para todo Autofi
- Team | Data Engineer: 0")</f>
        <v>- Interviewee e-Mail: andres.rudqvist@patagoniansys.com
- Project name: Podvisory
- Project | Role: Backend Developer
- Project | Description: Al inicio eramos 2 desarrolladores, pero ahora solo estoy yo. Software para consecionarios. Un marketplace para el banco Santander US. En este último desarrollo se calculan los interéses de venta del vehículo junto con sus impuestos.
- Project | technologies: Node.js, Next.js
- Happiness in project technology: 😀 Sumamente Feliz
- Happiness in project technology | Description: Si, todo normal.
- Project | The best/coolest thing: El enfoque en desempeño del proyecto. Se debe cuidar las expectativas de desempeño del servicio. Siempre optimizar.
- Project | The worst thing: No
- Project | Improvements: No
- Team | TL: Gabriel Leadman
- Team | PX: Tomás Bayle
- Team | QA: 2
- Team | QA Automation: 👍 Si
- Team | QA | Notes: No se cuántos hay en todo Autofi, pero en general hablamos sólo con 2
- Team | UI/UX: 0
- Team | UI/UX | Notes: No hay
- Team | DevOps: 2
- Team | DevOps | Notes: Para todo Autofi
- Team | Data Engineer: 0</v>
      </c>
      <c r="J427" s="4" t="str">
        <f>IFERROR(__xludf.DUMMYFUNCTION("""COMPUTED_VALUE"""),"Tech Referent - Initial gathering")</f>
        <v>Tech Referent - Initial gathering</v>
      </c>
    </row>
    <row r="428">
      <c r="A428" s="4">
        <f>IFERROR(__xludf.DUMMYFUNCTION("""COMPUTED_VALUE"""),185.0)</f>
        <v>185</v>
      </c>
      <c r="B428" s="4" t="str">
        <f>IFERROR(__xludf.DUMMYFUNCTION("""COMPUTED_VALUE"""),"carla.castiglia")</f>
        <v>carla.castiglia</v>
      </c>
      <c r="C428" s="5">
        <f>IFERROR(__xludf.DUMMYFUNCTION("""COMPUTED_VALUE"""),45139.49691733796)</f>
        <v>45139.49692</v>
      </c>
      <c r="D428" s="5">
        <f>IFERROR(__xludf.DUMMYFUNCTION("""COMPUTED_VALUE"""),45139.0)</f>
        <v>45139</v>
      </c>
      <c r="E428" s="4" t="str">
        <f>IFERROR(__xludf.DUMMYFUNCTION("""COMPUTED_VALUE"""),"juan.calou@patagoniansys.com")</f>
        <v>juan.calou@patagoniansys.com</v>
      </c>
      <c r="F428" s="4" t="str">
        <f>IFERROR(__xludf.DUMMYFUNCTION("""COMPUTED_VALUE"""),"carla.castiglia@patagoniansys.com")</f>
        <v>carla.castiglia@patagoniansys.com</v>
      </c>
      <c r="G428" s="4" t="str">
        <f>IFERROR(__xludf.DUMMYFUNCTION("""COMPUTED_VALUE"""),"Referent One on One")</f>
        <v>Referent One on One</v>
      </c>
      <c r="H428" s="4"/>
      <c r="I428" s="6" t="str">
        <f>IFERROR(__xludf.DUMMYFUNCTION("""COMPUTED_VALUE"""),"- Interviewee e-Mail: carla.castiglia@patagoniansys.com
- Project Status Check: Todo bien, afronntando migracion de angularjs a angular. Ayudando al equipo de TL con una migracion. Sugerencia para cambiar nombre de hotel.
- Project Changes | Notes: estan "&amp;"acostumbrados a cambios
- Project Role | Feeling: 2
- Extra Work Hours | Amount: 0 (Ningúna)
- Techs | Research: grafana
- Collaborator | Seniority: 👍 No, es correcto
- Alerts: Dijo que ya pidio 3 veces cambiar, pero que nunca se le da, aunque tampoco es"&amp;" que esta disconforme
- Project Needs / Oportunities: por lo que ella nombra es un cliente un tanto desordenado, y tambien hay una consultora en el medio, asi que es un poco complejo
- Final notes: La veo bien, contenta con Patagonian. Tal vez un poco tra"&amp;"bada por el hecho de que ella en algun momento se quiso ir pero nunca se le dio. Pero trabaja bien y lo que hace le gusta.
- Project Techs | Learning: 4
- Project Techs | Difficulty: 3
- Project Changes | Reasons: ⬇️ Reducción del equipo
- Project Changes"&amp;" | Personal Impact: 3
- Project Role | Value: 3
- Project role | Notes: pidio el cambio 3 veces y no hubo chances todavia")</f>
        <v>- Interviewee e-Mail: carla.castiglia@patagoniansys.com
- Project Status Check: Todo bien, afronntando migracion de angularjs a angular. Ayudando al equipo de TL con una migracion. Sugerencia para cambiar nombre de hotel.
- Project Changes | Notes: estan acostumbrados a cambios
- Project Role | Feeling: 2
- Extra Work Hours | Amount: 0 (Ningúna)
- Techs | Research: grafana
- Collaborator | Seniority: 👍 No, es correcto
- Alerts: Dijo que ya pidio 3 veces cambiar, pero que nunca se le da, aunque tampoco es que esta disconforme
- Project Needs / Oportunities: por lo que ella nombra es un cliente un tanto desordenado, y tambien hay una consultora en el medio, asi que es un poco complejo
- Final notes: La veo bien, contenta con Patagonian. Tal vez un poco trabada por el hecho de que ella en algun momento se quiso ir pero nunca se le dio. Pero trabaja bien y lo que hace le gusta.
- Project Techs | Learning: 4
- Project Techs | Difficulty: 3
- Project Changes | Reasons: ⬇️ Reducción del equipo
- Project Changes | Personal Impact: 3
- Project Role | Value: 3
- Project role | Notes: pidio el cambio 3 veces y no hubo chances todavia</v>
      </c>
      <c r="J428" s="4" t="str">
        <f>IFERROR(__xludf.DUMMYFUNCTION("""COMPUTED_VALUE"""),"Tech Referent - OneOnOne")</f>
        <v>Tech Referent - OneOnOne</v>
      </c>
    </row>
    <row r="429">
      <c r="A429" s="4">
        <f>IFERROR(__xludf.DUMMYFUNCTION("""COMPUTED_VALUE"""),297.0)</f>
        <v>297</v>
      </c>
      <c r="B429" s="4" t="str">
        <f>IFERROR(__xludf.DUMMYFUNCTION("""COMPUTED_VALUE"""),"charly.palencia")</f>
        <v>charly.palencia</v>
      </c>
      <c r="C429" s="5">
        <f>IFERROR(__xludf.DUMMYFUNCTION("""COMPUTED_VALUE"""),45139.51737428241)</f>
        <v>45139.51737</v>
      </c>
      <c r="D429" s="5">
        <f>IFERROR(__xludf.DUMMYFUNCTION("""COMPUTED_VALUE"""),45139.0)</f>
        <v>45139</v>
      </c>
      <c r="E429" s="4" t="str">
        <f>IFERROR(__xludf.DUMMYFUNCTION("""COMPUTED_VALUE"""),"pablo.gomez@patagoniansys.com")</f>
        <v>pablo.gomez@patagoniansys.com</v>
      </c>
      <c r="F429" s="4" t="str">
        <f>IFERROR(__xludf.DUMMYFUNCTION("""COMPUTED_VALUE"""),"charly.palencia@patagoniansys.com")</f>
        <v>charly.palencia@patagoniansys.com</v>
      </c>
      <c r="G429" s="4" t="str">
        <f>IFERROR(__xludf.DUMMYFUNCTION("""COMPUTED_VALUE"""),"Referent One on One")</f>
        <v>Referent One on One</v>
      </c>
      <c r="H429" s="4"/>
      <c r="I429" s="6" t="str">
        <f>IFERROR(__xludf.DUMMYFUNCTION("""COMPUTED_VALUE"""),"- Interviewee e-Mail: charly.palencia@patagoniansys.com
- Project Status Check: Pair session después de su horario.
- Project Changes | Notes: No afecto a su performance.
- Project Role | Feeling: 3
- Extra Work Hours | Amount: 1 - 5 (Entre 1 y 5)
- Extra"&amp;" Work Hours | Reason: 💁‍♂️ Pedido del PM, cliente o proyecto
- Techs | Research: Typescript
- Collaborator | Seniority: 👍 No, es correcto
- Alerts: Todo sigue igual de bien.
- Project Techs | Learning: 6
- Techs | Research: 7
- Project Techs | Difficult"&amp;"y: 3
- Project Changes | Reasons: Ver como avanza el tema de pair session tardías.
- Project Changes | Personal Impact: 3
- Project Role | Value: 3
- Project role | Notes: Continúa con las mismas tareas de backend.")</f>
        <v>- Interviewee e-Mail: charly.palencia@patagoniansys.com
- Project Status Check: Pair session después de su horario.
- Project Changes | Notes: No afecto a su performance.
- Project Role | Feeling: 3
- Extra Work Hours | Amount: 1 - 5 (Entre 1 y 5)
- Extra Work Hours | Reason: 💁‍♂️ Pedido del PM, cliente o proyecto
- Techs | Research: Typescript
- Collaborator | Seniority: 👍 No, es correcto
- Alerts: Todo sigue igual de bien.
- Project Techs | Learning: 6
- Techs | Research: 7
- Project Techs | Difficulty: 3
- Project Changes | Reasons: Ver como avanza el tema de pair session tardías.
- Project Changes | Personal Impact: 3
- Project Role | Value: 3
- Project role | Notes: Continúa con las mismas tareas de backend.</v>
      </c>
      <c r="J429" s="4" t="str">
        <f>IFERROR(__xludf.DUMMYFUNCTION("""COMPUTED_VALUE"""),"Tech Referent - OneOnOne")</f>
        <v>Tech Referent - OneOnOne</v>
      </c>
    </row>
    <row r="430" hidden="1">
      <c r="A430" s="4">
        <f>IFERROR(__xludf.DUMMYFUNCTION("""COMPUTED_VALUE"""),241.0)</f>
        <v>241</v>
      </c>
      <c r="B430" s="4" t="str">
        <f>IFERROR(__xludf.DUMMYFUNCTION("""COMPUTED_VALUE"""),"stuard.romero")</f>
        <v>stuard.romero</v>
      </c>
      <c r="C430" s="5">
        <f>IFERROR(__xludf.DUMMYFUNCTION("""COMPUTED_VALUE"""),45139.55969822917)</f>
        <v>45139.5597</v>
      </c>
      <c r="D430" s="5">
        <f>IFERROR(__xludf.DUMMYFUNCTION("""COMPUTED_VALUE"""),45139.0)</f>
        <v>45139</v>
      </c>
      <c r="E430" s="4" t="str">
        <f>IFERROR(__xludf.DUMMYFUNCTION("""COMPUTED_VALUE"""),"daniela.morales@patagoniansys.com")</f>
        <v>daniela.morales@patagoniansys.com</v>
      </c>
      <c r="F430" s="4" t="str">
        <f>IFERROR(__xludf.DUMMYFUNCTION("""COMPUTED_VALUE"""),"stuard.romero@patagoniansys.com")</f>
        <v>stuard.romero@patagoniansys.com</v>
      </c>
      <c r="G430" s="4" t="str">
        <f>IFERROR(__xludf.DUMMYFUNCTION("""COMPUTED_VALUE"""),"⏱ One on One")</f>
        <v>⏱ One on One</v>
      </c>
      <c r="H430" s="4" t="str">
        <f>IFERROR(__xludf.DUMMYFUNCTION("""COMPUTED_VALUE"""),"🙁 Poco Feliz")</f>
        <v>🙁 Poco Feliz</v>
      </c>
      <c r="I430" s="6" t="str">
        <f>IFERROR(__xludf.DUMMYFUNCTION("""COMPUTED_VALUE"""),"Me cuenta que en los últimos dos/tres meses el proyecto ha estado bastante tenso, pero en las últimas semanas se ha estado organizando con ayuda de la delivery manager, el nuevo PM y el equipo. La relación con el cliente es tensa pero ha ido mejorando de "&amp;"a poco gracias a lo que se ha venido haciendo, me cuenta también que van a parar con las horas extra. Ha estado con bastante incertidumbre por el tema del contexto en la empresa, por la interacción con el cliente y por la posibilidad del bench. ")</f>
        <v>Me cuenta que en los últimos dos/tres meses el proyecto ha estado bastante tenso, pero en las últimas semanas se ha estado organizando con ayuda de la delivery manager, el nuevo PM y el equipo. La relación con el cliente es tensa pero ha ido mejorando de a poco gracias a lo que se ha venido haciendo, me cuenta también que van a parar con las horas extra. Ha estado con bastante incertidumbre por el tema del contexto en la empresa, por la interacción con el cliente y por la posibilidad del bench. </v>
      </c>
      <c r="J430" s="4" t="str">
        <f>IFERROR(__xludf.DUMMYFUNCTION("""COMPUTED_VALUE"""),"PX|Referents|RRHH")</f>
        <v>PX|Referents|RRHH</v>
      </c>
    </row>
    <row r="431" hidden="1">
      <c r="A431" s="4">
        <f>IFERROR(__xludf.DUMMYFUNCTION("""COMPUTED_VALUE"""),136.0)</f>
        <v>136</v>
      </c>
      <c r="B431" s="4" t="str">
        <f>IFERROR(__xludf.DUMMYFUNCTION("""COMPUTED_VALUE"""),"freddy.orozco")</f>
        <v>freddy.orozco</v>
      </c>
      <c r="C431" s="5">
        <f>IFERROR(__xludf.DUMMYFUNCTION("""COMPUTED_VALUE"""),45139.60040471065)</f>
        <v>45139.6004</v>
      </c>
      <c r="D431" s="5">
        <f>IFERROR(__xludf.DUMMYFUNCTION("""COMPUTED_VALUE"""),45139.0)</f>
        <v>45139</v>
      </c>
      <c r="E431" s="4" t="str">
        <f>IFERROR(__xludf.DUMMYFUNCTION("""COMPUTED_VALUE"""),"daniela.morales@patagoniansys.com")</f>
        <v>daniela.morales@patagoniansys.com</v>
      </c>
      <c r="F431" s="4" t="str">
        <f>IFERROR(__xludf.DUMMYFUNCTION("""COMPUTED_VALUE"""),"freddy.orozco@patagoniansys.com")</f>
        <v>freddy.orozco@patagoniansys.com</v>
      </c>
      <c r="G431" s="4" t="str">
        <f>IFERROR(__xludf.DUMMYFUNCTION("""COMPUTED_VALUE"""),"⏱ One on One")</f>
        <v>⏱ One on One</v>
      </c>
      <c r="H431" s="4" t="str">
        <f>IFERROR(__xludf.DUMMYFUNCTION("""COMPUTED_VALUE"""),"😐 Indiferente")</f>
        <v>😐 Indiferente</v>
      </c>
      <c r="I431" s="6" t="str">
        <f>IFERROR(__xludf.DUMMYFUNCTION("""COMPUTED_VALUE"""),"En general está un poco estresado con el proyecto, siente que se piden varias cosas de forma inmediata lo que vuelve pesado el proyecto. A veces siente que el proyecto no avanza, ha tenido que quedarse tiempo extra para terminar algunas cosas. Siente que "&amp;"el proyecto requiere mucho apuro, también le preocupa que el foco de Patagonian en este momento sean los proyectos cortos de ese tipo. Me cuenta también que le ha gustado como se está proyectando el plan carrera de la empresa. Por último, le preocupa un p"&amp;"oco el rumbo de la empresa y le gustaría tener más claridad frente a cómo se va a manejar el bench en este momento. ")</f>
        <v>En general está un poco estresado con el proyecto, siente que se piden varias cosas de forma inmediata lo que vuelve pesado el proyecto. A veces siente que el proyecto no avanza, ha tenido que quedarse tiempo extra para terminar algunas cosas. Siente que el proyecto requiere mucho apuro, también le preocupa que el foco de Patagonian en este momento sean los proyectos cortos de ese tipo. Me cuenta también que le ha gustado como se está proyectando el plan carrera de la empresa. Por último, le preocupa un poco el rumbo de la empresa y le gustaría tener más claridad frente a cómo se va a manejar el bench en este momento. </v>
      </c>
      <c r="J431" s="4" t="str">
        <f>IFERROR(__xludf.DUMMYFUNCTION("""COMPUTED_VALUE"""),"PX|Referents|RRHH")</f>
        <v>PX|Referents|RRHH</v>
      </c>
    </row>
    <row r="432" hidden="1">
      <c r="A432" s="4">
        <f>IFERROR(__xludf.DUMMYFUNCTION("""COMPUTED_VALUE"""),153.0)</f>
        <v>153</v>
      </c>
      <c r="B432" s="4" t="str">
        <f>IFERROR(__xludf.DUMMYFUNCTION("""COMPUTED_VALUE"""),"david.zuluaga")</f>
        <v>david.zuluaga</v>
      </c>
      <c r="C432" s="5">
        <f>IFERROR(__xludf.DUMMYFUNCTION("""COMPUTED_VALUE"""),45139.609571608795)</f>
        <v>45139.60957</v>
      </c>
      <c r="D432" s="5">
        <f>IFERROR(__xludf.DUMMYFUNCTION("""COMPUTED_VALUE"""),45139.0)</f>
        <v>45139</v>
      </c>
      <c r="E432" s="4" t="str">
        <f>IFERROR(__xludf.DUMMYFUNCTION("""COMPUTED_VALUE"""),"daniela.morales@patagoniansys.com")</f>
        <v>daniela.morales@patagoniansys.com</v>
      </c>
      <c r="F432" s="4" t="str">
        <f>IFERROR(__xludf.DUMMYFUNCTION("""COMPUTED_VALUE"""),"david.zuluaga@patagoniansys.com")</f>
        <v>david.zuluaga@patagoniansys.com</v>
      </c>
      <c r="G432" s="4" t="str">
        <f>IFERROR(__xludf.DUMMYFUNCTION("""COMPUTED_VALUE"""),"⏱ One on One")</f>
        <v>⏱ One on One</v>
      </c>
      <c r="H432" s="4" t="str">
        <f>IFERROR(__xludf.DUMMYFUNCTION("""COMPUTED_VALUE"""),"🙂 Feliz")</f>
        <v>🙂 Feliz</v>
      </c>
      <c r="I432" s="6" t="str">
        <f>IFERROR(__xludf.DUMMYFUNCTION("""COMPUTED_VALUE"""),"Me cuenta que está bastante contento con el cambio de proyecto que tuvo ya que en el anterior no se sentía del todo bien. Le interesa bastante el plan carrera e iniciar las 1 a 1 con su especialista técnico. Surgieron dudas sobre la recategorización y el "&amp;"aumento del seniority pero no tiene pensado pedirlo por el momento. Le tranquiliza mucho que el proyecto al que entró va por 6 meses, así que siente estabilidad y tranquilidad. Por último, quedó bastante tranquilo después de la charla que se dio, solo le "&amp;"quedan dudas sobre cómo se va a trabajar el tema con las empresas de energía, sin dejar de lado la cultura Patagonian, y sobre el tema de bench.  ")</f>
        <v>Me cuenta que está bastante contento con el cambio de proyecto que tuvo ya que en el anterior no se sentía del todo bien. Le interesa bastante el plan carrera e iniciar las 1 a 1 con su especialista técnico. Surgieron dudas sobre la recategorización y el aumento del seniority pero no tiene pensado pedirlo por el momento. Le tranquiliza mucho que el proyecto al que entró va por 6 meses, así que siente estabilidad y tranquilidad. Por último, quedó bastante tranquilo después de la charla que se dio, solo le quedan dudas sobre cómo se va a trabajar el tema con las empresas de energía, sin dejar de lado la cultura Patagonian, y sobre el tema de bench.  </v>
      </c>
      <c r="J432" s="4" t="str">
        <f>IFERROR(__xludf.DUMMYFUNCTION("""COMPUTED_VALUE"""),"PX|Referents|RRHH")</f>
        <v>PX|Referents|RRHH</v>
      </c>
    </row>
    <row r="433" hidden="1">
      <c r="A433" s="4">
        <f>IFERROR(__xludf.DUMMYFUNCTION("""COMPUTED_VALUE"""),313.0)</f>
        <v>313</v>
      </c>
      <c r="B433" s="4" t="str">
        <f>IFERROR(__xludf.DUMMYFUNCTION("""COMPUTED_VALUE"""),"julio.sirera")</f>
        <v>julio.sirera</v>
      </c>
      <c r="C433" s="5">
        <f>IFERROR(__xludf.DUMMYFUNCTION("""COMPUTED_VALUE"""),45139.6439722338)</f>
        <v>45139.64397</v>
      </c>
      <c r="D433" s="5">
        <f>IFERROR(__xludf.DUMMYFUNCTION("""COMPUTED_VALUE"""),45139.0)</f>
        <v>45139</v>
      </c>
      <c r="E433" s="4" t="str">
        <f>IFERROR(__xludf.DUMMYFUNCTION("""COMPUTED_VALUE"""),"juan.villamizar@patagoniansys.com")</f>
        <v>juan.villamizar@patagoniansys.com</v>
      </c>
      <c r="F433" s="4" t="str">
        <f>IFERROR(__xludf.DUMMYFUNCTION("""COMPUTED_VALUE"""),"julio.sirera@patagoniansys.com")</f>
        <v>julio.sirera@patagoniansys.com</v>
      </c>
      <c r="G433" s="4" t="str">
        <f>IFERROR(__xludf.DUMMYFUNCTION("""COMPUTED_VALUE"""),"⏱ One on One")</f>
        <v>⏱ One on One</v>
      </c>
      <c r="H433" s="4" t="str">
        <f>IFERROR(__xludf.DUMMYFUNCTION("""COMPUTED_VALUE"""),"🙂 Feliz")</f>
        <v>🙂 Feliz</v>
      </c>
      <c r="I433" s="6" t="str">
        <f>IFERROR(__xludf.DUMMYFUNCTION("""COMPUTED_VALUE"""),"Se encuentra retomando trabajo de vuelta del vacaciones. Satisfecho con el proyecto al que esta asignado, quisiera poder delegar algo más de trabajo a los QA jrs pero aun no puede por nivel de responsabilidad.")</f>
        <v>Se encuentra retomando trabajo de vuelta del vacaciones. Satisfecho con el proyecto al que esta asignado, quisiera poder delegar algo más de trabajo a los QA jrs pero aun no puede por nivel de responsabilidad.</v>
      </c>
      <c r="J433" s="4" t="str">
        <f>IFERROR(__xludf.DUMMYFUNCTION("""COMPUTED_VALUE"""),"PX|Referents|RRHH")</f>
        <v>PX|Referents|RRHH</v>
      </c>
    </row>
    <row r="434">
      <c r="A434" s="4">
        <f>IFERROR(__xludf.DUMMYFUNCTION("""COMPUTED_VALUE"""),311.0)</f>
        <v>311</v>
      </c>
      <c r="B434" s="4" t="str">
        <f>IFERROR(__xludf.DUMMYFUNCTION("""COMPUTED_VALUE"""),"andres.murillo")</f>
        <v>andres.murillo</v>
      </c>
      <c r="C434" s="5">
        <f>IFERROR(__xludf.DUMMYFUNCTION("""COMPUTED_VALUE"""),45139.72865415509)</f>
        <v>45139.72865</v>
      </c>
      <c r="D434" s="5">
        <f>IFERROR(__xludf.DUMMYFUNCTION("""COMPUTED_VALUE"""),45139.0)</f>
        <v>45139</v>
      </c>
      <c r="E434" s="4" t="str">
        <f>IFERROR(__xludf.DUMMYFUNCTION("""COMPUTED_VALUE"""),"leonardo.buret@patagoniansys.com")</f>
        <v>leonardo.buret@patagoniansys.com</v>
      </c>
      <c r="F434" s="4" t="str">
        <f>IFERROR(__xludf.DUMMYFUNCTION("""COMPUTED_VALUE"""),"andres.murillo@patagonian.com")</f>
        <v>andres.murillo@patagonian.com</v>
      </c>
      <c r="G434" s="4" t="str">
        <f>IFERROR(__xludf.DUMMYFUNCTION("""COMPUTED_VALUE"""),"Referent One on One")</f>
        <v>Referent One on One</v>
      </c>
      <c r="H434" s="4"/>
      <c r="I434" s="6" t="str">
        <f>IFERROR(__xludf.DUMMYFUNCTION("""COMPUTED_VALUE"""),"- Interviewee e-Mail: andres.murillo@patagonian.com
- Project Status Check: Tareas más complejas, equipos más complejos
- Project Changes | Notes: Control de tiempos más estrictos. Springs. Siente más organización. Desconoce la organización 
- Project Rol"&amp;"e | Feeling: 4
- Extra Work Hours | Amount: 0 (Ningúna)
- Techs | Research: Dev Express 
- Techs | Recomendations: No recomendé nada porque está recuperándose de un inconveniente médico y no tiene tiempo. La próxima lo hago.
- Techs | Recomendations check"&amp;": No
- Collaborator | Seniority: 👍 No, es correcto
- Alerts: La comunicación con el TL externo no es buena y se siente ""Ignorado"" por él.
- Project Needs / Oportunities: No
- Final notes: Le están asignado tareas cada vez las complejas y se siente bien"&amp;" con eso
- Project Techs | Learning: 4
- Techs | Research: 0
- Project Techs | Difficulty: 2
- Project Changes | Reasons: 🔀 Cambio de roles dentro del equipo, ⏱ Cambios en la forma de planificar las tareas y tiempos, 💻 Cambios en la manera de desarrolla"&amp;"r, Tiempos en las tareas mas controlados
- Project Changes | Personal Impact: 5
- Project Role | Value: 4
- Project role | Notes: No tiene respuesta del TL del lado de Adroit (Anthony).")</f>
        <v>- Interviewee e-Mail: andres.murillo@patagonian.com
- Project Status Check: Tareas más complejas, equipos más complejos
- Project Changes | Notes: Control de tiempos más estrictos. Springs. Siente más organización. Desconoce la organización 
- Project Role | Feeling: 4
- Extra Work Hours | Amount: 0 (Ningúna)
- Techs | Research: Dev Express 
- Techs | Recomendations: No recomendé nada porque está recuperándose de un inconveniente médico y no tiene tiempo. La próxima lo hago.
- Techs | Recomendations check: No
- Collaborator | Seniority: 👍 No, es correcto
- Alerts: La comunicación con el TL externo no es buena y se siente "Ignorado" por él.
- Project Needs / Oportunities: No
- Final notes: Le están asignado tareas cada vez las complejas y se siente bien con eso
- Project Techs | Learning: 4
- Techs | Research: 0
- Project Techs | Difficulty: 2
- Project Changes | Reasons: 🔀 Cambio de roles dentro del equipo, ⏱ Cambios en la forma de planificar las tareas y tiempos, 💻 Cambios en la manera de desarrollar, Tiempos en las tareas mas controlados
- Project Changes | Personal Impact: 5
- Project Role | Value: 4
- Project role | Notes: No tiene respuesta del TL del lado de Adroit (Anthony).</v>
      </c>
      <c r="J434" s="4" t="str">
        <f>IFERROR(__xludf.DUMMYFUNCTION("""COMPUTED_VALUE"""),"Tech Referent - OneOnOne")</f>
        <v>Tech Referent - OneOnOne</v>
      </c>
    </row>
    <row r="435" hidden="1">
      <c r="A435" s="4">
        <f>IFERROR(__xludf.DUMMYFUNCTION("""COMPUTED_VALUE"""),199.0)</f>
        <v>199</v>
      </c>
      <c r="B435" s="4" t="str">
        <f>IFERROR(__xludf.DUMMYFUNCTION("""COMPUTED_VALUE"""),"eileen.guerrero")</f>
        <v>eileen.guerrero</v>
      </c>
      <c r="C435" s="5">
        <f>IFERROR(__xludf.DUMMYFUNCTION("""COMPUTED_VALUE"""),45139.75935659723)</f>
        <v>45139.75936</v>
      </c>
      <c r="D435" s="5">
        <f>IFERROR(__xludf.DUMMYFUNCTION("""COMPUTED_VALUE"""),45139.0)</f>
        <v>45139</v>
      </c>
      <c r="E435" s="4" t="str">
        <f>IFERROR(__xludf.DUMMYFUNCTION("""COMPUTED_VALUE"""),"daniela.morales@patagoniansys.com")</f>
        <v>daniela.morales@patagoniansys.com</v>
      </c>
      <c r="F435" s="4" t="str">
        <f>IFERROR(__xludf.DUMMYFUNCTION("""COMPUTED_VALUE"""),"eileen.guerrero@patagoniansys.com")</f>
        <v>eileen.guerrero@patagoniansys.com</v>
      </c>
      <c r="G435" s="4" t="str">
        <f>IFERROR(__xludf.DUMMYFUNCTION("""COMPUTED_VALUE"""),"⏱ One on One")</f>
        <v>⏱ One on One</v>
      </c>
      <c r="H435" s="4" t="str">
        <f>IFERROR(__xludf.DUMMYFUNCTION("""COMPUTED_VALUE"""),"🙂 Feliz")</f>
        <v>🙂 Feliz</v>
      </c>
      <c r="I435" s="6" t="str">
        <f>IFERROR(__xludf.DUMMYFUNCTION("""COMPUTED_VALUE"""),"Me cuenta que se siente un poco impactado por la noticia de su proyecto, pero tiene una actitud positiva frente a nuevos posibles retos en otros proyectos. Me cuenta que le interesa seguir una línea de mobile con android y que le gustaría explorar otras t"&amp;"ecnologías también. Se le dio información sobre el bench y sobre quién estaría en contacto con él, así que quedó tranquilo por ese lado también. ")</f>
        <v>Me cuenta que se siente un poco impactado por la noticia de su proyecto, pero tiene una actitud positiva frente a nuevos posibles retos en otros proyectos. Me cuenta que le interesa seguir una línea de mobile con android y que le gustaría explorar otras tecnologías también. Se le dio información sobre el bench y sobre quién estaría en contacto con él, así que quedó tranquilo por ese lado también. </v>
      </c>
      <c r="J435" s="4" t="str">
        <f>IFERROR(__xludf.DUMMYFUNCTION("""COMPUTED_VALUE"""),"PX|Referents|RRHH")</f>
        <v>PX|Referents|RRHH</v>
      </c>
    </row>
    <row r="436" hidden="1">
      <c r="A436" s="4">
        <f>IFERROR(__xludf.DUMMYFUNCTION("""COMPUTED_VALUE"""),273.0)</f>
        <v>273</v>
      </c>
      <c r="B436" s="4" t="str">
        <f>IFERROR(__xludf.DUMMYFUNCTION("""COMPUTED_VALUE"""),"laura.oviedo")</f>
        <v>laura.oviedo</v>
      </c>
      <c r="C436" s="5">
        <f>IFERROR(__xludf.DUMMYFUNCTION("""COMPUTED_VALUE"""),45162.6969272338)</f>
        <v>45162.69693</v>
      </c>
      <c r="D436" s="5">
        <f>IFERROR(__xludf.DUMMYFUNCTION("""COMPUTED_VALUE"""),45139.0)</f>
        <v>45139</v>
      </c>
      <c r="E436" s="4" t="str">
        <f>IFERROR(__xludf.DUMMYFUNCTION("""COMPUTED_VALUE"""),"sebastian.charre@patagoniansys.com")</f>
        <v>sebastian.charre@patagoniansys.com</v>
      </c>
      <c r="F436" s="4" t="str">
        <f>IFERROR(__xludf.DUMMYFUNCTION("""COMPUTED_VALUE"""),"laura.oviedo@patagoniansys.com")</f>
        <v>laura.oviedo@patagoniansys.com</v>
      </c>
      <c r="G436" s="4" t="str">
        <f>IFERROR(__xludf.DUMMYFUNCTION("""COMPUTED_VALUE"""),"⏱ One on One")</f>
        <v>⏱ One on One</v>
      </c>
      <c r="H436" s="4" t="str">
        <f>IFERROR(__xludf.DUMMYFUNCTION("""COMPUTED_VALUE"""),"😐 Indiferente")</f>
        <v>😐 Indiferente</v>
      </c>
      <c r="I436" s="6" t="str">
        <f>IFERROR(__xludf.DUMMYFUNCTION("""COMPUTED_VALUE"""),"Laura no logra adaptarse al proyecto. Si bien cumple con las tareas que se le asignan no está a gusto. No le gusta la interacción con el cliente y lo expresa. El cliente tampoco tiene buena imagen de Laura debido a su falta de ""flexibiliad"" (tomar con c"&amp;"uidado este feedback por que el cliente tiende a pasarse de la raya)")</f>
        <v>Laura no logra adaptarse al proyecto. Si bien cumple con las tareas que se le asignan no está a gusto. No le gusta la interacción con el cliente y lo expresa. El cliente tampoco tiene buena imagen de Laura debido a su falta de "flexibiliad" (tomar con cuidado este feedback por que el cliente tiende a pasarse de la raya)</v>
      </c>
      <c r="J436" s="4" t="str">
        <f>IFERROR(__xludf.DUMMYFUNCTION("""COMPUTED_VALUE"""),"PX|Referents|RRHH")</f>
        <v>PX|Referents|RRHH</v>
      </c>
    </row>
    <row r="437" hidden="1">
      <c r="A437" s="4">
        <f>IFERROR(__xludf.DUMMYFUNCTION("""COMPUTED_VALUE"""),149.0)</f>
        <v>149</v>
      </c>
      <c r="B437" s="4" t="str">
        <f>IFERROR(__xludf.DUMMYFUNCTION("""COMPUTED_VALUE"""),"jonatan.ordonez")</f>
        <v>jonatan.ordonez</v>
      </c>
      <c r="C437" s="5">
        <f>IFERROR(__xludf.DUMMYFUNCTION("""COMPUTED_VALUE"""),45140.74835119213)</f>
        <v>45140.74835</v>
      </c>
      <c r="D437" s="5">
        <f>IFERROR(__xludf.DUMMYFUNCTION("""COMPUTED_VALUE"""),45140.0)</f>
        <v>45140</v>
      </c>
      <c r="E437" s="4" t="str">
        <f>IFERROR(__xludf.DUMMYFUNCTION("""COMPUTED_VALUE"""),"daniela.morales@patagoniansys.com")</f>
        <v>daniela.morales@patagoniansys.com</v>
      </c>
      <c r="F437" s="4" t="str">
        <f>IFERROR(__xludf.DUMMYFUNCTION("""COMPUTED_VALUE"""),"jonatan.ordonez@patagoniansys.com")</f>
        <v>jonatan.ordonez@patagoniansys.com</v>
      </c>
      <c r="G437" s="4" t="str">
        <f>IFERROR(__xludf.DUMMYFUNCTION("""COMPUTED_VALUE"""),"⏱ One on One")</f>
        <v>⏱ One on One</v>
      </c>
      <c r="H437" s="4" t="str">
        <f>IFERROR(__xludf.DUMMYFUNCTION("""COMPUTED_VALUE"""),"🙂 Feliz")</f>
        <v>🙂 Feliz</v>
      </c>
      <c r="I437" s="6" t="str">
        <f>IFERROR(__xludf.DUMMYFUNCTION("""COMPUTED_VALUE"""),"En general se encuentra bastante bien con el proyecto, está contento de haber asumido nuevas tareas y roles en el equipo desde su recategorización, está contento con el equipo y con la empresa. Le gustó la charla que hubo sobre el contexto actual de la em"&amp;"presa. ")</f>
        <v>En general se encuentra bastante bien con el proyecto, está contento de haber asumido nuevas tareas y roles en el equipo desde su recategorización, está contento con el equipo y con la empresa. Le gustó la charla que hubo sobre el contexto actual de la empresa. </v>
      </c>
      <c r="J437" s="4" t="str">
        <f>IFERROR(__xludf.DUMMYFUNCTION("""COMPUTED_VALUE"""),"PX|Referents|RRHH")</f>
        <v>PX|Referents|RRHH</v>
      </c>
    </row>
    <row r="438">
      <c r="A438" s="4">
        <f>IFERROR(__xludf.DUMMYFUNCTION("""COMPUTED_VALUE"""),249.0)</f>
        <v>249</v>
      </c>
      <c r="B438" s="4" t="str">
        <f>IFERROR(__xludf.DUMMYFUNCTION("""COMPUTED_VALUE"""),"nahuel.diaz")</f>
        <v>nahuel.diaz</v>
      </c>
      <c r="C438" s="5">
        <f>IFERROR(__xludf.DUMMYFUNCTION("""COMPUTED_VALUE"""),45156.48501138889)</f>
        <v>45156.48501</v>
      </c>
      <c r="D438" s="5">
        <f>IFERROR(__xludf.DUMMYFUNCTION("""COMPUTED_VALUE"""),45140.0)</f>
        <v>45140</v>
      </c>
      <c r="E438" s="4" t="str">
        <f>IFERROR(__xludf.DUMMYFUNCTION("""COMPUTED_VALUE"""),"henry.tong@patagoniansys.com")</f>
        <v>henry.tong@patagoniansys.com</v>
      </c>
      <c r="F438" s="4" t="str">
        <f>IFERROR(__xludf.DUMMYFUNCTION("""COMPUTED_VALUE"""),"nahuel.diaz@patagonian.com")</f>
        <v>nahuel.diaz@patagonian.com</v>
      </c>
      <c r="G438" s="4" t="str">
        <f>IFERROR(__xludf.DUMMYFUNCTION("""COMPUTED_VALUE"""),"Referent One on One")</f>
        <v>Referent One on One</v>
      </c>
      <c r="H438" s="4"/>
      <c r="I438" s="6" t="str">
        <f>IFERROR(__xludf.DUMMYFUNCTION("""COMPUTED_VALUE"""),"- Interviewee e-Mail: nahuel.diaz@patagonian.com
- Project Status Check: Sigue en Bench. El proyecto de las aves (ABC Bird) fue entregado
- Project Role | Feeling: 4
- Extra Work Hours | Amount: 0 (Ningúna)
- Techs | Research: Javascript
- Collaborator | "&amp;"Seniority: 👍 No, es correcto
- Alerts: Está preocupado por estar en el Bench. Es la misma preocupación que muestran en general todos los que están en bench
- Project Techs | Learning: 0
- Project Techs | Difficulty: 4
- Project Changes | Reasons: 🟰 No h"&amp;"ubo cambios
- Project Changes | Personal Impact: 3
- Project Role | Value: 4
- Project role | Notes: N/A")</f>
        <v>- Interviewee e-Mail: nahuel.diaz@patagonian.com
- Project Status Check: Sigue en Bench. El proyecto de las aves (ABC Bird) fue entregado
- Project Role | Feeling: 4
- Extra Work Hours | Amount: 0 (Ningúna)
- Techs | Research: Javascript
- Collaborator | Seniority: 👍 No, es correcto
- Alerts: Está preocupado por estar en el Bench. Es la misma preocupación que muestran en general todos los que están en bench
- Project Techs | Learning: 0
- Project Techs | Difficulty: 4
- Project Changes | Reasons: 🟰 No hubo cambios
- Project Changes | Personal Impact: 3
- Project Role | Value: 4
- Project role | Notes: N/A</v>
      </c>
      <c r="J438" s="4" t="str">
        <f>IFERROR(__xludf.DUMMYFUNCTION("""COMPUTED_VALUE"""),"Tech Referent - OneOnOne")</f>
        <v>Tech Referent - OneOnOne</v>
      </c>
    </row>
    <row r="439" hidden="1">
      <c r="A439" s="4">
        <f>IFERROR(__xludf.DUMMYFUNCTION("""COMPUTED_VALUE"""),145.0)</f>
        <v>145</v>
      </c>
      <c r="B439" s="4" t="str">
        <f>IFERROR(__xludf.DUMMYFUNCTION("""COMPUTED_VALUE"""),"victor.abitu")</f>
        <v>victor.abitu</v>
      </c>
      <c r="C439" s="5">
        <f>IFERROR(__xludf.DUMMYFUNCTION("""COMPUTED_VALUE"""),45162.68175090278)</f>
        <v>45162.68175</v>
      </c>
      <c r="D439" s="5">
        <f>IFERROR(__xludf.DUMMYFUNCTION("""COMPUTED_VALUE"""),45140.0)</f>
        <v>45140</v>
      </c>
      <c r="E439" s="4" t="str">
        <f>IFERROR(__xludf.DUMMYFUNCTION("""COMPUTED_VALUE"""),"sebastian.charre@patagoniansys.com")</f>
        <v>sebastian.charre@patagoniansys.com</v>
      </c>
      <c r="F439" s="4" t="str">
        <f>IFERROR(__xludf.DUMMYFUNCTION("""COMPUTED_VALUE"""),"victor.abitu@patagoniansys.com")</f>
        <v>victor.abitu@patagoniansys.com</v>
      </c>
      <c r="G439" s="4" t="str">
        <f>IFERROR(__xludf.DUMMYFUNCTION("""COMPUTED_VALUE"""),"⏱ One on One")</f>
        <v>⏱ One on One</v>
      </c>
      <c r="H439" s="4" t="str">
        <f>IFERROR(__xludf.DUMMYFUNCTION("""COMPUTED_VALUE"""),"🙂 Feliz")</f>
        <v>🙂 Feliz</v>
      </c>
      <c r="I439" s="6" t="str">
        <f>IFERROR(__xludf.DUMMYFUNCTION("""COMPUTED_VALUE"""),"Está a agusto en la cuenta. Trabaja muy bien con sus compañeros y cliente. Ha formado un buen equipo. Se lo ve comprometido y entsuiasmado con distintas tareas qeu realizar para el proyecto.")</f>
        <v>Está a agusto en la cuenta. Trabaja muy bien con sus compañeros y cliente. Ha formado un buen equipo. Se lo ve comprometido y entsuiasmado con distintas tareas qeu realizar para el proyecto.</v>
      </c>
      <c r="J439" s="4" t="str">
        <f>IFERROR(__xludf.DUMMYFUNCTION("""COMPUTED_VALUE"""),"PX|Referents|RRHH")</f>
        <v>PX|Referents|RRHH</v>
      </c>
    </row>
    <row r="440" hidden="1">
      <c r="A440" s="4">
        <f>IFERROR(__xludf.DUMMYFUNCTION("""COMPUTED_VALUE"""),146.0)</f>
        <v>146</v>
      </c>
      <c r="B440" s="4" t="str">
        <f>IFERROR(__xludf.DUMMYFUNCTION("""COMPUTED_VALUE"""),"juan.martinezrios")</f>
        <v>juan.martinezrios</v>
      </c>
      <c r="C440" s="5">
        <f>IFERROR(__xludf.DUMMYFUNCTION("""COMPUTED_VALUE"""),45141.53546263889)</f>
        <v>45141.53546</v>
      </c>
      <c r="D440" s="5">
        <f>IFERROR(__xludf.DUMMYFUNCTION("""COMPUTED_VALUE"""),45141.0)</f>
        <v>45141</v>
      </c>
      <c r="E440" s="4" t="str">
        <f>IFERROR(__xludf.DUMMYFUNCTION("""COMPUTED_VALUE"""),"daniela.morales@patagoniansys.com")</f>
        <v>daniela.morales@patagoniansys.com</v>
      </c>
      <c r="F440" s="4" t="str">
        <f>IFERROR(__xludf.DUMMYFUNCTION("""COMPUTED_VALUE"""),"juan.martinezrios@patagoniansys.com")</f>
        <v>juan.martinezrios@patagoniansys.com</v>
      </c>
      <c r="G440" s="4" t="str">
        <f>IFERROR(__xludf.DUMMYFUNCTION("""COMPUTED_VALUE"""),"⏱ One on One")</f>
        <v>⏱ One on One</v>
      </c>
      <c r="H440" s="4" t="str">
        <f>IFERROR(__xludf.DUMMYFUNCTION("""COMPUTED_VALUE"""),"😐 Indiferente")</f>
        <v>😐 Indiferente</v>
      </c>
      <c r="I440" s="6" t="str">
        <f>IFERROR(__xludf.DUMMYFUNCTION("""COMPUTED_VALUE"""),"En general me cuenta que está tranquilo por el tema de la finalización del proyecto porque ya le ha pasado antes de que ha rotado una vez culminan las asignaciones. Se ha estado actualizando técnicamente y le gustaría pedir certificaciones y/o asistir a c"&amp;"onferencias sobre tecnología. Me cuenta que en general está bastante contento con el equipo, también le gustó mucho la charla sobre el contexto general que se dio esta semana, le pareció transparente y realista. Está tranquilo también porque se van a mant"&amp;"ener los beneficios y el mantenimiento normal.  ")</f>
        <v>En general me cuenta que está tranquilo por el tema de la finalización del proyecto porque ya le ha pasado antes de que ha rotado una vez culminan las asignaciones. Se ha estado actualizando técnicamente y le gustaría pedir certificaciones y/o asistir a conferencias sobre tecnología. Me cuenta que en general está bastante contento con el equipo, también le gustó mucho la charla sobre el contexto general que se dio esta semana, le pareció transparente y realista. Está tranquilo también porque se van a mantener los beneficios y el mantenimiento normal.  </v>
      </c>
      <c r="J440" s="4" t="str">
        <f>IFERROR(__xludf.DUMMYFUNCTION("""COMPUTED_VALUE"""),"PX|Referents|RRHH")</f>
        <v>PX|Referents|RRHH</v>
      </c>
    </row>
    <row r="441" hidden="1">
      <c r="A441" s="4">
        <f>IFERROR(__xludf.DUMMYFUNCTION("""COMPUTED_VALUE"""),130.0)</f>
        <v>130</v>
      </c>
      <c r="B441" s="4" t="str">
        <f>IFERROR(__xludf.DUMMYFUNCTION("""COMPUTED_VALUE"""),"edgar.bonilla")</f>
        <v>edgar.bonilla</v>
      </c>
      <c r="C441" s="5">
        <f>IFERROR(__xludf.DUMMYFUNCTION("""COMPUTED_VALUE"""),45141.66974534722)</f>
        <v>45141.66975</v>
      </c>
      <c r="D441" s="5">
        <f>IFERROR(__xludf.DUMMYFUNCTION("""COMPUTED_VALUE"""),45141.0)</f>
        <v>45141</v>
      </c>
      <c r="E441" s="4" t="str">
        <f>IFERROR(__xludf.DUMMYFUNCTION("""COMPUTED_VALUE"""),"daniela.morales@patagoniansys.com")</f>
        <v>daniela.morales@patagoniansys.com</v>
      </c>
      <c r="F441" s="4" t="str">
        <f>IFERROR(__xludf.DUMMYFUNCTION("""COMPUTED_VALUE"""),"edgar.bonilla@patagoniansys.com")</f>
        <v>edgar.bonilla@patagoniansys.com</v>
      </c>
      <c r="G441" s="4" t="str">
        <f>IFERROR(__xludf.DUMMYFUNCTION("""COMPUTED_VALUE"""),"⏱ One on One")</f>
        <v>⏱ One on One</v>
      </c>
      <c r="H441" s="4" t="str">
        <f>IFERROR(__xludf.DUMMYFUNCTION("""COMPUTED_VALUE"""),"🙂 Feliz")</f>
        <v>🙂 Feliz</v>
      </c>
      <c r="I441" s="6" t="str">
        <f>IFERROR(__xludf.DUMMYFUNCTION("""COMPUTED_VALUE"""),"En general se encuentra bastante tranquilo con todo, me cuenta que los últimos dos meses han sido un poco más pesados con respecto a la organización del tiempo pero ha encontrado balance. En su proyecto tiene un rol de liderazgo fuerte, además de ser refe"&amp;"rente para otras personas tanto en Patagonian como en su proyecto, lo que le consume un poco más de tiempo, pero está contento de ajustar horarios y de realizar sus labores. ")</f>
        <v>En general se encuentra bastante tranquilo con todo, me cuenta que los últimos dos meses han sido un poco más pesados con respecto a la organización del tiempo pero ha encontrado balance. En su proyecto tiene un rol de liderazgo fuerte, además de ser referente para otras personas tanto en Patagonian como en su proyecto, lo que le consume un poco más de tiempo, pero está contento de ajustar horarios y de realizar sus labores. </v>
      </c>
      <c r="J441" s="4" t="str">
        <f>IFERROR(__xludf.DUMMYFUNCTION("""COMPUTED_VALUE"""),"PX|Referents|RRHH")</f>
        <v>PX|Referents|RRHH</v>
      </c>
    </row>
    <row r="442" hidden="1">
      <c r="A442" s="4">
        <f>IFERROR(__xludf.DUMMYFUNCTION("""COMPUTED_VALUE"""),203.0)</f>
        <v>203</v>
      </c>
      <c r="B442" s="4" t="str">
        <f>IFERROR(__xludf.DUMMYFUNCTION("""COMPUTED_VALUE"""),"duverney.hernandez")</f>
        <v>duverney.hernandez</v>
      </c>
      <c r="C442" s="5">
        <f>IFERROR(__xludf.DUMMYFUNCTION("""COMPUTED_VALUE"""),45141.678692106485)</f>
        <v>45141.67869</v>
      </c>
      <c r="D442" s="5">
        <f>IFERROR(__xludf.DUMMYFUNCTION("""COMPUTED_VALUE"""),45141.0)</f>
        <v>45141</v>
      </c>
      <c r="E442" s="4" t="str">
        <f>IFERROR(__xludf.DUMMYFUNCTION("""COMPUTED_VALUE"""),"daniela.morales@patagoniansys.com")</f>
        <v>daniela.morales@patagoniansys.com</v>
      </c>
      <c r="F442" s="4" t="str">
        <f>IFERROR(__xludf.DUMMYFUNCTION("""COMPUTED_VALUE"""),"duverney.hernandez@patagoniansys.com")</f>
        <v>duverney.hernandez@patagoniansys.com</v>
      </c>
      <c r="G442" s="4" t="str">
        <f>IFERROR(__xludf.DUMMYFUNCTION("""COMPUTED_VALUE"""),"⏱ One on One")</f>
        <v>⏱ One on One</v>
      </c>
      <c r="H442" s="4" t="str">
        <f>IFERROR(__xludf.DUMMYFUNCTION("""COMPUTED_VALUE"""),"🙂 Feliz")</f>
        <v>🙂 Feliz</v>
      </c>
      <c r="I442" s="6" t="str">
        <f>IFERROR(__xludf.DUMMYFUNCTION("""COMPUTED_VALUE"""),"Está bastante feliz con el cambio de proyecto que tuvo, siente que ahora sí puede trabajar todo su potencial y adquirir nuevos retos, está más enfocado en las tecnologías que le gusta también. Pudo asistir a las clases de inglés y le ha gustado bastante l"&amp;"a metodología del profesor, en general se siente muy tranquilo con el proyecto, el equipo y la empresa. ")</f>
        <v>Está bastante feliz con el cambio de proyecto que tuvo, siente que ahora sí puede trabajar todo su potencial y adquirir nuevos retos, está más enfocado en las tecnologías que le gusta también. Pudo asistir a las clases de inglés y le ha gustado bastante la metodología del profesor, en general se siente muy tranquilo con el proyecto, el equipo y la empresa. </v>
      </c>
      <c r="J442" s="4" t="str">
        <f>IFERROR(__xludf.DUMMYFUNCTION("""COMPUTED_VALUE"""),"PX|Referents|RRHH")</f>
        <v>PX|Referents|RRHH</v>
      </c>
    </row>
    <row r="443">
      <c r="A443" s="4">
        <f>IFERROR(__xludf.DUMMYFUNCTION("""COMPUTED_VALUE"""),162.0)</f>
        <v>162</v>
      </c>
      <c r="B443" s="4" t="str">
        <f>IFERROR(__xludf.DUMMYFUNCTION("""COMPUTED_VALUE"""),"cristian.cortes")</f>
        <v>cristian.cortes</v>
      </c>
      <c r="C443" s="5">
        <f>IFERROR(__xludf.DUMMYFUNCTION("""COMPUTED_VALUE"""),45142.44809635417)</f>
        <v>45142.4481</v>
      </c>
      <c r="D443" s="5">
        <f>IFERROR(__xludf.DUMMYFUNCTION("""COMPUTED_VALUE"""),45141.0)</f>
        <v>45141</v>
      </c>
      <c r="E443" s="4" t="str">
        <f>IFERROR(__xludf.DUMMYFUNCTION("""COMPUTED_VALUE"""),"edgar.bonilla@patagoniansys.com")</f>
        <v>edgar.bonilla@patagoniansys.com</v>
      </c>
      <c r="F443" s="4" t="str">
        <f>IFERROR(__xludf.DUMMYFUNCTION("""COMPUTED_VALUE"""),"cristian.cortes@patagoniansys.com")</f>
        <v>cristian.cortes@patagoniansys.com</v>
      </c>
      <c r="G443" s="4" t="str">
        <f>IFERROR(__xludf.DUMMYFUNCTION("""COMPUTED_VALUE"""),"Referent One on One")</f>
        <v>Referent One on One</v>
      </c>
      <c r="H443" s="4"/>
      <c r="I443" s="6" t="str">
        <f>IFERROR(__xludf.DUMMYFUNCTION("""COMPUTED_VALUE"""),"- Interviewee e-Mail: cristian.cortes@patagoniansys.com
- Project Status Check: Está colaborando full en Connect Americas y una app mobile que fue dada de baja de la PlayStore por parte de Google debido a ciertos permisos que estaba pidiendo.
Para poder "&amp;"solucionar el tema se tenía que actualizar la versión de React Native y de Expo en la app y eso conllevó a que se desencadenara un montón de trabajo ya que ah implicado la actualización de librerías y han surgido otra cantidad de problemas en el proceso. "&amp;"Todo esto debido principalmente a que la app no se actualizaba hace un buen tiempo.
- Project Role | Feeling: 4
- Extra Work Hours | Amount: 0 (Ningúna)
- Collaborator | Seniority: 👍 No, es correcto
- Alerts: Manifestó sentir un poco de preocupación al h"&amp;"aber estado en bench cuando se terminó el proyecto de Eyethena, considerando la situación actual de la empresa y del mercado. Manifiesta preocupación de que el trabajo con Connect Americas sea algo de corto plazo y vuelva a estar en bench.
- Project Techs"&amp;" | Learning: 2
- Project Techs | Difficulty: 4
- Project Changes | Reasons: 🟰 No hubo cambios
- Project Role | Value: 4
- Project role | Notes: Cristian tiene la mentalidad de medírsele a todo, no ve problema en afrontar un reto nuevo y meterse a solucio"&amp;"nar problemas donde sea necesario. En el proceso también aprende nuevas cosas y adquiere nuevas habilidades, lo cual le agrega valor a su perfil y siente que la empresa también ve valor en su trabajo.")</f>
        <v>- Interviewee e-Mail: cristian.cortes@patagoniansys.com
- Project Status Check: Está colaborando full en Connect Americas y una app mobile que fue dada de baja de la PlayStore por parte de Google debido a ciertos permisos que estaba pidiendo.
Para poder solucionar el tema se tenía que actualizar la versión de React Native y de Expo en la app y eso conllevó a que se desencadenara un montón de trabajo ya que ah implicado la actualización de librerías y han surgido otra cantidad de problemas en el proceso. Todo esto debido principalmente a que la app no se actualizaba hace un buen tiempo.
- Project Role | Feeling: 4
- Extra Work Hours | Amount: 0 (Ningúna)
- Collaborator | Seniority: 👍 No, es correcto
- Alerts: Manifestó sentir un poco de preocupación al haber estado en bench cuando se terminó el proyecto de Eyethena, considerando la situación actual de la empresa y del mercado. Manifiesta preocupación de que el trabajo con Connect Americas sea algo de corto plazo y vuelva a estar en bench.
- Project Techs | Learning: 2
- Project Techs | Difficulty: 4
- Project Changes | Reasons: 🟰 No hubo cambios
- Project Role | Value: 4
- Project role | Notes: Cristian tiene la mentalidad de medírsele a todo, no ve problema en afrontar un reto nuevo y meterse a solucionar problemas donde sea necesario. En el proceso también aprende nuevas cosas y adquiere nuevas habilidades, lo cual le agrega valor a su perfil y siente que la empresa también ve valor en su trabajo.</v>
      </c>
      <c r="J443" s="4" t="str">
        <f>IFERROR(__xludf.DUMMYFUNCTION("""COMPUTED_VALUE"""),"Tech Referent - OneOnOne")</f>
        <v>Tech Referent - OneOnOne</v>
      </c>
    </row>
    <row r="444" hidden="1">
      <c r="A444" s="4">
        <f>IFERROR(__xludf.DUMMYFUNCTION("""COMPUTED_VALUE"""),255.0)</f>
        <v>255</v>
      </c>
      <c r="B444" s="4" t="str">
        <f>IFERROR(__xludf.DUMMYFUNCTION("""COMPUTED_VALUE"""),"hubert.alfaro")</f>
        <v>hubert.alfaro</v>
      </c>
      <c r="C444" s="5">
        <f>IFERROR(__xludf.DUMMYFUNCTION("""COMPUTED_VALUE"""),45147.51200115741)</f>
        <v>45147.512</v>
      </c>
      <c r="D444" s="5">
        <f>IFERROR(__xludf.DUMMYFUNCTION("""COMPUTED_VALUE"""),45141.0)</f>
        <v>45141</v>
      </c>
      <c r="E444" s="4" t="str">
        <f>IFERROR(__xludf.DUMMYFUNCTION("""COMPUTED_VALUE"""),"micaela.zorzetto@patagoniansys.com")</f>
        <v>micaela.zorzetto@patagoniansys.com</v>
      </c>
      <c r="F444" s="4" t="str">
        <f>IFERROR(__xludf.DUMMYFUNCTION("""COMPUTED_VALUE"""),"hubert.alfaro@patagoniansys.com")</f>
        <v>hubert.alfaro@patagoniansys.com</v>
      </c>
      <c r="G444" s="4" t="str">
        <f>IFERROR(__xludf.DUMMYFUNCTION("""COMPUTED_VALUE"""),"⏱ One on One")</f>
        <v>⏱ One on One</v>
      </c>
      <c r="H444" s="4" t="str">
        <f>IFERROR(__xludf.DUMMYFUNCTION("""COMPUTED_VALUE"""),"🙂 Feliz")</f>
        <v>🙂 Feliz</v>
      </c>
      <c r="I444" s="6" t="str">
        <f>IFERROR(__xludf.DUMMYFUNCTION("""COMPUTED_VALUE"""),"Le pareció interesante la charla que dió Fede, para tener un contexto y entender que esta sucediendo en el rubro y en Patagonian. 
Esta muy bien en el proyecto, con muchas ganas.")</f>
        <v>Le pareció interesante la charla que dió Fede, para tener un contexto y entender que esta sucediendo en el rubro y en Patagonian. 
Esta muy bien en el proyecto, con muchas ganas.</v>
      </c>
      <c r="J444" s="4" t="str">
        <f>IFERROR(__xludf.DUMMYFUNCTION("""COMPUTED_VALUE"""),"PX|Referents|RRHH")</f>
        <v>PX|Referents|RRHH</v>
      </c>
    </row>
    <row r="445" hidden="1">
      <c r="A445" s="4">
        <f>IFERROR(__xludf.DUMMYFUNCTION("""COMPUTED_VALUE"""),82.0)</f>
        <v>82</v>
      </c>
      <c r="B445" s="4" t="str">
        <f>IFERROR(__xludf.DUMMYFUNCTION("""COMPUTED_VALUE"""),"juan.calou")</f>
        <v>juan.calou</v>
      </c>
      <c r="C445" s="5">
        <f>IFERROR(__xludf.DUMMYFUNCTION("""COMPUTED_VALUE"""),45142.4729834375)</f>
        <v>45142.47298</v>
      </c>
      <c r="D445" s="5">
        <f>IFERROR(__xludf.DUMMYFUNCTION("""COMPUTED_VALUE"""),45142.0)</f>
        <v>45142</v>
      </c>
      <c r="E445" s="4" t="str">
        <f>IFERROR(__xludf.DUMMYFUNCTION("""COMPUTED_VALUE"""),"marcela.benavides@patagoniansys.com")</f>
        <v>marcela.benavides@patagoniansys.com</v>
      </c>
      <c r="F445" s="4" t="str">
        <f>IFERROR(__xludf.DUMMYFUNCTION("""COMPUTED_VALUE"""),"juan.calou@patagoniansys.com")</f>
        <v>juan.calou@patagoniansys.com</v>
      </c>
      <c r="G445" s="4" t="str">
        <f>IFERROR(__xludf.DUMMYFUNCTION("""COMPUTED_VALUE"""),"⏱ One on One")</f>
        <v>⏱ One on One</v>
      </c>
      <c r="H445" s="4" t="str">
        <f>IFERROR(__xludf.DUMMYFUNCTION("""COMPUTED_VALUE"""),"😀 Sumamente Feliz")</f>
        <v>😀 Sumamente Feliz</v>
      </c>
      <c r="I445" s="6" t="str">
        <f>IFERROR(__xludf.DUMMYFUNCTION("""COMPUTED_VALUE"""),"Esta pendiente de terminar su certificación de AWS. ")</f>
        <v>Esta pendiente de terminar su certificación de AWS. </v>
      </c>
      <c r="J445" s="4" t="str">
        <f>IFERROR(__xludf.DUMMYFUNCTION("""COMPUTED_VALUE"""),"PX|Referents|RRHH")</f>
        <v>PX|Referents|RRHH</v>
      </c>
    </row>
    <row r="446" hidden="1">
      <c r="A446" s="4">
        <f>IFERROR(__xludf.DUMMYFUNCTION("""COMPUTED_VALUE"""),88.0)</f>
        <v>88</v>
      </c>
      <c r="B446" s="4" t="str">
        <f>IFERROR(__xludf.DUMMYFUNCTION("""COMPUTED_VALUE"""),"andres.bolocco")</f>
        <v>andres.bolocco</v>
      </c>
      <c r="C446" s="5">
        <f>IFERROR(__xludf.DUMMYFUNCTION("""COMPUTED_VALUE"""),45142.61549376158)</f>
        <v>45142.61549</v>
      </c>
      <c r="D446" s="5">
        <f>IFERROR(__xludf.DUMMYFUNCTION("""COMPUTED_VALUE"""),45142.0)</f>
        <v>45142</v>
      </c>
      <c r="E446" s="4" t="str">
        <f>IFERROR(__xludf.DUMMYFUNCTION("""COMPUTED_VALUE"""),"marcela.benavides@patagoniansys.com")</f>
        <v>marcela.benavides@patagoniansys.com</v>
      </c>
      <c r="F446" s="4" t="str">
        <f>IFERROR(__xludf.DUMMYFUNCTION("""COMPUTED_VALUE"""),"andres.bolocco@patagoniansys.com")</f>
        <v>andres.bolocco@patagoniansys.com</v>
      </c>
      <c r="G446" s="4" t="str">
        <f>IFERROR(__xludf.DUMMYFUNCTION("""COMPUTED_VALUE"""),"⏱ One on One")</f>
        <v>⏱ One on One</v>
      </c>
      <c r="H446" s="4" t="str">
        <f>IFERROR(__xludf.DUMMYFUNCTION("""COMPUTED_VALUE"""),"😀 Sumamente Feliz")</f>
        <v>😀 Sumamente Feliz</v>
      </c>
      <c r="I446" s="6" t="str">
        <f>IFERROR(__xludf.DUMMYFUNCTION("""COMPUTED_VALUE"""),"Esta entusiasmado viendo como puede participar demás si llegará a tomar el rol de Lead Engineer en Grapevine, estamos pendientes de unas convesaciones para saber si se daría este cambio. ")</f>
        <v>Esta entusiasmado viendo como puede participar demás si llegará a tomar el rol de Lead Engineer en Grapevine, estamos pendientes de unas convesaciones para saber si se daría este cambio. </v>
      </c>
      <c r="J446" s="4" t="str">
        <f>IFERROR(__xludf.DUMMYFUNCTION("""COMPUTED_VALUE"""),"PX|Referents|RRHH")</f>
        <v>PX|Referents|RRHH</v>
      </c>
    </row>
    <row r="447" hidden="1">
      <c r="A447" s="4">
        <f>IFERROR(__xludf.DUMMYFUNCTION("""COMPUTED_VALUE"""),249.0)</f>
        <v>249</v>
      </c>
      <c r="B447" s="4" t="str">
        <f>IFERROR(__xludf.DUMMYFUNCTION("""COMPUTED_VALUE"""),"nahuel.diaz")</f>
        <v>nahuel.diaz</v>
      </c>
      <c r="C447" s="5">
        <f>IFERROR(__xludf.DUMMYFUNCTION("""COMPUTED_VALUE"""),45147.62432525463)</f>
        <v>45147.62433</v>
      </c>
      <c r="D447" s="5">
        <f>IFERROR(__xludf.DUMMYFUNCTION("""COMPUTED_VALUE"""),45142.0)</f>
        <v>45142</v>
      </c>
      <c r="E447" s="4" t="str">
        <f>IFERROR(__xludf.DUMMYFUNCTION("""COMPUTED_VALUE"""),"micaela.zorzetto@patagoniansys.com")</f>
        <v>micaela.zorzetto@patagoniansys.com</v>
      </c>
      <c r="F447" s="4" t="str">
        <f>IFERROR(__xludf.DUMMYFUNCTION("""COMPUTED_VALUE"""),"nahuel.diaz@patagoniansys.com")</f>
        <v>nahuel.diaz@patagoniansys.com</v>
      </c>
      <c r="G447" s="4" t="str">
        <f>IFERROR(__xludf.DUMMYFUNCTION("""COMPUTED_VALUE"""),"⏱ One on One")</f>
        <v>⏱ One on One</v>
      </c>
      <c r="H447" s="4" t="str">
        <f>IFERROR(__xludf.DUMMYFUNCTION("""COMPUTED_VALUE"""),"🙂 Feliz")</f>
        <v>🙂 Feliz</v>
      </c>
      <c r="I447" s="6" t="str">
        <f>IFERROR(__xludf.DUMMYFUNCTION("""COMPUTED_VALUE"""),"Sigue preocupado porque todavía no tiene ninguna asignación, y ya paso mucho tiempo. 
Mientras tanto esta capacitandose.")</f>
        <v>Sigue preocupado porque todavía no tiene ninguna asignación, y ya paso mucho tiempo. 
Mientras tanto esta capacitandose.</v>
      </c>
      <c r="J447" s="4" t="str">
        <f>IFERROR(__xludf.DUMMYFUNCTION("""COMPUTED_VALUE"""),"PX|Referents|RRHH")</f>
        <v>PX|Referents|RRHH</v>
      </c>
    </row>
    <row r="448" hidden="1">
      <c r="A448" s="4">
        <f>IFERROR(__xludf.DUMMYFUNCTION("""COMPUTED_VALUE"""),201.0)</f>
        <v>201</v>
      </c>
      <c r="B448" s="4" t="str">
        <f>IFERROR(__xludf.DUMMYFUNCTION("""COMPUTED_VALUE"""),"daniel.cardenas")</f>
        <v>daniel.cardenas</v>
      </c>
      <c r="C448" s="5">
        <f>IFERROR(__xludf.DUMMYFUNCTION("""COMPUTED_VALUE"""),45149.5904296875)</f>
        <v>45149.59043</v>
      </c>
      <c r="D448" s="5">
        <f>IFERROR(__xludf.DUMMYFUNCTION("""COMPUTED_VALUE"""),45142.0)</f>
        <v>45142</v>
      </c>
      <c r="E448" s="4" t="str">
        <f>IFERROR(__xludf.DUMMYFUNCTION("""COMPUTED_VALUE"""),"daniela.morales@patagoniansys.com")</f>
        <v>daniela.morales@patagoniansys.com</v>
      </c>
      <c r="F448" s="4" t="str">
        <f>IFERROR(__xludf.DUMMYFUNCTION("""COMPUTED_VALUE"""),"daniel.cardenas@patagoniansys.com")</f>
        <v>daniel.cardenas@patagoniansys.com</v>
      </c>
      <c r="G448" s="4" t="str">
        <f>IFERROR(__xludf.DUMMYFUNCTION("""COMPUTED_VALUE"""),"⏱ One on One")</f>
        <v>⏱ One on One</v>
      </c>
      <c r="H448" s="4" t="str">
        <f>IFERROR(__xludf.DUMMYFUNCTION("""COMPUTED_VALUE"""),"🙂 Feliz")</f>
        <v>🙂 Feliz</v>
      </c>
      <c r="I448" s="6" t="str">
        <f>IFERROR(__xludf.DUMMYFUNCTION("""COMPUTED_VALUE"""),"En general se encuentra tranquilo tras la noticia de la finalización de su proyecto, me cuenta que ha estado estudiando otras tecnologías también y que está abierto a otros stacks. Le gusta mucho su equipo y el equipo de Patagonian en general. Me cuenta t"&amp;"ambién que a pesar de estar un poco preocupado por el contexto actual, está tranquilo de que haya transparencia frente a lineamientos. ")</f>
        <v>En general se encuentra tranquilo tras la noticia de la finalización de su proyecto, me cuenta que ha estado estudiando otras tecnologías también y que está abierto a otros stacks. Le gusta mucho su equipo y el equipo de Patagonian en general. Me cuenta también que a pesar de estar un poco preocupado por el contexto actual, está tranquilo de que haya transparencia frente a lineamientos. </v>
      </c>
      <c r="J448" s="4" t="str">
        <f>IFERROR(__xludf.DUMMYFUNCTION("""COMPUTED_VALUE"""),"PX|Referents|RRHH")</f>
        <v>PX|Referents|RRHH</v>
      </c>
    </row>
    <row r="449" hidden="1">
      <c r="A449" s="4">
        <f>IFERROR(__xludf.DUMMYFUNCTION("""COMPUTED_VALUE"""),204.0)</f>
        <v>204</v>
      </c>
      <c r="B449" s="4" t="str">
        <f>IFERROR(__xludf.DUMMYFUNCTION("""COMPUTED_VALUE"""),"luisa.fernandez")</f>
        <v>luisa.fernandez</v>
      </c>
      <c r="C449" s="5">
        <f>IFERROR(__xludf.DUMMYFUNCTION("""COMPUTED_VALUE"""),45149.59296936343)</f>
        <v>45149.59297</v>
      </c>
      <c r="D449" s="5">
        <f>IFERROR(__xludf.DUMMYFUNCTION("""COMPUTED_VALUE"""),45142.0)</f>
        <v>45142</v>
      </c>
      <c r="E449" s="4" t="str">
        <f>IFERROR(__xludf.DUMMYFUNCTION("""COMPUTED_VALUE"""),"daniela.morales@patagoniansys.com")</f>
        <v>daniela.morales@patagoniansys.com</v>
      </c>
      <c r="F449" s="4" t="str">
        <f>IFERROR(__xludf.DUMMYFUNCTION("""COMPUTED_VALUE"""),"luisa.fernandez@patagoniansys.com")</f>
        <v>luisa.fernandez@patagoniansys.com</v>
      </c>
      <c r="G449" s="4" t="str">
        <f>IFERROR(__xludf.DUMMYFUNCTION("""COMPUTED_VALUE"""),"⏱ One on One")</f>
        <v>⏱ One on One</v>
      </c>
      <c r="H449" s="4" t="str">
        <f>IFERROR(__xludf.DUMMYFUNCTION("""COMPUTED_VALUE"""),"🙂 Feliz")</f>
        <v>🙂 Feliz</v>
      </c>
      <c r="I449" s="6" t="str">
        <f>IFERROR(__xludf.DUMMYFUNCTION("""COMPUTED_VALUE"""),"Me cuenta que en el momento está un poco intranquila debido a la reorganización del equipo de marketing ya que ella estaba trabajando en un proyecto interno para ellos y estaba bastante contenta. Le preocupa también el contexto por el que está atravesando"&amp;" la industria, aunque quedó más tranquila y con una visión más clara después de la charla que hubo. Le gustaría tener más información sobre las asignaciones a proyectos internos y el foco que esto pueda tener en el momento, al igual que sobre los lineamie"&amp;"ntos del bench. ")</f>
        <v>Me cuenta que en el momento está un poco intranquila debido a la reorganización del equipo de marketing ya que ella estaba trabajando en un proyecto interno para ellos y estaba bastante contenta. Le preocupa también el contexto por el que está atravesando la industria, aunque quedó más tranquila y con una visión más clara después de la charla que hubo. Le gustaría tener más información sobre las asignaciones a proyectos internos y el foco que esto pueda tener en el momento, al igual que sobre los lineamientos del bench. </v>
      </c>
      <c r="J449" s="4" t="str">
        <f>IFERROR(__xludf.DUMMYFUNCTION("""COMPUTED_VALUE"""),"PX|Referents|RRHH")</f>
        <v>PX|Referents|RRHH</v>
      </c>
    </row>
    <row r="450">
      <c r="A450" s="4">
        <f>IFERROR(__xludf.DUMMYFUNCTION("""COMPUTED_VALUE"""),316.0)</f>
        <v>316</v>
      </c>
      <c r="B450" s="4" t="str">
        <f>IFERROR(__xludf.DUMMYFUNCTION("""COMPUTED_VALUE"""),"eddie.brenes")</f>
        <v>eddie.brenes</v>
      </c>
      <c r="C450" s="5">
        <f>IFERROR(__xludf.DUMMYFUNCTION("""COMPUTED_VALUE"""),45145.64080862269)</f>
        <v>45145.64081</v>
      </c>
      <c r="D450" s="5">
        <f>IFERROR(__xludf.DUMMYFUNCTION("""COMPUTED_VALUE"""),45145.0)</f>
        <v>45145</v>
      </c>
      <c r="E450" s="4" t="str">
        <f>IFERROR(__xludf.DUMMYFUNCTION("""COMPUTED_VALUE"""),"martin.infante@patagoniansys.com")</f>
        <v>martin.infante@patagoniansys.com</v>
      </c>
      <c r="F450" s="4" t="str">
        <f>IFERROR(__xludf.DUMMYFUNCTION("""COMPUTED_VALUE"""),"eddie.brenes@patagoniansys.com")</f>
        <v>eddie.brenes@patagoniansys.com</v>
      </c>
      <c r="G450" s="4" t="str">
        <f>IFERROR(__xludf.DUMMYFUNCTION("""COMPUTED_VALUE"""),"Initial gathering")</f>
        <v>Initial gathering</v>
      </c>
      <c r="H450" s="4"/>
      <c r="I450" s="6" t="str">
        <f>IFERROR(__xludf.DUMMYFUNCTION("""COMPUTED_VALUE"""),"- Interviewee e-Mail: eddie.brenes@patagoniansys.com
- Project name: Forge
- Project | Role: Data Engineer
- Project | Description: Forge es una empresa que recolecta datos de trading del mercado privado y utiliza cualquier dato que pueda ser de interes l"&amp;"os utiliza para generar productos. Su rol es trabajar con esos datos y distribuirlos al resto de la compania para la toma de decisiones.
- Project | technologies: Snowflake y Python principalmente. Un poco de AWS.
- Happiness in project technology: 😀 Sum"&amp;"amente Feliz
- Project | The best/coolest thing: Se permite experimentar mucho con nuevas tecnologias y el management esta interesado en promover la mejora tecnologia siempre y cuando este bien justificado.
- Project | The worst thing: La empresa no tiene"&amp;" viene modelado los datos (por ejemplo no siempre hay un primary bien identificado) lo que dificulta la deduplicacion de datos.
- Team | TL: Martin Infante
- Team | PX: Marcela Benavidez
- Team | QA: 0
- Team | QA Automation: 👍 Si
- Team | QA | Notes: So"&amp;"lo unit testing por el momento
- Team | UI/UX: 👀 Otra situación
- Team | UI/UX | Notes: No aplica.
- Team | DevOps: 2
- Team | Data Engineer: 5")</f>
        <v>- Interviewee e-Mail: eddie.brenes@patagoniansys.com
- Project name: Forge
- Project | Role: Data Engineer
- Project | Description: Forge es una empresa que recolecta datos de trading del mercado privado y utiliza cualquier dato que pueda ser de interes los utiliza para generar productos. Su rol es trabajar con esos datos y distribuirlos al resto de la compania para la toma de decisiones.
- Project | technologies: Snowflake y Python principalmente. Un poco de AWS.
- Happiness in project technology: 😀 Sumamente Feliz
- Project | The best/coolest thing: Se permite experimentar mucho con nuevas tecnologias y el management esta interesado en promover la mejora tecnologia siempre y cuando este bien justificado.
- Project | The worst thing: La empresa no tiene viene modelado los datos (por ejemplo no siempre hay un primary bien identificado) lo que dificulta la deduplicacion de datos.
- Team | TL: Martin Infante
- Team | PX: Marcela Benavidez
- Team | QA: 0
- Team | QA Automation: 👍 Si
- Team | QA | Notes: Solo unit testing por el momento
- Team | UI/UX: 👀 Otra situación
- Team | UI/UX | Notes: No aplica.
- Team | DevOps: 2
- Team | Data Engineer: 5</v>
      </c>
      <c r="J450" s="4" t="str">
        <f>IFERROR(__xludf.DUMMYFUNCTION("""COMPUTED_VALUE"""),"Tech Referent - Initial gathering")</f>
        <v>Tech Referent - Initial gathering</v>
      </c>
    </row>
    <row r="451" hidden="1">
      <c r="A451" s="4">
        <f>IFERROR(__xludf.DUMMYFUNCTION("""COMPUTED_VALUE"""),256.0)</f>
        <v>256</v>
      </c>
      <c r="B451" s="4" t="str">
        <f>IFERROR(__xludf.DUMMYFUNCTION("""COMPUTED_VALUE"""),"kevin.lopez")</f>
        <v>kevin.lopez</v>
      </c>
      <c r="C451" s="5">
        <f>IFERROR(__xludf.DUMMYFUNCTION("""COMPUTED_VALUE"""),45145.71799305555)</f>
        <v>45145.71799</v>
      </c>
      <c r="D451" s="5">
        <f>IFERROR(__xludf.DUMMYFUNCTION("""COMPUTED_VALUE"""),45145.0)</f>
        <v>45145</v>
      </c>
      <c r="E451" s="4" t="str">
        <f>IFERROR(__xludf.DUMMYFUNCTION("""COMPUTED_VALUE"""),"micaela.zorzetto@patagoniansys.com")</f>
        <v>micaela.zorzetto@patagoniansys.com</v>
      </c>
      <c r="F451" s="4" t="str">
        <f>IFERROR(__xludf.DUMMYFUNCTION("""COMPUTED_VALUE"""),"kevin.lopez@patagoniansys.com")</f>
        <v>kevin.lopez@patagoniansys.com</v>
      </c>
      <c r="G451" s="4" t="str">
        <f>IFERROR(__xludf.DUMMYFUNCTION("""COMPUTED_VALUE"""),"⏱ One on One")</f>
        <v>⏱ One on One</v>
      </c>
      <c r="H451" s="4" t="str">
        <f>IFERROR(__xludf.DUMMYFUNCTION("""COMPUTED_VALUE"""),"😐 Indiferente")</f>
        <v>😐 Indiferente</v>
      </c>
      <c r="I451" s="6" t="str">
        <f>IFERROR(__xludf.DUMMYFUNCTION("""COMPUTED_VALUE"""),"Sigue en Bench, esperando que se reabra el proyecto donde estaba anteriormente. Y ahora esta ayudando en cosas internas de la empresa.")</f>
        <v>Sigue en Bench, esperando que se reabra el proyecto donde estaba anteriormente. Y ahora esta ayudando en cosas internas de la empresa.</v>
      </c>
      <c r="J451" s="4" t="str">
        <f>IFERROR(__xludf.DUMMYFUNCTION("""COMPUTED_VALUE"""),"PX|Referents|RRHH")</f>
        <v>PX|Referents|RRHH</v>
      </c>
    </row>
    <row r="452" hidden="1">
      <c r="A452" s="4">
        <f>IFERROR(__xludf.DUMMYFUNCTION("""COMPUTED_VALUE"""),162.0)</f>
        <v>162</v>
      </c>
      <c r="B452" s="4" t="str">
        <f>IFERROR(__xludf.DUMMYFUNCTION("""COMPUTED_VALUE"""),"cristian.cortes")</f>
        <v>cristian.cortes</v>
      </c>
      <c r="C452" s="5">
        <f>IFERROR(__xludf.DUMMYFUNCTION("""COMPUTED_VALUE"""),45146.595345671296)</f>
        <v>45146.59535</v>
      </c>
      <c r="D452" s="5">
        <f>IFERROR(__xludf.DUMMYFUNCTION("""COMPUTED_VALUE"""),45146.0)</f>
        <v>45146</v>
      </c>
      <c r="E452" s="4" t="str">
        <f>IFERROR(__xludf.DUMMYFUNCTION("""COMPUTED_VALUE"""),"daniela.morales@patagoniansys.com")</f>
        <v>daniela.morales@patagoniansys.com</v>
      </c>
      <c r="F452" s="4" t="str">
        <f>IFERROR(__xludf.DUMMYFUNCTION("""COMPUTED_VALUE"""),"cristian.cortes@patagoniansys.com")</f>
        <v>cristian.cortes@patagoniansys.com</v>
      </c>
      <c r="G452" s="4" t="str">
        <f>IFERROR(__xludf.DUMMYFUNCTION("""COMPUTED_VALUE"""),"⏱ One on One")</f>
        <v>⏱ One on One</v>
      </c>
      <c r="H452" s="4" t="str">
        <f>IFERROR(__xludf.DUMMYFUNCTION("""COMPUTED_VALUE"""),"🙂 Feliz")</f>
        <v>🙂 Feliz</v>
      </c>
      <c r="I452" s="6" t="str">
        <f>IFERROR(__xludf.DUMMYFUNCTION("""COMPUTED_VALUE"""),"En general se encuentra bastante bien, ha estado apoyando un proyecto complejo que lo reta bastante por lo que se siente motivado. Ha estado tranquilo en general, me consultó por las clases de inglés para poder inscribirse e ir practicante, actualmente es"&amp;"tá en búsqueda de una certificación en inglés C1 con cursos externos que está tomando. Me cuenta que le interesaría hacer parte de un proyecto en inglés también para perfeccionar esa habilidad. ")</f>
        <v>En general se encuentra bastante bien, ha estado apoyando un proyecto complejo que lo reta bastante por lo que se siente motivado. Ha estado tranquilo en general, me consultó por las clases de inglés para poder inscribirse e ir practicante, actualmente está en búsqueda de una certificación en inglés C1 con cursos externos que está tomando. Me cuenta que le interesaría hacer parte de un proyecto en inglés también para perfeccionar esa habilidad. </v>
      </c>
      <c r="J452" s="4" t="str">
        <f>IFERROR(__xludf.DUMMYFUNCTION("""COMPUTED_VALUE"""),"PX|Referents|RRHH")</f>
        <v>PX|Referents|RRHH</v>
      </c>
    </row>
    <row r="453">
      <c r="A453" s="4">
        <f>IFERROR(__xludf.DUMMYFUNCTION("""COMPUTED_VALUE"""),282.0)</f>
        <v>282</v>
      </c>
      <c r="B453" s="4" t="str">
        <f>IFERROR(__xludf.DUMMYFUNCTION("""COMPUTED_VALUE"""),"julian.zambroni")</f>
        <v>julian.zambroni</v>
      </c>
      <c r="C453" s="5">
        <f>IFERROR(__xludf.DUMMYFUNCTION("""COMPUTED_VALUE"""),45146.669761087964)</f>
        <v>45146.66976</v>
      </c>
      <c r="D453" s="5">
        <f>IFERROR(__xludf.DUMMYFUNCTION("""COMPUTED_VALUE"""),45146.0)</f>
        <v>45146</v>
      </c>
      <c r="E453" s="4" t="str">
        <f>IFERROR(__xludf.DUMMYFUNCTION("""COMPUTED_VALUE"""),"daniel.mansilla@patagoniansys.com")</f>
        <v>daniel.mansilla@patagoniansys.com</v>
      </c>
      <c r="F453" s="4" t="str">
        <f>IFERROR(__xludf.DUMMYFUNCTION("""COMPUTED_VALUE"""),"julian.zambroni@patagonian.com")</f>
        <v>julian.zambroni@patagonian.com</v>
      </c>
      <c r="G453" s="4" t="str">
        <f>IFERROR(__xludf.DUMMYFUNCTION("""COMPUTED_VALUE"""),"Referent One on One")</f>
        <v>Referent One on One</v>
      </c>
      <c r="H453" s="4"/>
      <c r="I453" s="6" t="str">
        <f>IFERROR(__xludf.DUMMYFUNCTION("""COMPUTED_VALUE"""),"- Interviewee e-Mail: julian.zambroni@patagonian.com
- Project Status Check: Tod está orden. Está cómodo en el proyecto.
- Project Role | Feeling: 4
- Extra Work Hours | Amount: 0 (Ningúna)
- Collaborator | Seniority: 👍 No, es correcto
- Alerts: Nada par"&amp;"a comentar.
- Final notes: Por el momento, está tranquilo y conforme con el proyecto.
- Project Techs | Learning: 0
- Project Techs | Difficulty: 3
- Project Changes | Reasons: 🟰 No hubo cambios
- Project Role | Value: 3
- Project role | Notes: Nada para"&amp;" destacar.")</f>
        <v>- Interviewee e-Mail: julian.zambroni@patagonian.com
- Project Status Check: Tod está orden. Está cómodo en el proyecto.
- Project Role | Feeling: 4
- Extra Work Hours | Amount: 0 (Ningúna)
- Collaborator | Seniority: 👍 No, es correcto
- Alerts: Nada para comentar.
- Final notes: Por el momento, está tranquilo y conforme con el proyecto.
- Project Techs | Learning: 0
- Project Techs | Difficulty: 3
- Project Changes | Reasons: 🟰 No hubo cambios
- Project Role | Value: 3
- Project role | Notes: Nada para destacar.</v>
      </c>
      <c r="J453" s="4" t="str">
        <f>IFERROR(__xludf.DUMMYFUNCTION("""COMPUTED_VALUE"""),"Tech Referent - OneOnOne")</f>
        <v>Tech Referent - OneOnOne</v>
      </c>
    </row>
    <row r="454">
      <c r="A454" s="4">
        <f>IFERROR(__xludf.DUMMYFUNCTION("""COMPUTED_VALUE"""),284.0)</f>
        <v>284</v>
      </c>
      <c r="B454" s="4" t="str">
        <f>IFERROR(__xludf.DUMMYFUNCTION("""COMPUTED_VALUE"""),"emmanuel.trassani")</f>
        <v>emmanuel.trassani</v>
      </c>
      <c r="C454" s="5">
        <f>IFERROR(__xludf.DUMMYFUNCTION("""COMPUTED_VALUE"""),45146.6910898611)</f>
        <v>45146.69109</v>
      </c>
      <c r="D454" s="5">
        <f>IFERROR(__xludf.DUMMYFUNCTION("""COMPUTED_VALUE"""),45146.0)</f>
        <v>45146</v>
      </c>
      <c r="E454" s="4" t="str">
        <f>IFERROR(__xludf.DUMMYFUNCTION("""COMPUTED_VALUE"""),"juan.calou@patagoniansys.com")</f>
        <v>juan.calou@patagoniansys.com</v>
      </c>
      <c r="F454" s="4" t="str">
        <f>IFERROR(__xludf.DUMMYFUNCTION("""COMPUTED_VALUE"""),"emmanuel.trassani@patagoniansys.com")</f>
        <v>emmanuel.trassani@patagoniansys.com</v>
      </c>
      <c r="G454" s="4" t="str">
        <f>IFERROR(__xludf.DUMMYFUNCTION("""COMPUTED_VALUE"""),"Referent One on One")</f>
        <v>Referent One on One</v>
      </c>
      <c r="H454" s="4"/>
      <c r="I454" s="6" t="str">
        <f>IFERROR(__xludf.DUMMYFUNCTION("""COMPUTED_VALUE"""),"- Interviewee e-Mail: emmanuel.trassani@patagoniansys.com
- Project Status Check: muy poco de front porque estamos haciendo mas otras cosas desde el back. Algunas cosas de Amazon.
- Project Role | Feeling: 4
- Extra Work Hours | Amount: 0 (Ningúna)
- Tech"&amp;"s | Research: temas de css
- Techs | Recomendations: https://www.youtube.com/watch?v=AbCYziNyjvk
- Collaborator | Seniority: 👍 No, es correcto
- Alerts: No veo ninguna alerta sobre estos temas
- Project Needs / Oportunities: -
- Final notes: Lo veo bien "&amp;"a Emma. Muy contento con Pata y con su proyecto. Siempre con una mirada positiva y con ganas de aprender.
- Project Techs | Learning: 0
- Project Techs | Difficulty: 3
- Project Changes | Reasons: 🟰 No hubo cambios
- Project Role | Value: 4
- Project rol"&amp;"e | Notes: me gustaria dedicarle un poco mas al front. Vue me gusta mucho.")</f>
        <v>- Interviewee e-Mail: emmanuel.trassani@patagoniansys.com
- Project Status Check: muy poco de front porque estamos haciendo mas otras cosas desde el back. Algunas cosas de Amazon.
- Project Role | Feeling: 4
- Extra Work Hours | Amount: 0 (Ningúna)
- Techs | Research: temas de css
- Techs | Recomendations: https://www.youtube.com/watch?v=AbCYziNyjvk
- Collaborator | Seniority: 👍 No, es correcto
- Alerts: No veo ninguna alerta sobre estos temas
- Project Needs / Oportunities: -
- Final notes: Lo veo bien a Emma. Muy contento con Pata y con su proyecto. Siempre con una mirada positiva y con ganas de aprender.
- Project Techs | Learning: 0
- Project Techs | Difficulty: 3
- Project Changes | Reasons: 🟰 No hubo cambios
- Project Role | Value: 4
- Project role | Notes: me gustaria dedicarle un poco mas al front. Vue me gusta mucho.</v>
      </c>
      <c r="J454" s="4" t="str">
        <f>IFERROR(__xludf.DUMMYFUNCTION("""COMPUTED_VALUE"""),"Tech Referent - OneOnOne")</f>
        <v>Tech Referent - OneOnOne</v>
      </c>
    </row>
    <row r="455">
      <c r="A455" s="4">
        <f>IFERROR(__xludf.DUMMYFUNCTION("""COMPUTED_VALUE"""),315.0)</f>
        <v>315</v>
      </c>
      <c r="B455" s="4" t="str">
        <f>IFERROR(__xludf.DUMMYFUNCTION("""COMPUTED_VALUE"""),"juan.lara")</f>
        <v>juan.lara</v>
      </c>
      <c r="C455" s="5">
        <f>IFERROR(__xludf.DUMMYFUNCTION("""COMPUTED_VALUE"""),45146.72404836806)</f>
        <v>45146.72405</v>
      </c>
      <c r="D455" s="5">
        <f>IFERROR(__xludf.DUMMYFUNCTION("""COMPUTED_VALUE"""),45146.0)</f>
        <v>45146</v>
      </c>
      <c r="E455" s="4" t="str">
        <f>IFERROR(__xludf.DUMMYFUNCTION("""COMPUTED_VALUE"""),"leonardo.buret@patagoniansys.com")</f>
        <v>leonardo.buret@patagoniansys.com</v>
      </c>
      <c r="F455" s="4" t="str">
        <f>IFERROR(__xludf.DUMMYFUNCTION("""COMPUTED_VALUE"""),"juan.lara@patagonian.com")</f>
        <v>juan.lara@patagonian.com</v>
      </c>
      <c r="G455" s="4" t="str">
        <f>IFERROR(__xludf.DUMMYFUNCTION("""COMPUTED_VALUE"""),"Initial gathering")</f>
        <v>Initial gathering</v>
      </c>
      <c r="H455" s="4"/>
      <c r="I455" s="6" t="str">
        <f>IFERROR(__xludf.DUMMYFUNCTION("""COMPUTED_VALUE"""),"- Interviewee e-Mail: juan.lara@patagonian.com
- Project name: SnapClose
- Project | Role: Backend Developer, Frontend Developer
- Project | Description: Generador de secuencia de venta de viviendas. Objetivo facilitar trámites inmobiliarios. Backend de c"&amp;"álculos Impuestos + Préstamos + 
- Project | technologies: .Net 6, Posgress, Docker, REACT, Mongo
- Happiness in project technology: 🙂 Feliz
- Happiness in project technology | Description: Ninguno, está desde 0
- Project | The best/coolest thing: Equipo"&amp;" de Trabajo muy experimentado. Trabajó desde el inicio del proyecto
- Project | The worst thing: No hay un ""Rol"" de Arquitecto y se producen fallas de integración.
- Project | Improvements: Se necesita un Arquitecto que defina 
- Team | TL: Manuel (del "&amp;"lado cliente)
- Team | PX: Hernan Muras
- Team | QA: 1
- Team | QA Automation: 👎 No
- Team | QA | Notes: Solo 1 persona MUY Js. Test manual
- Team | UI/UX: 5
- Team | UI/UX | Notes: Trabaja juntos con ellos
- Team | DevOps: 1
- Team | DevOps | Notes: En "&amp;"la India
- Team | Data Engineer: 0")</f>
        <v>- Interviewee e-Mail: juan.lara@patagonian.com
- Project name: SnapClose
- Project | Role: Backend Developer, Frontend Developer
- Project | Description: Generador de secuencia de venta de viviendas. Objetivo facilitar trámites inmobiliarios. Backend de cálculos Impuestos + Préstamos + 
- Project | technologies: .Net 6, Posgress, Docker, REACT, Mongo
- Happiness in project technology: 🙂 Feliz
- Happiness in project technology | Description: Ninguno, está desde 0
- Project | The best/coolest thing: Equipo de Trabajo muy experimentado. Trabajó desde el inicio del proyecto
- Project | The worst thing: No hay un "Rol" de Arquitecto y se producen fallas de integración.
- Project | Improvements: Se necesita un Arquitecto que defina 
- Team | TL: Manuel (del lado cliente)
- Team | PX: Hernan Muras
- Team | QA: 1
- Team | QA Automation: 👎 No
- Team | QA | Notes: Solo 1 persona MUY Js. Test manual
- Team | UI/UX: 5
- Team | UI/UX | Notes: Trabaja juntos con ellos
- Team | DevOps: 1
- Team | DevOps | Notes: En la India
- Team | Data Engineer: 0</v>
      </c>
      <c r="J455" s="4" t="str">
        <f>IFERROR(__xludf.DUMMYFUNCTION("""COMPUTED_VALUE"""),"Tech Referent - Initial gathering")</f>
        <v>Tech Referent - Initial gathering</v>
      </c>
    </row>
    <row r="456" hidden="1">
      <c r="A456" s="4">
        <f>IFERROR(__xludf.DUMMYFUNCTION("""COMPUTED_VALUE"""),169.0)</f>
        <v>169</v>
      </c>
      <c r="B456" s="4" t="str">
        <f>IFERROR(__xludf.DUMMYFUNCTION("""COMPUTED_VALUE"""),"brayan.barrios")</f>
        <v>brayan.barrios</v>
      </c>
      <c r="C456" s="5">
        <f>IFERROR(__xludf.DUMMYFUNCTION("""COMPUTED_VALUE"""),45146.72891248843)</f>
        <v>45146.72891</v>
      </c>
      <c r="D456" s="5">
        <f>IFERROR(__xludf.DUMMYFUNCTION("""COMPUTED_VALUE"""),45146.0)</f>
        <v>45146</v>
      </c>
      <c r="E456" s="4" t="str">
        <f>IFERROR(__xludf.DUMMYFUNCTION("""COMPUTED_VALUE"""),"daniela.morales@patagoniansys.com")</f>
        <v>daniela.morales@patagoniansys.com</v>
      </c>
      <c r="F456" s="4" t="str">
        <f>IFERROR(__xludf.DUMMYFUNCTION("""COMPUTED_VALUE"""),"brayan.barrios@patagoniansys.com")</f>
        <v>brayan.barrios@patagoniansys.com</v>
      </c>
      <c r="G456" s="4" t="str">
        <f>IFERROR(__xludf.DUMMYFUNCTION("""COMPUTED_VALUE"""),"⏱ One on One")</f>
        <v>⏱ One on One</v>
      </c>
      <c r="H456" s="4" t="str">
        <f>IFERROR(__xludf.DUMMYFUNCTION("""COMPUTED_VALUE"""),"🙂 Feliz")</f>
        <v>🙂 Feliz</v>
      </c>
      <c r="I456" s="6" t="str">
        <f>IFERROR(__xludf.DUMMYFUNCTION("""COMPUTED_VALUE"""),"Me cuenta que últimamente está un poco sobrecargado con cierta carga laboral, ya que su equipo de trabajo no tiene el tiempo suficiente para realizar todas las labores así que él asume las tareas. Además de esto, me cuenta que hace cierto tiempo no obtien"&amp;"e feedback, por lo que se le sugiere pedirlo con las personas respectivas, sin embargo, surge la idea de un tipo de evaluación del proceso que demuestre cómo están las relaciones con otras áreas transversales para saber cómo pueden ir mejorando los proces"&amp;"os, le gustaría que fuera algo más periódico. En general me cuenta que está bastante bien, ha implementado técnicas de manejo del tiempo y está tomando más espacios de focus time.    ")</f>
        <v>Me cuenta que últimamente está un poco sobrecargado con cierta carga laboral, ya que su equipo de trabajo no tiene el tiempo suficiente para realizar todas las labores así que él asume las tareas. Además de esto, me cuenta que hace cierto tiempo no obtiene feedback, por lo que se le sugiere pedirlo con las personas respectivas, sin embargo, surge la idea de un tipo de evaluación del proceso que demuestre cómo están las relaciones con otras áreas transversales para saber cómo pueden ir mejorando los procesos, le gustaría que fuera algo más periódico. En general me cuenta que está bastante bien, ha implementado técnicas de manejo del tiempo y está tomando más espacios de focus time.    </v>
      </c>
      <c r="J456" s="4" t="str">
        <f>IFERROR(__xludf.DUMMYFUNCTION("""COMPUTED_VALUE"""),"PX|Referents|RRHH")</f>
        <v>PX|Referents|RRHH</v>
      </c>
    </row>
    <row r="457" hidden="1">
      <c r="A457" s="4">
        <f>IFERROR(__xludf.DUMMYFUNCTION("""COMPUTED_VALUE"""),277.0)</f>
        <v>277</v>
      </c>
      <c r="B457" s="4" t="str">
        <f>IFERROR(__xludf.DUMMYFUNCTION("""COMPUTED_VALUE"""),"david.risaro")</f>
        <v>david.risaro</v>
      </c>
      <c r="C457" s="5">
        <f>IFERROR(__xludf.DUMMYFUNCTION("""COMPUTED_VALUE"""),45148.72226652777)</f>
        <v>45148.72227</v>
      </c>
      <c r="D457" s="5">
        <f>IFERROR(__xludf.DUMMYFUNCTION("""COMPUTED_VALUE"""),45146.0)</f>
        <v>45146</v>
      </c>
      <c r="E457" s="4" t="str">
        <f>IFERROR(__xludf.DUMMYFUNCTION("""COMPUTED_VALUE"""),"micaela.zorzetto@patagoniansys.com")</f>
        <v>micaela.zorzetto@patagoniansys.com</v>
      </c>
      <c r="F457" s="4" t="str">
        <f>IFERROR(__xludf.DUMMYFUNCTION("""COMPUTED_VALUE"""),"david.risaro@patagoniansys.com")</f>
        <v>david.risaro@patagoniansys.com</v>
      </c>
      <c r="G457" s="4" t="str">
        <f>IFERROR(__xludf.DUMMYFUNCTION("""COMPUTED_VALUE"""),"⏱ One on One")</f>
        <v>⏱ One on One</v>
      </c>
      <c r="H457" s="4" t="str">
        <f>IFERROR(__xludf.DUMMYFUNCTION("""COMPUTED_VALUE"""),"🙂 Feliz")</f>
        <v>🙂 Feliz</v>
      </c>
      <c r="I457" s="6" t="str">
        <f>IFERROR(__xludf.DUMMYFUNCTION("""COMPUTED_VALUE"""),"Fue duro para él la ronda de despidos que hubieron, aunque luego de la charla de Fede entendió el contexto y el porque de esa las decisiones. Esta bien en la empresa, contento en el proyecto y con el equipo.
Me comentó, que espera la devolución de gananc"&amp;"ias que se estableció para este mes. ")</f>
        <v>Fue duro para él la ronda de despidos que hubieron, aunque luego de la charla de Fede entendió el contexto y el porque de esa las decisiones. Esta bien en la empresa, contento en el proyecto y con el equipo.
Me comentó, que espera la devolución de ganancias que se estableció para este mes. </v>
      </c>
      <c r="J457" s="4" t="str">
        <f>IFERROR(__xludf.DUMMYFUNCTION("""COMPUTED_VALUE"""),"PX|Referents|RRHH")</f>
        <v>PX|Referents|RRHH</v>
      </c>
    </row>
    <row r="458">
      <c r="A458" s="4">
        <f>IFERROR(__xludf.DUMMYFUNCTION("""COMPUTED_VALUE"""),234.0)</f>
        <v>234</v>
      </c>
      <c r="B458" s="4" t="str">
        <f>IFERROR(__xludf.DUMMYFUNCTION("""COMPUTED_VALUE"""),"matias.gudar")</f>
        <v>matias.gudar</v>
      </c>
      <c r="C458" s="5">
        <f>IFERROR(__xludf.DUMMYFUNCTION("""COMPUTED_VALUE"""),45147.52757711805)</f>
        <v>45147.52758</v>
      </c>
      <c r="D458" s="5">
        <f>IFERROR(__xludf.DUMMYFUNCTION("""COMPUTED_VALUE"""),45147.0)</f>
        <v>45147</v>
      </c>
      <c r="E458" s="4" t="str">
        <f>IFERROR(__xludf.DUMMYFUNCTION("""COMPUTED_VALUE"""),"martin.infante@patagoniansys.com")</f>
        <v>martin.infante@patagoniansys.com</v>
      </c>
      <c r="F458" s="4" t="str">
        <f>IFERROR(__xludf.DUMMYFUNCTION("""COMPUTED_VALUE"""),"matias.gudar@patagoniansys.com")</f>
        <v>matias.gudar@patagoniansys.com</v>
      </c>
      <c r="G458" s="4" t="str">
        <f>IFERROR(__xludf.DUMMYFUNCTION("""COMPUTED_VALUE"""),"Referent One on One")</f>
        <v>Referent One on One</v>
      </c>
      <c r="H458" s="4"/>
      <c r="I458" s="6" t="str">
        <f>IFERROR(__xludf.DUMMYFUNCTION("""COMPUTED_VALUE"""),"- Interviewee e-Mail: matias.gudar@patagoniansys.com
- Project Changes | Notes: Aumento del equipo: Se agrego una persona nueva del cliente. Es una persona que viene del area de analistas y esta siendo entrenada en la parte tecnica. Es muy predispuesta y "&amp;"suma tener mas contacto con gente del cliente.
Cambio de los objetivos: Esta habiendo muchos cambios de prioridades. Esto no afecta negativamente al equipo pero puede ser algo a observar por posibles reclamos futuros del cliente en caso de que no se final"&amp;"ice todo lo que se plantea ad hoc.
- Project Role | Feeling: 3
- Extra Work Hours | Amount: 0 (Ningúna)
- Techs | Research: Esta haciendo unos cursos sobre conceptos basicos de data para mejorar su base en este area.
Esta preparando una certificacion de A"&amp;"WS.
- Collaborator | Seniority: 👍 No, es correcto
- Alerts: La motivacion puede ser un problema si no aparece trabajo mas interesante para hacer en el mediano plazo. Voy a intentar encontrarle cosas mas interesantes para trabajar.
- Project Needs / Oport"&amp;"unities: El proceso de planing del cliente es largo y engorroso pero a la vez inutil ya que luego no se respeta lo planeado.
- Project Techs | Learning: 1
- Project Techs | Difficulty: 4
- Project Changes | Reasons: ⬆️ Aumento del equipo, 🏁 Cambios en lo"&amp;"s objetivos
- Project Changes | Personal Impact: 3
- Project Role | Value: 4
- Project role | Notes: Por momentos las tareas le resultan poco desafiantes. Entiende que esto puede ser una situacion temporal hasta que se terminen de refinar tareas nuevas.")</f>
        <v>- Interviewee e-Mail: matias.gudar@patagoniansys.com
- Project Changes | Notes: Aumento del equipo: Se agrego una persona nueva del cliente. Es una persona que viene del area de analistas y esta siendo entrenada en la parte tecnica. Es muy predispuesta y suma tener mas contacto con gente del cliente.
Cambio de los objetivos: Esta habiendo muchos cambios de prioridades. Esto no afecta negativamente al equipo pero puede ser algo a observar por posibles reclamos futuros del cliente en caso de que no se finalice todo lo que se plantea ad hoc.
- Project Role | Feeling: 3
- Extra Work Hours | Amount: 0 (Ningúna)
- Techs | Research: Esta haciendo unos cursos sobre conceptos basicos de data para mejorar su base en este area.
Esta preparando una certificacion de AWS.
- Collaborator | Seniority: 👍 No, es correcto
- Alerts: La motivacion puede ser un problema si no aparece trabajo mas interesante para hacer en el mediano plazo. Voy a intentar encontrarle cosas mas interesantes para trabajar.
- Project Needs / Oportunities: El proceso de planing del cliente es largo y engorroso pero a la vez inutil ya que luego no se respeta lo planeado.
- Project Techs | Learning: 1
- Project Techs | Difficulty: 4
- Project Changes | Reasons: ⬆️ Aumento del equipo, 🏁 Cambios en los objetivos
- Project Changes | Personal Impact: 3
- Project Role | Value: 4
- Project role | Notes: Por momentos las tareas le resultan poco desafiantes. Entiende que esto puede ser una situacion temporal hasta que se terminen de refinar tareas nuevas.</v>
      </c>
      <c r="J458" s="4" t="str">
        <f>IFERROR(__xludf.DUMMYFUNCTION("""COMPUTED_VALUE"""),"Tech Referent - OneOnOne")</f>
        <v>Tech Referent - OneOnOne</v>
      </c>
    </row>
    <row r="459">
      <c r="A459" s="4">
        <f>IFERROR(__xludf.DUMMYFUNCTION("""COMPUTED_VALUE"""),183.0)</f>
        <v>183</v>
      </c>
      <c r="B459" s="4" t="str">
        <f>IFERROR(__xludf.DUMMYFUNCTION("""COMPUTED_VALUE"""),"santiago.avila")</f>
        <v>santiago.avila</v>
      </c>
      <c r="C459" s="5">
        <f>IFERROR(__xludf.DUMMYFUNCTION("""COMPUTED_VALUE"""),45147.70892037037)</f>
        <v>45147.70892</v>
      </c>
      <c r="D459" s="5">
        <f>IFERROR(__xludf.DUMMYFUNCTION("""COMPUTED_VALUE"""),45147.0)</f>
        <v>45147</v>
      </c>
      <c r="E459" s="4" t="str">
        <f>IFERROR(__xludf.DUMMYFUNCTION("""COMPUTED_VALUE"""),"martin.castro@patagoniansys.com")</f>
        <v>martin.castro@patagoniansys.com</v>
      </c>
      <c r="F459" s="4" t="str">
        <f>IFERROR(__xludf.DUMMYFUNCTION("""COMPUTED_VALUE"""),"santiago.avila@patagonian.com")</f>
        <v>santiago.avila@patagonian.com</v>
      </c>
      <c r="G459" s="4" t="str">
        <f>IFERROR(__xludf.DUMMYFUNCTION("""COMPUTED_VALUE"""),"Referent One on One")</f>
        <v>Referent One on One</v>
      </c>
      <c r="H459" s="4"/>
      <c r="I459" s="6" t="str">
        <f>IFERROR(__xludf.DUMMYFUNCTION("""COMPUTED_VALUE"""),"- Interviewee e-Mail: santiago.avila@patagonian.com
- Project Status Check: BFA
- Project Changes | Notes: Este equipo tiene más y mejor visibilidad. ""La gente está pendiente de lo que está haciendo este equipo""
- Project Role | Feeling: 5
- Extra Work "&amp;"Hours | Amount: 0 (Ningúna)
- Techs | Research: IA
- Collaborator | Seniority: 👍 No, es correcto
- Project Techs | Learning: 5
- Techs | Research: 30
- Project Techs | Difficulty: 4
- Project Changes | Reasons: Cambio de equipo, sigue siendo dev
- Projec"&amp;"t Changes | Personal Impact: 4
- Project Role | Value: 4
- Project role | Notes: Se siente comodo y siente que tiene valor su trabajo")</f>
        <v>- Interviewee e-Mail: santiago.avila@patagonian.com
- Project Status Check: BFA
- Project Changes | Notes: Este equipo tiene más y mejor visibilidad. "La gente está pendiente de lo que está haciendo este equipo"
- Project Role | Feeling: 5
- Extra Work Hours | Amount: 0 (Ningúna)
- Techs | Research: IA
- Collaborator | Seniority: 👍 No, es correcto
- Project Techs | Learning: 5
- Techs | Research: 30
- Project Techs | Difficulty: 4
- Project Changes | Reasons: Cambio de equipo, sigue siendo dev
- Project Changes | Personal Impact: 4
- Project Role | Value: 4
- Project role | Notes: Se siente comodo y siente que tiene valor su trabajo</v>
      </c>
      <c r="J459" s="4" t="str">
        <f>IFERROR(__xludf.DUMMYFUNCTION("""COMPUTED_VALUE"""),"Tech Referent - OneOnOne")</f>
        <v>Tech Referent - OneOnOne</v>
      </c>
    </row>
    <row r="460">
      <c r="A460" s="4">
        <f>IFERROR(__xludf.DUMMYFUNCTION("""COMPUTED_VALUE"""),283.0)</f>
        <v>283</v>
      </c>
      <c r="B460" s="4" t="str">
        <f>IFERROR(__xludf.DUMMYFUNCTION("""COMPUTED_VALUE"""),"benjamin.bascary")</f>
        <v>benjamin.bascary</v>
      </c>
      <c r="C460" s="5">
        <f>IFERROR(__xludf.DUMMYFUNCTION("""COMPUTED_VALUE"""),45147.71396076389)</f>
        <v>45147.71396</v>
      </c>
      <c r="D460" s="5">
        <f>IFERROR(__xludf.DUMMYFUNCTION("""COMPUTED_VALUE"""),45147.0)</f>
        <v>45147</v>
      </c>
      <c r="E460" s="4" t="str">
        <f>IFERROR(__xludf.DUMMYFUNCTION("""COMPUTED_VALUE"""),"daniel.mansilla@patagoniansys.com")</f>
        <v>daniel.mansilla@patagoniansys.com</v>
      </c>
      <c r="F460" s="4" t="str">
        <f>IFERROR(__xludf.DUMMYFUNCTION("""COMPUTED_VALUE"""),"benjamin.bascary@patagonian.com")</f>
        <v>benjamin.bascary@patagonian.com</v>
      </c>
      <c r="G460" s="4" t="str">
        <f>IFERROR(__xludf.DUMMYFUNCTION("""COMPUTED_VALUE"""),"Referent One on One")</f>
        <v>Referent One on One</v>
      </c>
      <c r="H460" s="4"/>
      <c r="I460" s="6" t="str">
        <f>IFERROR(__xludf.DUMMYFUNCTION("""COMPUTED_VALUE"""),"- Interviewee e-Mail: benjamin.bascary@patagonian.com
- Project Status Check: Sigue en el mismo proyecto. Todo tranquilo por el momento.
- Project Role | Feeling: 3
- Extra Work Hours | Amount: 0 (Ningúna)
- Techs | Research: Está interesado en Data, Mach"&amp;"ine Learning y tecnologías relacionas a IA. Quiere hacer una certificación de Azure asociado a esto.
- Collaborator | Seniority: 👍 No, es correcto
- Alerts: Nada para mencionar.
- Project Techs | Learning: 20
- Project Techs | Difficulty: 3
- Project Cha"&amp;"nges | Reasons: 🟰 No hubo cambios
- Project Role | Value: 4
- Project role | Notes: Debido que a que está trabajando varias secciones en el proyecto, está lidiando con varis tecnologías como son React, NextJs, ReactNative, Python y otros.")</f>
        <v>- Interviewee e-Mail: benjamin.bascary@patagonian.com
- Project Status Check: Sigue en el mismo proyecto. Todo tranquilo por el momento.
- Project Role | Feeling: 3
- Extra Work Hours | Amount: 0 (Ningúna)
- Techs | Research: Está interesado en Data, Machine Learning y tecnologías relacionas a IA. Quiere hacer una certificación de Azure asociado a esto.
- Collaborator | Seniority: 👍 No, es correcto
- Alerts: Nada para mencionar.
- Project Techs | Learning: 20
- Project Techs | Difficulty: 3
- Project Changes | Reasons: 🟰 No hubo cambios
- Project Role | Value: 4
- Project role | Notes: Debido que a que está trabajando varias secciones en el proyecto, está lidiando con varis tecnologías como son React, NextJs, ReactNative, Python y otros.</v>
      </c>
      <c r="J460" s="4" t="str">
        <f>IFERROR(__xludf.DUMMYFUNCTION("""COMPUTED_VALUE"""),"Tech Referent - OneOnOne")</f>
        <v>Tech Referent - OneOnOne</v>
      </c>
    </row>
    <row r="461" hidden="1">
      <c r="A461" s="4">
        <f>IFERROR(__xludf.DUMMYFUNCTION("""COMPUTED_VALUE"""),85.0)</f>
        <v>85</v>
      </c>
      <c r="B461" s="4" t="str">
        <f>IFERROR(__xludf.DUMMYFUNCTION("""COMPUTED_VALUE"""),"camila.maron")</f>
        <v>camila.maron</v>
      </c>
      <c r="C461" s="5">
        <f>IFERROR(__xludf.DUMMYFUNCTION("""COMPUTED_VALUE"""),45148.68413724537)</f>
        <v>45148.68414</v>
      </c>
      <c r="D461" s="5">
        <f>IFERROR(__xludf.DUMMYFUNCTION("""COMPUTED_VALUE"""),45147.0)</f>
        <v>45147</v>
      </c>
      <c r="E461" s="4" t="str">
        <f>IFERROR(__xludf.DUMMYFUNCTION("""COMPUTED_VALUE"""),"micaela.zorzetto@patagoniansys.com")</f>
        <v>micaela.zorzetto@patagoniansys.com</v>
      </c>
      <c r="F461" s="4" t="str">
        <f>IFERROR(__xludf.DUMMYFUNCTION("""COMPUTED_VALUE"""),"camila.maron@patagoniansys.com")</f>
        <v>camila.maron@patagoniansys.com</v>
      </c>
      <c r="G461" s="4" t="str">
        <f>IFERROR(__xludf.DUMMYFUNCTION("""COMPUTED_VALUE"""),"⏱ One on One")</f>
        <v>⏱ One on One</v>
      </c>
      <c r="H461" s="4" t="str">
        <f>IFERROR(__xludf.DUMMYFUNCTION("""COMPUTED_VALUE"""),"🙂 Feliz")</f>
        <v>🙂 Feliz</v>
      </c>
      <c r="I461" s="6" t="str">
        <f>IFERROR(__xludf.DUMMYFUNCTION("""COMPUTED_VALUE"""),"Estan trabajando en el rediseño del proyecto y utilizando tecnologías nuevas. Esta muy contenta con esto, ya que aprende cosas nuevas y la lleva a investigar.")</f>
        <v>Estan trabajando en el rediseño del proyecto y utilizando tecnologías nuevas. Esta muy contenta con esto, ya que aprende cosas nuevas y la lleva a investigar.</v>
      </c>
      <c r="J461" s="4" t="str">
        <f>IFERROR(__xludf.DUMMYFUNCTION("""COMPUTED_VALUE"""),"PX|Referents|RRHH")</f>
        <v>PX|Referents|RRHH</v>
      </c>
    </row>
    <row r="462" hidden="1">
      <c r="A462" s="4">
        <f>IFERROR(__xludf.DUMMYFUNCTION("""COMPUTED_VALUE"""),279.0)</f>
        <v>279</v>
      </c>
      <c r="B462" s="4" t="str">
        <f>IFERROR(__xludf.DUMMYFUNCTION("""COMPUTED_VALUE"""),"emerson.pereira")</f>
        <v>emerson.pereira</v>
      </c>
      <c r="C462" s="5">
        <f>IFERROR(__xludf.DUMMYFUNCTION("""COMPUTED_VALUE"""),45148.73601869213)</f>
        <v>45148.73602</v>
      </c>
      <c r="D462" s="5">
        <f>IFERROR(__xludf.DUMMYFUNCTION("""COMPUTED_VALUE"""),45147.0)</f>
        <v>45147</v>
      </c>
      <c r="E462" s="4" t="str">
        <f>IFERROR(__xludf.DUMMYFUNCTION("""COMPUTED_VALUE"""),"micaela.zorzetto@patagoniansys.com")</f>
        <v>micaela.zorzetto@patagoniansys.com</v>
      </c>
      <c r="F462" s="4" t="str">
        <f>IFERROR(__xludf.DUMMYFUNCTION("""COMPUTED_VALUE"""),"emerson.pereira@patagoniansys.com")</f>
        <v>emerson.pereira@patagoniansys.com</v>
      </c>
      <c r="G462" s="4" t="str">
        <f>IFERROR(__xludf.DUMMYFUNCTION("""COMPUTED_VALUE"""),"⏱ One on One")</f>
        <v>⏱ One on One</v>
      </c>
      <c r="H462" s="4" t="str">
        <f>IFERROR(__xludf.DUMMYFUNCTION("""COMPUTED_VALUE"""),"🙂 Feliz")</f>
        <v>🙂 Feliz</v>
      </c>
      <c r="I462" s="6" t="str">
        <f>IFERROR(__xludf.DUMMYFUNCTION("""COMPUTED_VALUE"""),"En el proyecto esta bien y se siente cómodo en la empresa con la cultura que tiene.
Con su PM (Marcela) esta bien, tienen buena comunicación. ")</f>
        <v>En el proyecto esta bien y se siente cómodo en la empresa con la cultura que tiene.
Con su PM (Marcela) esta bien, tienen buena comunicación. </v>
      </c>
      <c r="J462" s="4" t="str">
        <f>IFERROR(__xludf.DUMMYFUNCTION("""COMPUTED_VALUE"""),"PX|Referents|RRHH")</f>
        <v>PX|Referents|RRHH</v>
      </c>
    </row>
    <row r="463" hidden="1">
      <c r="A463" s="4">
        <f>IFERROR(__xludf.DUMMYFUNCTION("""COMPUTED_VALUE"""),237.0)</f>
        <v>237</v>
      </c>
      <c r="B463" s="4" t="str">
        <f>IFERROR(__xludf.DUMMYFUNCTION("""COMPUTED_VALUE"""),"patrick.figueroa")</f>
        <v>patrick.figueroa</v>
      </c>
      <c r="C463" s="5">
        <f>IFERROR(__xludf.DUMMYFUNCTION("""COMPUTED_VALUE"""),45148.76051530092)</f>
        <v>45148.76052</v>
      </c>
      <c r="D463" s="5">
        <f>IFERROR(__xludf.DUMMYFUNCTION("""COMPUTED_VALUE"""),45147.0)</f>
        <v>45147</v>
      </c>
      <c r="E463" s="4" t="str">
        <f>IFERROR(__xludf.DUMMYFUNCTION("""COMPUTED_VALUE"""),"micaela.zorzetto@patagoniansys.com")</f>
        <v>micaela.zorzetto@patagoniansys.com</v>
      </c>
      <c r="F463" s="4" t="str">
        <f>IFERROR(__xludf.DUMMYFUNCTION("""COMPUTED_VALUE"""),"patrick.figueroa@patagoniansys.com")</f>
        <v>patrick.figueroa@patagoniansys.com</v>
      </c>
      <c r="G463" s="4" t="str">
        <f>IFERROR(__xludf.DUMMYFUNCTION("""COMPUTED_VALUE"""),"⏱ One on One")</f>
        <v>⏱ One on One</v>
      </c>
      <c r="H463" s="4" t="str">
        <f>IFERROR(__xludf.DUMMYFUNCTION("""COMPUTED_VALUE"""),"🙂 Feliz")</f>
        <v>🙂 Feliz</v>
      </c>
      <c r="I463" s="6" t="str">
        <f>IFERROR(__xludf.DUMMYFUNCTION("""COMPUTED_VALUE"""),"Esta bien en el proyecto, hoy esta liderando el proyecto y se siente cómodo. 
Esta interesado en avanzar con el plan de carrera.
Con Hernán se lleva muy bien, lo ayudo mucho a prepararse para hacer las cosas en el proyecto.")</f>
        <v>Esta bien en el proyecto, hoy esta liderando el proyecto y se siente cómodo. 
Esta interesado en avanzar con el plan de carrera.
Con Hernán se lleva muy bien, lo ayudo mucho a prepararse para hacer las cosas en el proyecto.</v>
      </c>
      <c r="J463" s="4" t="str">
        <f>IFERROR(__xludf.DUMMYFUNCTION("""COMPUTED_VALUE"""),"PX|Referents|RRHH")</f>
        <v>PX|Referents|RRHH</v>
      </c>
    </row>
    <row r="464" hidden="1">
      <c r="A464" s="4">
        <f>IFERROR(__xludf.DUMMYFUNCTION("""COMPUTED_VALUE"""),183.0)</f>
        <v>183</v>
      </c>
      <c r="B464" s="4" t="str">
        <f>IFERROR(__xludf.DUMMYFUNCTION("""COMPUTED_VALUE"""),"santiago.avila")</f>
        <v>santiago.avila</v>
      </c>
      <c r="C464" s="5">
        <f>IFERROR(__xludf.DUMMYFUNCTION("""COMPUTED_VALUE"""),45149.45721731482)</f>
        <v>45149.45722</v>
      </c>
      <c r="D464" s="5">
        <f>IFERROR(__xludf.DUMMYFUNCTION("""COMPUTED_VALUE"""),45147.0)</f>
        <v>45147</v>
      </c>
      <c r="E464" s="4" t="str">
        <f>IFERROR(__xludf.DUMMYFUNCTION("""COMPUTED_VALUE"""),"jesica.petrauskas@patagoniansys.com")</f>
        <v>jesica.petrauskas@patagoniansys.com</v>
      </c>
      <c r="F464" s="4" t="str">
        <f>IFERROR(__xludf.DUMMYFUNCTION("""COMPUTED_VALUE"""),"santiago.avila@patagoniansys.com")</f>
        <v>santiago.avila@patagoniansys.com</v>
      </c>
      <c r="G464" s="4" t="str">
        <f>IFERROR(__xludf.DUMMYFUNCTION("""COMPUTED_VALUE"""),"⏱ One on One")</f>
        <v>⏱ One on One</v>
      </c>
      <c r="H464" s="4" t="str">
        <f>IFERROR(__xludf.DUMMYFUNCTION("""COMPUTED_VALUE"""),"🙂 Feliz")</f>
        <v>🙂 Feliz</v>
      </c>
      <c r="I464" s="6" t="str">
        <f>IFERROR(__xludf.DUMMYFUNCTION("""COMPUTED_VALUE"""),"Con el proyecto nuevo de BFA bien, sólo que es un poco más lento que el proyecto anterior que compartía con E.Bonilla. En general bien con Patagonian, recibió el invite para el career path pero no sabe bien cómo es eso. Le expliqué de que se trata pero es"&amp;" algo que tiene que ver con el referente técnico. A las reuniones 1:1 con el referente no les ve mucho sentido, comenta que tuvo sólo 1 y que no sabían bien para qué era.")</f>
        <v>Con el proyecto nuevo de BFA bien, sólo que es un poco más lento que el proyecto anterior que compartía con E.Bonilla. En general bien con Patagonian, recibió el invite para el career path pero no sabe bien cómo es eso. Le expliqué de que se trata pero es algo que tiene que ver con el referente técnico. A las reuniones 1:1 con el referente no les ve mucho sentido, comenta que tuvo sólo 1 y que no sabían bien para qué era.</v>
      </c>
      <c r="J464" s="4" t="str">
        <f>IFERROR(__xludf.DUMMYFUNCTION("""COMPUTED_VALUE"""),"PX|Referents|RRHH")</f>
        <v>PX|Referents|RRHH</v>
      </c>
    </row>
    <row r="465" hidden="1">
      <c r="A465" s="4">
        <f>IFERROR(__xludf.DUMMYFUNCTION("""COMPUTED_VALUE"""),224.0)</f>
        <v>224</v>
      </c>
      <c r="B465" s="4" t="str">
        <f>IFERROR(__xludf.DUMMYFUNCTION("""COMPUTED_VALUE"""),"luciano.fuentes")</f>
        <v>luciano.fuentes</v>
      </c>
      <c r="C465" s="5">
        <f>IFERROR(__xludf.DUMMYFUNCTION("""COMPUTED_VALUE"""),45162.68584542824)</f>
        <v>45162.68585</v>
      </c>
      <c r="D465" s="5">
        <f>IFERROR(__xludf.DUMMYFUNCTION("""COMPUTED_VALUE"""),45147.0)</f>
        <v>45147</v>
      </c>
      <c r="E465" s="4" t="str">
        <f>IFERROR(__xludf.DUMMYFUNCTION("""COMPUTED_VALUE"""),"sebastian.charre@patagoniansys.com")</f>
        <v>sebastian.charre@patagoniansys.com</v>
      </c>
      <c r="F465" s="4" t="str">
        <f>IFERROR(__xludf.DUMMYFUNCTION("""COMPUTED_VALUE"""),"luciano.fuentes@patagoniansys.com")</f>
        <v>luciano.fuentes@patagoniansys.com</v>
      </c>
      <c r="G465" s="4" t="str">
        <f>IFERROR(__xludf.DUMMYFUNCTION("""COMPUTED_VALUE"""),"⏱ One on One")</f>
        <v>⏱ One on One</v>
      </c>
      <c r="H465" s="4" t="str">
        <f>IFERROR(__xludf.DUMMYFUNCTION("""COMPUTED_VALUE"""),"🙂 Feliz")</f>
        <v>🙂 Feliz</v>
      </c>
      <c r="I465" s="6" t="str">
        <f>IFERROR(__xludf.DUMMYFUNCTION("""COMPUTED_VALUE"""),"Luciano continúa liderando el eequipo. se lo involucró en el Account Planning y realizó un buen trabajo, metiendose de lleno en tareas que no son necesariamente de un developer, sino que ayuda al desarrollo de la cuenta. Con respecto al proyecto está cont"&amp;"ento y mantiene excelente relación con compañeros y cliente")</f>
        <v>Luciano continúa liderando el eequipo. se lo involucró en el Account Planning y realizó un buen trabajo, metiendose de lleno en tareas que no son necesariamente de un developer, sino que ayuda al desarrollo de la cuenta. Con respecto al proyecto está contento y mantiene excelente relación con compañeros y cliente</v>
      </c>
      <c r="J465" s="4" t="str">
        <f>IFERROR(__xludf.DUMMYFUNCTION("""COMPUTED_VALUE"""),"PX|Referents|RRHH")</f>
        <v>PX|Referents|RRHH</v>
      </c>
    </row>
    <row r="466" hidden="1">
      <c r="A466" s="4">
        <f>IFERROR(__xludf.DUMMYFUNCTION("""COMPUTED_VALUE"""),177.0)</f>
        <v>177</v>
      </c>
      <c r="B466" s="4" t="str">
        <f>IFERROR(__xludf.DUMMYFUNCTION("""COMPUTED_VALUE"""),"juan.marin")</f>
        <v>juan.marin</v>
      </c>
      <c r="C466" s="5">
        <f>IFERROR(__xludf.DUMMYFUNCTION("""COMPUTED_VALUE"""),45148.582107256945)</f>
        <v>45148.58211</v>
      </c>
      <c r="D466" s="5">
        <f>IFERROR(__xludf.DUMMYFUNCTION("""COMPUTED_VALUE"""),45148.0)</f>
        <v>45148</v>
      </c>
      <c r="E466" s="4" t="str">
        <f>IFERROR(__xludf.DUMMYFUNCTION("""COMPUTED_VALUE"""),"daniela.morales@patagoniansys.com")</f>
        <v>daniela.morales@patagoniansys.com</v>
      </c>
      <c r="F466" s="4" t="str">
        <f>IFERROR(__xludf.DUMMYFUNCTION("""COMPUTED_VALUE"""),"juan.marin@patagoniansys.com")</f>
        <v>juan.marin@patagoniansys.com</v>
      </c>
      <c r="G466" s="4" t="str">
        <f>IFERROR(__xludf.DUMMYFUNCTION("""COMPUTED_VALUE"""),"⏱ One on One")</f>
        <v>⏱ One on One</v>
      </c>
      <c r="H466" s="4" t="str">
        <f>IFERROR(__xludf.DUMMYFUNCTION("""COMPUTED_VALUE"""),"🙂 Feliz")</f>
        <v>🙂 Feliz</v>
      </c>
      <c r="I466" s="6" t="str">
        <f>IFERROR(__xludf.DUMMYFUNCTION("""COMPUTED_VALUE"""),"En general se encuentra bien con el proyecto en el que está, ha avanzado con algunas certificaciones. Sin embargo, me cuenta que se siente un poco intranquilo por el tema de los despidos, aunque le parece que la charla que se dio para esto fue bastante bu"&amp;"ena y objetiva. Me cuenta que puntualmente le preocupa que algún tipo de despido lo toque a él y que no se avise con antelación para un mejor offboarding. Por otro lado, me cuenta que ha recibido y pedido más feedback a su TL, sin embargo este le brinda m"&amp;"ás bien sugerencias puntuales. ")</f>
        <v>En general se encuentra bien con el proyecto en el que está, ha avanzado con algunas certificaciones. Sin embargo, me cuenta que se siente un poco intranquilo por el tema de los despidos, aunque le parece que la charla que se dio para esto fue bastante buena y objetiva. Me cuenta que puntualmente le preocupa que algún tipo de despido lo toque a él y que no se avise con antelación para un mejor offboarding. Por otro lado, me cuenta que ha recibido y pedido más feedback a su TL, sin embargo este le brinda más bien sugerencias puntuales. </v>
      </c>
      <c r="J466" s="4" t="str">
        <f>IFERROR(__xludf.DUMMYFUNCTION("""COMPUTED_VALUE"""),"PX|Referents|RRHH")</f>
        <v>PX|Referents|RRHH</v>
      </c>
    </row>
    <row r="467" hidden="1">
      <c r="A467" s="4">
        <f>IFERROR(__xludf.DUMMYFUNCTION("""COMPUTED_VALUE"""),247.0)</f>
        <v>247</v>
      </c>
      <c r="B467" s="4" t="str">
        <f>IFERROR(__xludf.DUMMYFUNCTION("""COMPUTED_VALUE"""),"isabel.yepes")</f>
        <v>isabel.yepes</v>
      </c>
      <c r="C467" s="5">
        <f>IFERROR(__xludf.DUMMYFUNCTION("""COMPUTED_VALUE"""),45148.61952366898)</f>
        <v>45148.61952</v>
      </c>
      <c r="D467" s="5">
        <f>IFERROR(__xludf.DUMMYFUNCTION("""COMPUTED_VALUE"""),45148.0)</f>
        <v>45148</v>
      </c>
      <c r="E467" s="4" t="str">
        <f>IFERROR(__xludf.DUMMYFUNCTION("""COMPUTED_VALUE"""),"daniela.morales@patagoniansys.com")</f>
        <v>daniela.morales@patagoniansys.com</v>
      </c>
      <c r="F467" s="4" t="str">
        <f>IFERROR(__xludf.DUMMYFUNCTION("""COMPUTED_VALUE"""),"isabel.yepes@patagoniansys.com")</f>
        <v>isabel.yepes@patagoniansys.com</v>
      </c>
      <c r="G467" s="4" t="str">
        <f>IFERROR(__xludf.DUMMYFUNCTION("""COMPUTED_VALUE"""),"⏱ One on One")</f>
        <v>⏱ One on One</v>
      </c>
      <c r="H467" s="4" t="str">
        <f>IFERROR(__xludf.DUMMYFUNCTION("""COMPUTED_VALUE"""),"🙂 Feliz")</f>
        <v>🙂 Feliz</v>
      </c>
      <c r="I467" s="6" t="str">
        <f>IFERROR(__xludf.DUMMYFUNCTION("""COMPUTED_VALUE"""),"En general se encuentra bien, me cuenta que el proyecto ha ido avanzando de a pocos y que ahora pueden ver las mejoras que se han dado. Sigue con bastante carga laboral pero ya es más manejable y le ha servido priorizar en conjunto con el PM y el equipo l"&amp;"as tareas. Me cuenta que le gustaría ver el tema de recategorización debido a que sus tareas y su rol han crecido últimamente. ")</f>
        <v>En general se encuentra bien, me cuenta que el proyecto ha ido avanzando de a pocos y que ahora pueden ver las mejoras que se han dado. Sigue con bastante carga laboral pero ya es más manejable y le ha servido priorizar en conjunto con el PM y el equipo las tareas. Me cuenta que le gustaría ver el tema de recategorización debido a que sus tareas y su rol han crecido últimamente. </v>
      </c>
      <c r="J467" s="4" t="str">
        <f>IFERROR(__xludf.DUMMYFUNCTION("""COMPUTED_VALUE"""),"PX|Referents|RRHH")</f>
        <v>PX|Referents|RRHH</v>
      </c>
    </row>
    <row r="468">
      <c r="A468" s="4">
        <f>IFERROR(__xludf.DUMMYFUNCTION("""COMPUTED_VALUE"""),153.0)</f>
        <v>153</v>
      </c>
      <c r="B468" s="4" t="str">
        <f>IFERROR(__xludf.DUMMYFUNCTION("""COMPUTED_VALUE"""),"david.zuluaga")</f>
        <v>david.zuluaga</v>
      </c>
      <c r="C468" s="5">
        <f>IFERROR(__xludf.DUMMYFUNCTION("""COMPUTED_VALUE"""),45148.679076608794)</f>
        <v>45148.67908</v>
      </c>
      <c r="D468" s="5">
        <f>IFERROR(__xludf.DUMMYFUNCTION("""COMPUTED_VALUE"""),45148.0)</f>
        <v>45148</v>
      </c>
      <c r="E468" s="4" t="str">
        <f>IFERROR(__xludf.DUMMYFUNCTION("""COMPUTED_VALUE"""),"martin.castro@patagoniansys.com")</f>
        <v>martin.castro@patagoniansys.com</v>
      </c>
      <c r="F468" s="4" t="str">
        <f>IFERROR(__xludf.DUMMYFUNCTION("""COMPUTED_VALUE"""),"david.zuluaga@patagoniansys.com")</f>
        <v>david.zuluaga@patagoniansys.com</v>
      </c>
      <c r="G468" s="4" t="str">
        <f>IFERROR(__xludf.DUMMYFUNCTION("""COMPUTED_VALUE"""),"Initial gathering")</f>
        <v>Initial gathering</v>
      </c>
      <c r="H468" s="4"/>
      <c r="I468" s="6" t="str">
        <f>IFERROR(__xludf.DUMMYFUNCTION("""COMPUTED_VALUE"""),"- Interviewee e-Mail: david.zuluaga@patagoniansys.com
- Project name: Eythena
- Project | Role: Backend Developer
- Project | Description: App para ""controlar el glaucoma del ojo"". Te ayuda a guardar medicamentos, perfiles médicos, alertas para recordar"&amp;" medicación etc
- Project | technologies: git, javascript, nodejs, azure function, reactNative, firebase.
- Happiness in project technology: 🙂 Feliz
- Happiness in project technology | Description: Instalación del repo - Es un monorepo
- Project | The be"&amp;"st/coolest thing: Las tecnologías. Las azufe functions
- Project | The worst thing: Es muy nuevo, está hace 2 semanas y no sabe describir
- Project | Improvements: Hacer algo para que descargar las dependencias sea mas fácil
- Team | TL: Ernesto Parada
- "&amp;"Team | PX: Jesica Petrouscas
- Team | QA: 1
- Team | QA Automation: 👎 No
- Team | QA | Notes: Galo es el QA
- Team | UI/UX: 0
- Team | DevOps: 1
- Team | DevOps | Notes: Juan David Martinez
- Team | Data Engineer: 0")</f>
        <v>- Interviewee e-Mail: david.zuluaga@patagoniansys.com
- Project name: Eythena
- Project | Role: Backend Developer
- Project | Description: App para "controlar el glaucoma del ojo". Te ayuda a guardar medicamentos, perfiles médicos, alertas para recordar medicación etc
- Project | technologies: git, javascript, nodejs, azure function, reactNative, firebase.
- Happiness in project technology: 🙂 Feliz
- Happiness in project technology | Description: Instalación del repo - Es un monorepo
- Project | The best/coolest thing: Las tecnologías. Las azufe functions
- Project | The worst thing: Es muy nuevo, está hace 2 semanas y no sabe describir
- Project | Improvements: Hacer algo para que descargar las dependencias sea mas fácil
- Team | TL: Ernesto Parada
- Team | PX: Jesica Petrouscas
- Team | QA: 1
- Team | QA Automation: 👎 No
- Team | QA | Notes: Galo es el QA
- Team | UI/UX: 0
- Team | DevOps: 1
- Team | DevOps | Notes: Juan David Martinez
- Team | Data Engineer: 0</v>
      </c>
      <c r="J468" s="4" t="str">
        <f>IFERROR(__xludf.DUMMYFUNCTION("""COMPUTED_VALUE"""),"Tech Referent - Initial gathering")</f>
        <v>Tech Referent - Initial gathering</v>
      </c>
    </row>
    <row r="469">
      <c r="A469" s="4">
        <f>IFERROR(__xludf.DUMMYFUNCTION("""COMPUTED_VALUE"""),332.0)</f>
        <v>332</v>
      </c>
      <c r="B469" s="4" t="str">
        <f>IFERROR(__xludf.DUMMYFUNCTION("""COMPUTED_VALUE"""),"jose.rodriguez")</f>
        <v>jose.rodriguez</v>
      </c>
      <c r="C469" s="5">
        <f>IFERROR(__xludf.DUMMYFUNCTION("""COMPUTED_VALUE"""),45148.7476125)</f>
        <v>45148.74761</v>
      </c>
      <c r="D469" s="5">
        <f>IFERROR(__xludf.DUMMYFUNCTION("""COMPUTED_VALUE"""),45148.0)</f>
        <v>45148</v>
      </c>
      <c r="E469" s="4" t="str">
        <f>IFERROR(__xludf.DUMMYFUNCTION("""COMPUTED_VALUE"""),"julio.sirera@patagoniansys.com")</f>
        <v>julio.sirera@patagoniansys.com</v>
      </c>
      <c r="F469" s="4" t="str">
        <f>IFERROR(__xludf.DUMMYFUNCTION("""COMPUTED_VALUE"""),"jose.rodriguez@patagonian.com")</f>
        <v>jose.rodriguez@patagonian.com</v>
      </c>
      <c r="G469" s="4" t="str">
        <f>IFERROR(__xludf.DUMMYFUNCTION("""COMPUTED_VALUE"""),"Referent One on One")</f>
        <v>Referent One on One</v>
      </c>
      <c r="H469" s="4"/>
      <c r="I469" s="6" t="str">
        <f>IFERROR(__xludf.DUMMYFUNCTION("""COMPUTED_VALUE"""),"- Interviewee e-Mail: jose.rodriguez@patagonian.com
- Project Status Check: Primera reunion - Orpheus (intuitive). 
- Project Changes | Notes: No hubieron perturbaciones en su puesto/rol ya que al trabajar todos en proyectos internos distintos no han habi"&amp;"do cambios en sus tareas
- Project Role | Feeling: 4
- Extra Work Hours | Amount: 1 - 5 (Entre 1 y 5)
- Extra Work Hours | Reason: 💁‍♂️ Pedido del PM, cliente o proyecto, 🏁 Deadlines próximas e inamovibles, 🙋Decisión propia
- Techs | Research: Esta vie"&amp;"ndo temas relacionado con codificar y automatizar es algo que le gusta hacer, y se esta especializando en SQL para estar al nivel que el cliente espera
- Techs | Recomendations: Lo recomende 2 sitios muy buenos tapa aprender data analysis y automatizacion"&amp;" en diferentes lenguajes:
https://testautomationu.applitools.com/
https://www.freecodecamp.org/
- Techs | Recomendations check: primera reunion
- Collaborator | Seniority: 👍 No, es correcto
- Alerts: no hay banderas que levantar en torno a estos topicos
"&amp;"- Project Needs / Oportunities: por ahora los temas que podrian ayudar a crecer la cuenta el cliente los maneja con hermetismo y solo baja las tareas a realizar, mas alla de reuniones mas grupales que se realizan
- Final notes: N/A
- Project Techs | Learn"&amp;"ing: 0
- Techs | Research: 0
- Project Techs | Difficulty: 5
- Project Changes | Reasons: ⬆️ Aumento del equipo, El entro hace 3 meses, y eran 2 o 3, desde entonces hasta ahora son 7 personas trabajando en equipos distintos del cliente.
- Project Changes "&amp;"| Personal Impact: 3
- Project Role | Value: 4
- Project role | Notes: Le gusta lo que esta haciendo, sobre todo estaba buscando cierta calma tecnica que le da este cliente, a pesar de venir de implementaciones de codigo en experiencias pasadas. No le ""d"&amp;"esagrada"" (en sus palabras) estar haciendo validaciones funcionales de datos.")</f>
        <v>- Interviewee e-Mail: jose.rodriguez@patagonian.com
- Project Status Check: Primera reunion - Orpheus (intuitive). 
- Project Changes | Notes: No hubieron perturbaciones en su puesto/rol ya que al trabajar todos en proyectos internos distintos no han habido cambios en sus tareas
- Project Role | Feeling: 4
- Extra Work Hours | Amount: 1 - 5 (Entre 1 y 5)
- Extra Work Hours | Reason: 💁‍♂️ Pedido del PM, cliente o proyecto, 🏁 Deadlines próximas e inamovibles, 🙋Decisión propia
- Techs | Research: Esta viendo temas relacionado con codificar y automatizar es algo que le gusta hacer, y se esta especializando en SQL para estar al nivel que el cliente espera
- Techs | Recomendations: Lo recomende 2 sitios muy buenos tapa aprender data analysis y automatizacion en diferentes lenguajes:
https://testautomationu.applitools.com/
https://www.freecodecamp.org/
- Techs | Recomendations check: primera reunion
- Collaborator | Seniority: 👍 No, es correcto
- Alerts: no hay banderas que levantar en torno a estos topicos
- Project Needs / Oportunities: por ahora los temas que podrian ayudar a crecer la cuenta el cliente los maneja con hermetismo y solo baja las tareas a realizar, mas alla de reuniones mas grupales que se realizan
- Final notes: N/A
- Project Techs | Learning: 0
- Techs | Research: 0
- Project Techs | Difficulty: 5
- Project Changes | Reasons: ⬆️ Aumento del equipo, El entro hace 3 meses, y eran 2 o 3, desde entonces hasta ahora son 7 personas trabajando en equipos distintos del cliente.
- Project Changes | Personal Impact: 3
- Project Role | Value: 4
- Project role | Notes: Le gusta lo que esta haciendo, sobre todo estaba buscando cierta calma tecnica que le da este cliente, a pesar de venir de implementaciones de codigo en experiencias pasadas. No le "desagrada" (en sus palabras) estar haciendo validaciones funcionales de datos.</v>
      </c>
      <c r="J469" s="4" t="str">
        <f>IFERROR(__xludf.DUMMYFUNCTION("""COMPUTED_VALUE"""),"Tech Referent - OneOnOne")</f>
        <v>Tech Referent - OneOnOne</v>
      </c>
    </row>
    <row r="470" hidden="1">
      <c r="A470" s="4">
        <f>IFERROR(__xludf.DUMMYFUNCTION("""COMPUTED_VALUE"""),346.0)</f>
        <v>346</v>
      </c>
      <c r="B470" s="4" t="str">
        <f>IFERROR(__xludf.DUMMYFUNCTION("""COMPUTED_VALUE"""),"daniel.almeida")</f>
        <v>daniel.almeida</v>
      </c>
      <c r="C470" s="5">
        <f>IFERROR(__xludf.DUMMYFUNCTION("""COMPUTED_VALUE"""),45148.76511947916)</f>
        <v>45148.76512</v>
      </c>
      <c r="D470" s="5">
        <f>IFERROR(__xludf.DUMMYFUNCTION("""COMPUTED_VALUE"""),45148.0)</f>
        <v>45148</v>
      </c>
      <c r="E470" s="4" t="str">
        <f>IFERROR(__xludf.DUMMYFUNCTION("""COMPUTED_VALUE"""),"micaela.zorzetto@patagoniansys.com")</f>
        <v>micaela.zorzetto@patagoniansys.com</v>
      </c>
      <c r="F470" s="4" t="str">
        <f>IFERROR(__xludf.DUMMYFUNCTION("""COMPUTED_VALUE"""),"daniel.almeida@patagoniansys.com")</f>
        <v>daniel.almeida@patagoniansys.com</v>
      </c>
      <c r="G470" s="4" t="str">
        <f>IFERROR(__xludf.DUMMYFUNCTION("""COMPUTED_VALUE"""),"⏱ One on One")</f>
        <v>⏱ One on One</v>
      </c>
      <c r="H470" s="4" t="str">
        <f>IFERROR(__xludf.DUMMYFUNCTION("""COMPUTED_VALUE"""),"🙂 Feliz")</f>
        <v>🙂 Feliz</v>
      </c>
      <c r="I470" s="6" t="str">
        <f>IFERROR(__xludf.DUMMYFUNCTION("""COMPUTED_VALUE"""),"Cuando ingreso al proyecto le pidieron desde el proyecto que realice unos cursos desde la plataforma interna que tiene el cliente. El manager del cliente le pide que realice esos cursos que tiene que realizar. Los cursos de incio, mucho no les servian ya "&amp;"que eran enfocados a la industria farmaceutica de México. Todavía no comenzó de lleno con el proyecto, todavía estan viendo que tareas debe realizar. 
Esta contento con Marce como PM.")</f>
        <v>Cuando ingreso al proyecto le pidieron desde el proyecto que realice unos cursos desde la plataforma interna que tiene el cliente. El manager del cliente le pide que realice esos cursos que tiene que realizar. Los cursos de incio, mucho no les servian ya que eran enfocados a la industria farmaceutica de México. Todavía no comenzó de lleno con el proyecto, todavía estan viendo que tareas debe realizar. 
Esta contento con Marce como PM.</v>
      </c>
      <c r="J470" s="4" t="str">
        <f>IFERROR(__xludf.DUMMYFUNCTION("""COMPUTED_VALUE"""),"PX|Referents|RRHH")</f>
        <v>PX|Referents|RRHH</v>
      </c>
    </row>
    <row r="471" hidden="1">
      <c r="A471" s="4">
        <f>IFERROR(__xludf.DUMMYFUNCTION("""COMPUTED_VALUE"""),280.0)</f>
        <v>280</v>
      </c>
      <c r="B471" s="4" t="str">
        <f>IFERROR(__xludf.DUMMYFUNCTION("""COMPUTED_VALUE"""),"jose.flores")</f>
        <v>jose.flores</v>
      </c>
      <c r="C471" s="5">
        <f>IFERROR(__xludf.DUMMYFUNCTION("""COMPUTED_VALUE"""),45162.70535350694)</f>
        <v>45162.70535</v>
      </c>
      <c r="D471" s="5">
        <f>IFERROR(__xludf.DUMMYFUNCTION("""COMPUTED_VALUE"""),45148.0)</f>
        <v>45148</v>
      </c>
      <c r="E471" s="4" t="str">
        <f>IFERROR(__xludf.DUMMYFUNCTION("""COMPUTED_VALUE"""),"sebastian.charre@patagoniansys.com")</f>
        <v>sebastian.charre@patagoniansys.com</v>
      </c>
      <c r="F471" s="4" t="str">
        <f>IFERROR(__xludf.DUMMYFUNCTION("""COMPUTED_VALUE"""),"jose.flores@patagoniansys.com")</f>
        <v>jose.flores@patagoniansys.com</v>
      </c>
      <c r="G471" s="4" t="str">
        <f>IFERROR(__xludf.DUMMYFUNCTION("""COMPUTED_VALUE"""),"⏱ One on One")</f>
        <v>⏱ One on One</v>
      </c>
      <c r="H471" s="4" t="str">
        <f>IFERROR(__xludf.DUMMYFUNCTION("""COMPUTED_VALUE"""),"🙂 Feliz")</f>
        <v>🙂 Feliz</v>
      </c>
      <c r="I471" s="6" t="str">
        <f>IFERROR(__xludf.DUMMYFUNCTION("""COMPUTED_VALUE"""),"bien incluido en el proyecto. cumple y le gusta. Sin embargo no se lo ve tan involucrado como el resto del equipo.")</f>
        <v>bien incluido en el proyecto. cumple y le gusta. Sin embargo no se lo ve tan involucrado como el resto del equipo.</v>
      </c>
      <c r="J471" s="4" t="str">
        <f>IFERROR(__xludf.DUMMYFUNCTION("""COMPUTED_VALUE"""),"PX|Referents|RRHH")</f>
        <v>PX|Referents|RRHH</v>
      </c>
    </row>
    <row r="472" hidden="1">
      <c r="A472" s="4">
        <f>IFERROR(__xludf.DUMMYFUNCTION("""COMPUTED_VALUE"""),37.0)</f>
        <v>37</v>
      </c>
      <c r="B472" s="4" t="str">
        <f>IFERROR(__xludf.DUMMYFUNCTION("""COMPUTED_VALUE"""),"martin.castro")</f>
        <v>martin.castro</v>
      </c>
      <c r="C472" s="5">
        <f>IFERROR(__xludf.DUMMYFUNCTION("""COMPUTED_VALUE"""),45190.44664894676)</f>
        <v>45190.44665</v>
      </c>
      <c r="D472" s="5">
        <f>IFERROR(__xludf.DUMMYFUNCTION("""COMPUTED_VALUE"""),45148.0)</f>
        <v>45148</v>
      </c>
      <c r="E472" s="4" t="str">
        <f>IFERROR(__xludf.DUMMYFUNCTION("""COMPUTED_VALUE"""),"micaela.zorzetto@patagoniansys.com")</f>
        <v>micaela.zorzetto@patagoniansys.com</v>
      </c>
      <c r="F472" s="4" t="str">
        <f>IFERROR(__xludf.DUMMYFUNCTION("""COMPUTED_VALUE"""),"martin.castro@patagoniansys.com")</f>
        <v>martin.castro@patagoniansys.com</v>
      </c>
      <c r="G472" s="4" t="str">
        <f>IFERROR(__xludf.DUMMYFUNCTION("""COMPUTED_VALUE"""),"⏱ One on One")</f>
        <v>⏱ One on One</v>
      </c>
      <c r="H472" s="4" t="str">
        <f>IFERROR(__xludf.DUMMYFUNCTION("""COMPUTED_VALUE"""),"🙂 Feliz")</f>
        <v>🙂 Feliz</v>
      </c>
      <c r="I472" s="6" t="str">
        <f>IFERROR(__xludf.DUMMYFUNCTION("""COMPUTED_VALUE"""),"Martin esta bien, se siente bien en el proyecto. Siente mucho apoyo del equipo, y esta trabajando cada día mejor. 
")</f>
        <v>Martin esta bien, se siente bien en el proyecto. Siente mucho apoyo del equipo, y esta trabajando cada día mejor. 
</v>
      </c>
      <c r="J472" s="4" t="str">
        <f>IFERROR(__xludf.DUMMYFUNCTION("""COMPUTED_VALUE"""),"PX|Referents|RRHH")</f>
        <v>PX|Referents|RRHH</v>
      </c>
    </row>
    <row r="473">
      <c r="A473" s="4">
        <f>IFERROR(__xludf.DUMMYFUNCTION("""COMPUTED_VALUE"""),243.0)</f>
        <v>243</v>
      </c>
      <c r="B473" s="4" t="str">
        <f>IFERROR(__xludf.DUMMYFUNCTION("""COMPUTED_VALUE"""),"fernando.estevez")</f>
        <v>fernando.estevez</v>
      </c>
      <c r="C473" s="5">
        <f>IFERROR(__xludf.DUMMYFUNCTION("""COMPUTED_VALUE"""),45149.704725509255)</f>
        <v>45149.70473</v>
      </c>
      <c r="D473" s="5">
        <f>IFERROR(__xludf.DUMMYFUNCTION("""COMPUTED_VALUE"""),45149.0)</f>
        <v>45149</v>
      </c>
      <c r="E473" s="4" t="str">
        <f>IFERROR(__xludf.DUMMYFUNCTION("""COMPUTED_VALUE"""),"juan.calou@patagoniansys.com")</f>
        <v>juan.calou@patagoniansys.com</v>
      </c>
      <c r="F473" s="4" t="str">
        <f>IFERROR(__xludf.DUMMYFUNCTION("""COMPUTED_VALUE"""),"fernando.estevez@patagoniansys.com")</f>
        <v>fernando.estevez@patagoniansys.com</v>
      </c>
      <c r="G473" s="4" t="str">
        <f>IFERROR(__xludf.DUMMYFUNCTION("""COMPUTED_VALUE"""),"Referent One on One")</f>
        <v>Referent One on One</v>
      </c>
      <c r="H473" s="4"/>
      <c r="I473" s="6" t="str">
        <f>IFERROR(__xludf.DUMMYFUNCTION("""COMPUTED_VALUE"""),"- Interviewee e-Mail: fernando.estevez@patagoniansys.com
- Project Status Check: sigo con react a full. Aprendi un monton de CSS
- Project Role | Feeling: 5
- Extra Work Hours | Amount: 0 (Ningúna)
- Collaborator | Seniority: 👍 No, es correcto
- Alerts: "&amp;"No veo alertas
- Final notes: Lo veo muy bien a Fer. Esta haciendo cosas de frontend y aprendiendo un monton y le gusta eso. Tambien estuvimos hablando del career path y esta contento con eso.
- Project Techs | Learning: 0
- Project Techs | Difficulty: 3
"&amp;"- Project Changes | Reasons: 🟰 No hubo cambios
- Project Role | Value: 5
- Project role | Notes: nunca habia trabajado como puro frontend, Estoy aprendiendo un monton.")</f>
        <v>- Interviewee e-Mail: fernando.estevez@patagoniansys.com
- Project Status Check: sigo con react a full. Aprendi un monton de CSS
- Project Role | Feeling: 5
- Extra Work Hours | Amount: 0 (Ningúna)
- Collaborator | Seniority: 👍 No, es correcto
- Alerts: No veo alertas
- Final notes: Lo veo muy bien a Fer. Esta haciendo cosas de frontend y aprendiendo un monton y le gusta eso. Tambien estuvimos hablando del career path y esta contento con eso.
- Project Techs | Learning: 0
- Project Techs | Difficulty: 3
- Project Changes | Reasons: 🟰 No hubo cambios
- Project Role | Value: 5
- Project role | Notes: nunca habia trabajado como puro frontend, Estoy aprendiendo un monton.</v>
      </c>
      <c r="J473" s="4" t="str">
        <f>IFERROR(__xludf.DUMMYFUNCTION("""COMPUTED_VALUE"""),"Tech Referent - OneOnOne")</f>
        <v>Tech Referent - OneOnOne</v>
      </c>
    </row>
    <row r="474" hidden="1">
      <c r="A474" s="4">
        <f>IFERROR(__xludf.DUMMYFUNCTION("""COMPUTED_VALUE"""),227.0)</f>
        <v>227</v>
      </c>
      <c r="B474" s="4" t="str">
        <f>IFERROR(__xludf.DUMMYFUNCTION("""COMPUTED_VALUE"""),"martin.infante")</f>
        <v>martin.infante</v>
      </c>
      <c r="C474" s="5">
        <f>IFERROR(__xludf.DUMMYFUNCTION("""COMPUTED_VALUE"""),45153.732916712965)</f>
        <v>45153.73292</v>
      </c>
      <c r="D474" s="5">
        <f>IFERROR(__xludf.DUMMYFUNCTION("""COMPUTED_VALUE"""),45149.0)</f>
        <v>45149</v>
      </c>
      <c r="E474" s="4" t="str">
        <f>IFERROR(__xludf.DUMMYFUNCTION("""COMPUTED_VALUE"""),"marcela.benavides@patagoniansys.com")</f>
        <v>marcela.benavides@patagoniansys.com</v>
      </c>
      <c r="F474" s="4" t="str">
        <f>IFERROR(__xludf.DUMMYFUNCTION("""COMPUTED_VALUE"""),"martin.infante@patagoniansys.com")</f>
        <v>martin.infante@patagoniansys.com</v>
      </c>
      <c r="G474" s="4" t="str">
        <f>IFERROR(__xludf.DUMMYFUNCTION("""COMPUTED_VALUE"""),"⏱ One on One")</f>
        <v>⏱ One on One</v>
      </c>
      <c r="H474" s="4" t="str">
        <f>IFERROR(__xludf.DUMMYFUNCTION("""COMPUTED_VALUE"""),"🙂 Feliz")</f>
        <v>🙂 Feliz</v>
      </c>
      <c r="I474" s="6" t="str">
        <f>IFERROR(__xludf.DUMMYFUNCTION("""COMPUTED_VALUE"""),"En el proyecto viene bien, con el teamy líderes bien, se esta revisando la opción de que viaje a Denver donde el cliente para la próxima planning del team de Data. ")</f>
        <v>En el proyecto viene bien, con el teamy líderes bien, se esta revisando la opción de que viaje a Denver donde el cliente para la próxima planning del team de Data. </v>
      </c>
      <c r="J474" s="4" t="str">
        <f>IFERROR(__xludf.DUMMYFUNCTION("""COMPUTED_VALUE"""),"PX|Referents|RRHH")</f>
        <v>PX|Referents|RRHH</v>
      </c>
    </row>
    <row r="475" hidden="1">
      <c r="A475" s="4">
        <f>IFERROR(__xludf.DUMMYFUNCTION("""COMPUTED_VALUE"""),347.0)</f>
        <v>347</v>
      </c>
      <c r="B475" s="4" t="str">
        <f>IFERROR(__xludf.DUMMYFUNCTION("""COMPUTED_VALUE"""),"nicolas.netcoff")</f>
        <v>nicolas.netcoff</v>
      </c>
      <c r="C475" s="5">
        <f>IFERROR(__xludf.DUMMYFUNCTION("""COMPUTED_VALUE"""),45174.6731855787)</f>
        <v>45174.67319</v>
      </c>
      <c r="D475" s="5">
        <f>IFERROR(__xludf.DUMMYFUNCTION("""COMPUTED_VALUE"""),45149.0)</f>
        <v>45149</v>
      </c>
      <c r="E475" s="4" t="str">
        <f>IFERROR(__xludf.DUMMYFUNCTION("""COMPUTED_VALUE"""),"micaela.zorzetto@patagoniansys.com")</f>
        <v>micaela.zorzetto@patagoniansys.com</v>
      </c>
      <c r="F475" s="4" t="str">
        <f>IFERROR(__xludf.DUMMYFUNCTION("""COMPUTED_VALUE"""),"nicolas.netcoff@patagoniansys.com")</f>
        <v>nicolas.netcoff@patagoniansys.com</v>
      </c>
      <c r="G475" s="4" t="str">
        <f>IFERROR(__xludf.DUMMYFUNCTION("""COMPUTED_VALUE"""),"⏱ One on One")</f>
        <v>⏱ One on One</v>
      </c>
      <c r="H475" s="4" t="str">
        <f>IFERROR(__xludf.DUMMYFUNCTION("""COMPUTED_VALUE"""),"🙂 Feliz")</f>
        <v>🙂 Feliz</v>
      </c>
      <c r="I475" s="6" t="str">
        <f>IFERROR(__xludf.DUMMYFUNCTION("""COMPUTED_VALUE"""),"Del lado de intuitive, le esta costando llevar algunas de las partes, no tienen trainigns. 
Del lado de Patagonian no se lo pudimos dar mucha información, y  tuvo una meet con la gente de intuitive, pero no fueron explicativos, solo les daban contenido y "&amp;"nada mas. 
Hace un mes le vienen postergando la presentación del equipo y las tareas, les asignaron cursos que no tienen mucha relación con las tareas que él realiza. 
Durante el mes en Patagonian se sintío bien, no pudo socializar mucho pero va de a poco"&amp;".")</f>
        <v>Del lado de intuitive, le esta costando llevar algunas de las partes, no tienen trainigns. 
Del lado de Patagonian no se lo pudimos dar mucha información, y  tuvo una meet con la gente de intuitive, pero no fueron explicativos, solo les daban contenido y nada mas. 
Hace un mes le vienen postergando la presentación del equipo y las tareas, les asignaron cursos que no tienen mucha relación con las tareas que él realiza. 
Durante el mes en Patagonian se sintío bien, no pudo socializar mucho pero va de a poco.</v>
      </c>
      <c r="J475" s="4" t="str">
        <f>IFERROR(__xludf.DUMMYFUNCTION("""COMPUTED_VALUE"""),"PX|Referents|RRHH")</f>
        <v>PX|Referents|RRHH</v>
      </c>
    </row>
    <row r="476" hidden="1">
      <c r="A476" s="4">
        <f>IFERROR(__xludf.DUMMYFUNCTION("""COMPUTED_VALUE"""),82.0)</f>
        <v>82</v>
      </c>
      <c r="B476" s="4" t="str">
        <f>IFERROR(__xludf.DUMMYFUNCTION("""COMPUTED_VALUE"""),"juan.calou")</f>
        <v>juan.calou</v>
      </c>
      <c r="C476" s="5">
        <f>IFERROR(__xludf.DUMMYFUNCTION("""COMPUTED_VALUE"""),45174.67385046296)</f>
        <v>45174.67385</v>
      </c>
      <c r="D476" s="5">
        <f>IFERROR(__xludf.DUMMYFUNCTION("""COMPUTED_VALUE"""),45149.0)</f>
        <v>45149</v>
      </c>
      <c r="E476" s="4" t="str">
        <f>IFERROR(__xludf.DUMMYFUNCTION("""COMPUTED_VALUE"""),"micaela.zorzetto@patagoniansys.com")</f>
        <v>micaela.zorzetto@patagoniansys.com</v>
      </c>
      <c r="F476" s="4" t="str">
        <f>IFERROR(__xludf.DUMMYFUNCTION("""COMPUTED_VALUE"""),"juan.calou@patagoniansys.com")</f>
        <v>juan.calou@patagoniansys.com</v>
      </c>
      <c r="G476" s="4" t="str">
        <f>IFERROR(__xludf.DUMMYFUNCTION("""COMPUTED_VALUE"""),"⏱ One on One")</f>
        <v>⏱ One on One</v>
      </c>
      <c r="H476" s="4" t="str">
        <f>IFERROR(__xludf.DUMMYFUNCTION("""COMPUTED_VALUE"""),"🙂 Feliz")</f>
        <v>🙂 Feliz</v>
      </c>
      <c r="I476" s="6" t="str">
        <f>IFERROR(__xludf.DUMMYFUNCTION("""COMPUTED_VALUE"""),"no charlamos nada relevante. ")</f>
        <v>no charlamos nada relevante. </v>
      </c>
      <c r="J476" s="4" t="str">
        <f>IFERROR(__xludf.DUMMYFUNCTION("""COMPUTED_VALUE"""),"PX|Referents|RRHH")</f>
        <v>PX|Referents|RRHH</v>
      </c>
    </row>
    <row r="477" hidden="1">
      <c r="A477" s="4">
        <f>IFERROR(__xludf.DUMMYFUNCTION("""COMPUTED_VALUE"""),247.0)</f>
        <v>247</v>
      </c>
      <c r="B477" s="4" t="str">
        <f>IFERROR(__xludf.DUMMYFUNCTION("""COMPUTED_VALUE"""),"isabel.yepes")</f>
        <v>isabel.yepes</v>
      </c>
      <c r="C477" s="5">
        <f>IFERROR(__xludf.DUMMYFUNCTION("""COMPUTED_VALUE"""),45152.547877743054)</f>
        <v>45152.54788</v>
      </c>
      <c r="D477" s="5">
        <f>IFERROR(__xludf.DUMMYFUNCTION("""COMPUTED_VALUE"""),45152.0)</f>
        <v>45152</v>
      </c>
      <c r="E477" s="4" t="str">
        <f>IFERROR(__xludf.DUMMYFUNCTION("""COMPUTED_VALUE"""),"juan.villamizar@patagoniansys.com")</f>
        <v>juan.villamizar@patagoniansys.com</v>
      </c>
      <c r="F477" s="4" t="str">
        <f>IFERROR(__xludf.DUMMYFUNCTION("""COMPUTED_VALUE"""),"isabel.yepes@patagoniansys.com")</f>
        <v>isabel.yepes@patagoniansys.com</v>
      </c>
      <c r="G477" s="4" t="str">
        <f>IFERROR(__xludf.DUMMYFUNCTION("""COMPUTED_VALUE"""),"⏱ One on One")</f>
        <v>⏱ One on One</v>
      </c>
      <c r="H477" s="4" t="str">
        <f>IFERROR(__xludf.DUMMYFUNCTION("""COMPUTED_VALUE"""),"🙂 Feliz")</f>
        <v>🙂 Feliz</v>
      </c>
      <c r="I477" s="6" t="str">
        <f>IFERROR(__xludf.DUMMYFUNCTION("""COMPUTED_VALUE"""),"Se ha sentido mejor desde que tuvo cambio de PM y ahora siente un apoyo más con el rol de PO en el proyecto. Con respecto a la empresa se siente bien en patagonian. Sobre el salario, pidió una revisión en marzo y la persona de rrhh le hicieron un pequeño "&amp;"ajuste pero quedo pendiente el resto y esa persona ya no está. Volvió a retomar el tema con Daniela la semana pasada para que hicieran el proceso de recategorización. En el equipo de QA ve que hay funciones que tienen para el rol, pero quiere ver que la r"&amp;"ecategoricen en salario, seniority y adicional saber en caso de no pasar cuales son las razones. Esta haciendo una certificación en usabilidad por su lado. No tiene planes de moverse de la empresa. Tiene como pendiente el pago de horas extras registradas "&amp;"en junio.")</f>
        <v>Se ha sentido mejor desde que tuvo cambio de PM y ahora siente un apoyo más con el rol de PO en el proyecto. Con respecto a la empresa se siente bien en patagonian. Sobre el salario, pidió una revisión en marzo y la persona de rrhh le hicieron un pequeño ajuste pero quedo pendiente el resto y esa persona ya no está. Volvió a retomar el tema con Daniela la semana pasada para que hicieran el proceso de recategorización. En el equipo de QA ve que hay funciones que tienen para el rol, pero quiere ver que la recategoricen en salario, seniority y adicional saber en caso de no pasar cuales son las razones. Esta haciendo una certificación en usabilidad por su lado. No tiene planes de moverse de la empresa. Tiene como pendiente el pago de horas extras registradas en junio.</v>
      </c>
      <c r="J477" s="4" t="str">
        <f>IFERROR(__xludf.DUMMYFUNCTION("""COMPUTED_VALUE"""),"PX|Referents|RRHH")</f>
        <v>PX|Referents|RRHH</v>
      </c>
    </row>
    <row r="478" hidden="1">
      <c r="A478" s="4">
        <f>IFERROR(__xludf.DUMMYFUNCTION("""COMPUTED_VALUE"""),279.0)</f>
        <v>279</v>
      </c>
      <c r="B478" s="4" t="str">
        <f>IFERROR(__xludf.DUMMYFUNCTION("""COMPUTED_VALUE"""),"emerson.pereira")</f>
        <v>emerson.pereira</v>
      </c>
      <c r="C478" s="5">
        <f>IFERROR(__xludf.DUMMYFUNCTION("""COMPUTED_VALUE"""),45152.73910478009)</f>
        <v>45152.7391</v>
      </c>
      <c r="D478" s="5">
        <f>IFERROR(__xludf.DUMMYFUNCTION("""COMPUTED_VALUE"""),45152.0)</f>
        <v>45152</v>
      </c>
      <c r="E478" s="4" t="str">
        <f>IFERROR(__xludf.DUMMYFUNCTION("""COMPUTED_VALUE"""),"marcela.benavides@patagoniansys.com")</f>
        <v>marcela.benavides@patagoniansys.com</v>
      </c>
      <c r="F478" s="4" t="str">
        <f>IFERROR(__xludf.DUMMYFUNCTION("""COMPUTED_VALUE"""),"emerson.pereira@patagoniansys.com")</f>
        <v>emerson.pereira@patagoniansys.com</v>
      </c>
      <c r="G478" s="4" t="str">
        <f>IFERROR(__xludf.DUMMYFUNCTION("""COMPUTED_VALUE"""),"⏱ One on One")</f>
        <v>⏱ One on One</v>
      </c>
      <c r="H478" s="4" t="str">
        <f>IFERROR(__xludf.DUMMYFUNCTION("""COMPUTED_VALUE"""),"🙂 Feliz")</f>
        <v>🙂 Feliz</v>
      </c>
      <c r="I478" s="6" t="str">
        <f>IFERROR(__xludf.DUMMYFUNCTION("""COMPUTED_VALUE"""),"Esta tranquilo y feliz en el proyecto. Manifiesta que lo único que le frustra un poco en el proyecto es el tiempo de respuesta a sus inquietudes por parte de otros devs o QAs del team. Le gustaría a nivel carrera dirigirse hacía ser QA Manager. ")</f>
        <v>Esta tranquilo y feliz en el proyecto. Manifiesta que lo único que le frustra un poco en el proyecto es el tiempo de respuesta a sus inquietudes por parte de otros devs o QAs del team. Le gustaría a nivel carrera dirigirse hacía ser QA Manager. </v>
      </c>
      <c r="J478" s="4" t="str">
        <f>IFERROR(__xludf.DUMMYFUNCTION("""COMPUTED_VALUE"""),"PX|Referents|RRHH")</f>
        <v>PX|Referents|RRHH</v>
      </c>
    </row>
    <row r="479" hidden="1">
      <c r="A479" s="4">
        <f>IFERROR(__xludf.DUMMYFUNCTION("""COMPUTED_VALUE"""),266.0)</f>
        <v>266</v>
      </c>
      <c r="B479" s="4" t="str">
        <f>IFERROR(__xludf.DUMMYFUNCTION("""COMPUTED_VALUE"""),"amanda.taylor")</f>
        <v>amanda.taylor</v>
      </c>
      <c r="C479" s="5">
        <f>IFERROR(__xludf.DUMMYFUNCTION("""COMPUTED_VALUE"""),45162.69433603009)</f>
        <v>45162.69434</v>
      </c>
      <c r="D479" s="5">
        <f>IFERROR(__xludf.DUMMYFUNCTION("""COMPUTED_VALUE"""),45152.0)</f>
        <v>45152</v>
      </c>
      <c r="E479" s="4" t="str">
        <f>IFERROR(__xludf.DUMMYFUNCTION("""COMPUTED_VALUE"""),"sebastian.charre@patagoniansys.com")</f>
        <v>sebastian.charre@patagoniansys.com</v>
      </c>
      <c r="F479" s="4" t="str">
        <f>IFERROR(__xludf.DUMMYFUNCTION("""COMPUTED_VALUE"""),"amanda.taylor@patagoniansys.com")</f>
        <v>amanda.taylor@patagoniansys.com</v>
      </c>
      <c r="G479" s="4" t="str">
        <f>IFERROR(__xludf.DUMMYFUNCTION("""COMPUTED_VALUE"""),"⏱ One on One")</f>
        <v>⏱ One on One</v>
      </c>
      <c r="H479" s="4" t="str">
        <f>IFERROR(__xludf.DUMMYFUNCTION("""COMPUTED_VALUE"""),"🙂 Feliz")</f>
        <v>🙂 Feliz</v>
      </c>
      <c r="I479" s="6" t="str">
        <f>IFERROR(__xludf.DUMMYFUNCTION("""COMPUTED_VALUE"""),"Amanda tiene una personalidad muy alegre. En este ultimo tiempo está mas tranquila en el proyecto ya que no debe participar de tantas reuniones como antes. Esto hace que pueda trabjar mas sobre tareas concretas. Ha logrado hacerse un nombre con el cliente"&amp;" y el mismo la valora muchisimo. Sabe como mantener una relación productiva con el cliente auque a veces lo hace a costa de su salud (tiende a ceder ante pedidos y sobreexigencias del cliente)")</f>
        <v>Amanda tiene una personalidad muy alegre. En este ultimo tiempo está mas tranquila en el proyecto ya que no debe participar de tantas reuniones como antes. Esto hace que pueda trabjar mas sobre tareas concretas. Ha logrado hacerse un nombre con el cliente y el mismo la valora muchisimo. Sabe como mantener una relación productiva con el cliente auque a veces lo hace a costa de su salud (tiende a ceder ante pedidos y sobreexigencias del cliente)</v>
      </c>
      <c r="J479" s="4" t="str">
        <f>IFERROR(__xludf.DUMMYFUNCTION("""COMPUTED_VALUE"""),"PX|Referents|RRHH")</f>
        <v>PX|Referents|RRHH</v>
      </c>
    </row>
    <row r="480" hidden="1">
      <c r="A480" s="4">
        <f>IFERROR(__xludf.DUMMYFUNCTION("""COMPUTED_VALUE"""),340.0)</f>
        <v>340</v>
      </c>
      <c r="B480" s="4" t="str">
        <f>IFERROR(__xludf.DUMMYFUNCTION("""COMPUTED_VALUE"""),"maximiliano.tiezzi")</f>
        <v>maximiliano.tiezzi</v>
      </c>
      <c r="C480" s="5">
        <f>IFERROR(__xludf.DUMMYFUNCTION("""COMPUTED_VALUE"""),45162.70913924769)</f>
        <v>45162.70914</v>
      </c>
      <c r="D480" s="5">
        <f>IFERROR(__xludf.DUMMYFUNCTION("""COMPUTED_VALUE"""),45152.0)</f>
        <v>45152</v>
      </c>
      <c r="E480" s="4" t="str">
        <f>IFERROR(__xludf.DUMMYFUNCTION("""COMPUTED_VALUE"""),"sebastian.charre@patagoniansys.com")</f>
        <v>sebastian.charre@patagoniansys.com</v>
      </c>
      <c r="F480" s="4" t="str">
        <f>IFERROR(__xludf.DUMMYFUNCTION("""COMPUTED_VALUE"""),"maximiliano.tiezzi@patagoniansys.com")</f>
        <v>maximiliano.tiezzi@patagoniansys.com</v>
      </c>
      <c r="G480" s="4" t="str">
        <f>IFERROR(__xludf.DUMMYFUNCTION("""COMPUTED_VALUE"""),"⏱ One on One")</f>
        <v>⏱ One on One</v>
      </c>
      <c r="H480" s="4" t="str">
        <f>IFERROR(__xludf.DUMMYFUNCTION("""COMPUTED_VALUE"""),"🙂 Feliz")</f>
        <v>🙂 Feliz</v>
      </c>
      <c r="I480" s="6" t="str">
        <f>IFERROR(__xludf.DUMMYFUNCTION("""COMPUTED_VALUE"""),"Maxi desde que se sumó a Patagonian ha realizado muchos aportes y se muestra con muchas ganas de gneerar valor agregado. El cliente también lo ve como una pieza fuerte en el equipo asique también está satisfecho")</f>
        <v>Maxi desde que se sumó a Patagonian ha realizado muchos aportes y se muestra con muchas ganas de gneerar valor agregado. El cliente también lo ve como una pieza fuerte en el equipo asique también está satisfecho</v>
      </c>
      <c r="J480" s="4" t="str">
        <f>IFERROR(__xludf.DUMMYFUNCTION("""COMPUTED_VALUE"""),"PX|Referents|RRHH")</f>
        <v>PX|Referents|RRHH</v>
      </c>
    </row>
    <row r="481" hidden="1">
      <c r="A481" s="4">
        <f>IFERROR(__xludf.DUMMYFUNCTION("""COMPUTED_VALUE"""),330.0)</f>
        <v>330</v>
      </c>
      <c r="B481" s="4" t="str">
        <f>IFERROR(__xludf.DUMMYFUNCTION("""COMPUTED_VALUE"""),"gabriel.ospina")</f>
        <v>gabriel.ospina</v>
      </c>
      <c r="C481" s="5">
        <f>IFERROR(__xludf.DUMMYFUNCTION("""COMPUTED_VALUE"""),45153.53924592593)</f>
        <v>45153.53925</v>
      </c>
      <c r="D481" s="5">
        <f>IFERROR(__xludf.DUMMYFUNCTION("""COMPUTED_VALUE"""),45153.0)</f>
        <v>45153</v>
      </c>
      <c r="E481" s="4" t="str">
        <f>IFERROR(__xludf.DUMMYFUNCTION("""COMPUTED_VALUE"""),"daniela.morales@patagoniansys.com")</f>
        <v>daniela.morales@patagoniansys.com</v>
      </c>
      <c r="F481" s="4" t="str">
        <f>IFERROR(__xludf.DUMMYFUNCTION("""COMPUTED_VALUE"""),"gabriel.ospina@patagoniansys.com")</f>
        <v>gabriel.ospina@patagoniansys.com</v>
      </c>
      <c r="G481" s="4" t="str">
        <f>IFERROR(__xludf.DUMMYFUNCTION("""COMPUTED_VALUE"""),"⏱ One on One")</f>
        <v>⏱ One on One</v>
      </c>
      <c r="H481" s="4" t="str">
        <f>IFERROR(__xludf.DUMMYFUNCTION("""COMPUTED_VALUE"""),"🙂 Feliz")</f>
        <v>🙂 Feliz</v>
      </c>
      <c r="I481" s="6" t="str">
        <f>IFERROR(__xludf.DUMMYFUNCTION("""COMPUTED_VALUE"""),"Me cuenta que se encuentra bastante feliz con el proyecto y con la empresa, ha sentido bastante apoyo por parte de todos, tanto PM como HR y especialista técnico. Está bastante feliz por la entrega de una fase del proyecto que culminó bastante bien, me cu"&amp;"enta que ha tomado la iniciativa de tener sesiones de reflexión sobre feedback personal y de formas en las que puede mejorar los procesos del proyecto, además de que constantemente pide feedback a su cliente. Se encuentra tranquilo con toda la situación a"&amp;"ctual, no ve preocupaciones en el momento. ")</f>
        <v>Me cuenta que se encuentra bastante feliz con el proyecto y con la empresa, ha sentido bastante apoyo por parte de todos, tanto PM como HR y especialista técnico. Está bastante feliz por la entrega de una fase del proyecto que culminó bastante bien, me cuenta que ha tomado la iniciativa de tener sesiones de reflexión sobre feedback personal y de formas en las que puede mejorar los procesos del proyecto, además de que constantemente pide feedback a su cliente. Se encuentra tranquilo con toda la situación actual, no ve preocupaciones en el momento. </v>
      </c>
      <c r="J481" s="4" t="str">
        <f>IFERROR(__xludf.DUMMYFUNCTION("""COMPUTED_VALUE"""),"PX|Referents|RRHH")</f>
        <v>PX|Referents|RRHH</v>
      </c>
    </row>
    <row r="482" hidden="1">
      <c r="A482" s="4">
        <f>IFERROR(__xludf.DUMMYFUNCTION("""COMPUTED_VALUE"""),336.0)</f>
        <v>336</v>
      </c>
      <c r="B482" s="4" t="str">
        <f>IFERROR(__xludf.DUMMYFUNCTION("""COMPUTED_VALUE"""),"juan.sanhueza")</f>
        <v>juan.sanhueza</v>
      </c>
      <c r="C482" s="5">
        <f>IFERROR(__xludf.DUMMYFUNCTION("""COMPUTED_VALUE"""),45153.57793464121)</f>
        <v>45153.57793</v>
      </c>
      <c r="D482" s="5">
        <f>IFERROR(__xludf.DUMMYFUNCTION("""COMPUTED_VALUE"""),45153.0)</f>
        <v>45153</v>
      </c>
      <c r="E482" s="4" t="str">
        <f>IFERROR(__xludf.DUMMYFUNCTION("""COMPUTED_VALUE"""),"marcela.benavides@patagoniansys.com")</f>
        <v>marcela.benavides@patagoniansys.com</v>
      </c>
      <c r="F482" s="4" t="str">
        <f>IFERROR(__xludf.DUMMYFUNCTION("""COMPUTED_VALUE"""),"juan.sanhueza@patagoniansys.com")</f>
        <v>juan.sanhueza@patagoniansys.com</v>
      </c>
      <c r="G482" s="4" t="str">
        <f>IFERROR(__xludf.DUMMYFUNCTION("""COMPUTED_VALUE"""),"⏱ One on One")</f>
        <v>⏱ One on One</v>
      </c>
      <c r="H482" s="4" t="str">
        <f>IFERROR(__xludf.DUMMYFUNCTION("""COMPUTED_VALUE"""),"🙂 Feliz")</f>
        <v>🙂 Feliz</v>
      </c>
      <c r="I482" s="6" t="str">
        <f>IFERROR(__xludf.DUMMYFUNCTION("""COMPUTED_VALUE"""),"Esta a gusto en el proyecto. No ha recibido información sobre el career path de Patagonian.Esta cómodo con el team siente que le aporta a una visión más general del negocio.  ")</f>
        <v>Esta a gusto en el proyecto. No ha recibido información sobre el career path de Patagonian.Esta cómodo con el team siente que le aporta a una visión más general del negocio.  </v>
      </c>
      <c r="J482" s="4" t="str">
        <f>IFERROR(__xludf.DUMMYFUNCTION("""COMPUTED_VALUE"""),"PX|Referents|RRHH")</f>
        <v>PX|Referents|RRHH</v>
      </c>
    </row>
    <row r="483">
      <c r="A483" s="4">
        <f>IFERROR(__xludf.DUMMYFUNCTION("""COMPUTED_VALUE"""),174.0)</f>
        <v>174</v>
      </c>
      <c r="B483" s="4" t="str">
        <f>IFERROR(__xludf.DUMMYFUNCTION("""COMPUTED_VALUE"""),"federico.matos")</f>
        <v>federico.matos</v>
      </c>
      <c r="C483" s="5">
        <f>IFERROR(__xludf.DUMMYFUNCTION("""COMPUTED_VALUE"""),45153.71230385417)</f>
        <v>45153.7123</v>
      </c>
      <c r="D483" s="5">
        <f>IFERROR(__xludf.DUMMYFUNCTION("""COMPUTED_VALUE"""),45153.0)</f>
        <v>45153</v>
      </c>
      <c r="E483" s="4" t="str">
        <f>IFERROR(__xludf.DUMMYFUNCTION("""COMPUTED_VALUE"""),"eugenio.fioriti@patagoniansys.com")</f>
        <v>eugenio.fioriti@patagoniansys.com</v>
      </c>
      <c r="F483" s="4" t="str">
        <f>IFERROR(__xludf.DUMMYFUNCTION("""COMPUTED_VALUE"""),"federico.matos@patagonian.com")</f>
        <v>federico.matos@patagonian.com</v>
      </c>
      <c r="G483" s="4" t="str">
        <f>IFERROR(__xludf.DUMMYFUNCTION("""COMPUTED_VALUE"""),"Referent One on One")</f>
        <v>Referent One on One</v>
      </c>
      <c r="H483" s="4"/>
      <c r="I483" s="6" t="str">
        <f>IFERROR(__xludf.DUMMYFUNCTION("""COMPUTED_VALUE"""),"- Interviewee e-Mail: federico.matos@patagonian.com
- Project Status Check: Diario RN: Todo en orden, seis horas diarias. Se sintió cuando se fue el QA. Se le complica un poco el cambio de contexto. Distribuyendo día por medio una tarde PST.
- Project Cha"&amp;"nges | Notes: Se fue Faygo de QA. Esto afectó moralmente pero técnicamente no. No se sintió bien la ida de este colaborador. Gustavo sigue en el equipo. Entró un devops que es David Risaro hasta septiembre. También Kevin López haciendo code review de micu"&amp;"enta y mobile.
- Project Role | Feeling: 4
- Extra Work Hours | Amount: 0 (Ningúna)
- Techs | Research: NextJS con wordpress como backend, GraphQL.
- Techs | Recomendations check: Está por tomar la recomendación de la meet anterior, de hacer cursos premiu"&amp;"m de udemy/platzi con la cuenta de patagonian, con el curso mencionado más arriba.
- Collaborator | Seniority: 👍 No, es correcto
- Alerts: -
- Project Techs | Learning: 0
- Techs | Research: 0
- Project Techs | Difficulty: 5
- Project Changes | Reasons: "&amp;"⬇️ Reducción del equipo, ⬆️ Aumento del equipo
- Project Changes | Personal Impact: 2
- Project Role | Value: 4
- Project role | Notes: -")</f>
        <v>- Interviewee e-Mail: federico.matos@patagonian.com
- Project Status Check: Diario RN: Todo en orden, seis horas diarias. Se sintió cuando se fue el QA. Se le complica un poco el cambio de contexto. Distribuyendo día por medio una tarde PST.
- Project Changes | Notes: Se fue Faygo de QA. Esto afectó moralmente pero técnicamente no. No se sintió bien la ida de este colaborador. Gustavo sigue en el equipo. Entró un devops que es David Risaro hasta septiembre. También Kevin López haciendo code review de micuenta y mobile.
- Project Role | Feeling: 4
- Extra Work Hours | Amount: 0 (Ningúna)
- Techs | Research: NextJS con wordpress como backend, GraphQL.
- Techs | Recomendations check: Está por tomar la recomendación de la meet anterior, de hacer cursos premium de udemy/platzi con la cuenta de patagonian, con el curso mencionado más arriba.
- Collaborator | Seniority: 👍 No, es correcto
- Alerts: -
- Project Techs | Learning: 0
- Techs | Research: 0
- Project Techs | Difficulty: 5
- Project Changes | Reasons: ⬇️ Reducción del equipo, ⬆️ Aumento del equipo
- Project Changes | Personal Impact: 2
- Project Role | Value: 4
- Project role | Notes: -</v>
      </c>
      <c r="J483" s="4" t="str">
        <f>IFERROR(__xludf.DUMMYFUNCTION("""COMPUTED_VALUE"""),"Tech Referent - OneOnOne")</f>
        <v>Tech Referent - OneOnOne</v>
      </c>
    </row>
    <row r="484">
      <c r="A484" s="4">
        <f>IFERROR(__xludf.DUMMYFUNCTION("""COMPUTED_VALUE"""),174.0)</f>
        <v>174</v>
      </c>
      <c r="B484" s="4" t="str">
        <f>IFERROR(__xludf.DUMMYFUNCTION("""COMPUTED_VALUE"""),"federico.matos")</f>
        <v>federico.matos</v>
      </c>
      <c r="C484" s="5">
        <f>IFERROR(__xludf.DUMMYFUNCTION("""COMPUTED_VALUE"""),45153.71935199074)</f>
        <v>45153.71935</v>
      </c>
      <c r="D484" s="5">
        <f>IFERROR(__xludf.DUMMYFUNCTION("""COMPUTED_VALUE"""),45153.0)</f>
        <v>45153</v>
      </c>
      <c r="E484" s="4" t="str">
        <f>IFERROR(__xludf.DUMMYFUNCTION("""COMPUTED_VALUE"""),"eugenio.fioriti@patagoniansys.com")</f>
        <v>eugenio.fioriti@patagoniansys.com</v>
      </c>
      <c r="F484" s="4" t="str">
        <f>IFERROR(__xludf.DUMMYFUNCTION("""COMPUTED_VALUE"""),"federico.matos@patagonian.com")</f>
        <v>federico.matos@patagonian.com</v>
      </c>
      <c r="G484" s="4" t="str">
        <f>IFERROR(__xludf.DUMMYFUNCTION("""COMPUTED_VALUE"""),"Referent One on One")</f>
        <v>Referent One on One</v>
      </c>
      <c r="H484" s="4"/>
      <c r="I484" s="6" t="str">
        <f>IFERROR(__xludf.DUMMYFUNCTION("""COMPUTED_VALUE"""),"- Interviewee e-Mail: federico.matos@patagonian.com
- Project Status Check: PST: Está trabajando en Patagonian Skills Tracker, está haciendo tickets del backlog. Remix JS con Strappy CMS. Tailwind como framework de UI.
- Project Changes | Notes: Cambió el"&amp;" PM en el camino. Entró Mariano Sckerl como QA. Se fue Gian Fois, quien le hizo el onboarding.
- Project Role | Feeling: 5
- Extra Work Hours | Amount: 0 (Ningúna)
- Techs | Research: Redundante esta pregunta. Se mencionó que está aprendiendo las tecnolog"&amp;"ías leyendo la documentación oficial.
- Collaborator | Seniority: 👍 No, es correcto
- Final notes: Valorable que está tomando clases de inglés presenciales, por su cuenta, lunes y miércoles a las 20. Las de patagonian dentro del horario laboral le cuesta"&amp;"n.
- Project Techs | Learning: 4
- Techs | Research: 4
- Project Techs | Difficulty: 2
- Project Changes | Reasons: 🔀 Cambio de roles dentro del equipo
- Project Changes | Personal Impact: 4
- Project Role | Value: 5
- Project role | Notes: Le gusta el p"&amp;"royecto, está más tranquilo respecto a tener alguien que le hace code review. Son tecnologías nuevas que le resultan atractivas.")</f>
        <v>- Interviewee e-Mail: federico.matos@patagonian.com
- Project Status Check: PST: Está trabajando en Patagonian Skills Tracker, está haciendo tickets del backlog. Remix JS con Strappy CMS. Tailwind como framework de UI.
- Project Changes | Notes: Cambió el PM en el camino. Entró Mariano Sckerl como QA. Se fue Gian Fois, quien le hizo el onboarding.
- Project Role | Feeling: 5
- Extra Work Hours | Amount: 0 (Ningúna)
- Techs | Research: Redundante esta pregunta. Se mencionó que está aprendiendo las tecnologías leyendo la documentación oficial.
- Collaborator | Seniority: 👍 No, es correcto
- Final notes: Valorable que está tomando clases de inglés presenciales, por su cuenta, lunes y miércoles a las 20. Las de patagonian dentro del horario laboral le cuestan.
- Project Techs | Learning: 4
- Techs | Research: 4
- Project Techs | Difficulty: 2
- Project Changes | Reasons: 🔀 Cambio de roles dentro del equipo
- Project Changes | Personal Impact: 4
- Project Role | Value: 5
- Project role | Notes: Le gusta el proyecto, está más tranquilo respecto a tener alguien que le hace code review. Son tecnologías nuevas que le resultan atractivas.</v>
      </c>
      <c r="J484" s="4" t="str">
        <f>IFERROR(__xludf.DUMMYFUNCTION("""COMPUTED_VALUE"""),"Tech Referent - OneOnOne")</f>
        <v>Tech Referent - OneOnOne</v>
      </c>
    </row>
    <row r="485" hidden="1">
      <c r="A485" s="4">
        <f>IFERROR(__xludf.DUMMYFUNCTION("""COMPUTED_VALUE"""),298.0)</f>
        <v>298</v>
      </c>
      <c r="B485" s="4" t="str">
        <f>IFERROR(__xludf.DUMMYFUNCTION("""COMPUTED_VALUE"""),"manuel.ortega")</f>
        <v>manuel.ortega</v>
      </c>
      <c r="C485" s="5">
        <f>IFERROR(__xludf.DUMMYFUNCTION("""COMPUTED_VALUE"""),45153.72862223379)</f>
        <v>45153.72862</v>
      </c>
      <c r="D485" s="5">
        <f>IFERROR(__xludf.DUMMYFUNCTION("""COMPUTED_VALUE"""),45153.0)</f>
        <v>45153</v>
      </c>
      <c r="E485" s="4" t="str">
        <f>IFERROR(__xludf.DUMMYFUNCTION("""COMPUTED_VALUE"""),"daniela.morales@patagoniansys.com")</f>
        <v>daniela.morales@patagoniansys.com</v>
      </c>
      <c r="F485" s="4" t="str">
        <f>IFERROR(__xludf.DUMMYFUNCTION("""COMPUTED_VALUE"""),"manuel.ortega@patagoniansys.com")</f>
        <v>manuel.ortega@patagoniansys.com</v>
      </c>
      <c r="G485" s="4" t="str">
        <f>IFERROR(__xludf.DUMMYFUNCTION("""COMPUTED_VALUE"""),"⏱ One on One")</f>
        <v>⏱ One on One</v>
      </c>
      <c r="H485" s="4" t="str">
        <f>IFERROR(__xludf.DUMMYFUNCTION("""COMPUTED_VALUE"""),"🙂 Feliz")</f>
        <v>🙂 Feliz</v>
      </c>
      <c r="I485" s="6" t="str">
        <f>IFERROR(__xludf.DUMMYFUNCTION("""COMPUTED_VALUE"""),"Me cuenta que en general está bastante contento con su equipo, hace poco cambió de proyecto y como sale a vacaciones está entrenando a dos de sus compañeros para suplir las tareas. Se encuentra tranquilo en este momento y le gusta el proyecto al que fue a"&amp;"signado. ")</f>
        <v>Me cuenta que en general está bastante contento con su equipo, hace poco cambió de proyecto y como sale a vacaciones está entrenando a dos de sus compañeros para suplir las tareas. Se encuentra tranquilo en este momento y le gusta el proyecto al que fue asignado. </v>
      </c>
      <c r="J485" s="4" t="str">
        <f>IFERROR(__xludf.DUMMYFUNCTION("""COMPUTED_VALUE"""),"PX|Referents|RRHH")</f>
        <v>PX|Referents|RRHH</v>
      </c>
    </row>
    <row r="486" hidden="1">
      <c r="A486" s="4">
        <f>IFERROR(__xludf.DUMMYFUNCTION("""COMPUTED_VALUE"""),293.0)</f>
        <v>293</v>
      </c>
      <c r="B486" s="4" t="str">
        <f>IFERROR(__xludf.DUMMYFUNCTION("""COMPUTED_VALUE"""),"andres.caceres")</f>
        <v>andres.caceres</v>
      </c>
      <c r="C486" s="5">
        <f>IFERROR(__xludf.DUMMYFUNCTION("""COMPUTED_VALUE"""),45153.739291666665)</f>
        <v>45153.73929</v>
      </c>
      <c r="D486" s="5">
        <f>IFERROR(__xludf.DUMMYFUNCTION("""COMPUTED_VALUE"""),45153.0)</f>
        <v>45153</v>
      </c>
      <c r="E486" s="4" t="str">
        <f>IFERROR(__xludf.DUMMYFUNCTION("""COMPUTED_VALUE"""),"daniela.morales@patagoniansys.com")</f>
        <v>daniela.morales@patagoniansys.com</v>
      </c>
      <c r="F486" s="4" t="str">
        <f>IFERROR(__xludf.DUMMYFUNCTION("""COMPUTED_VALUE"""),"andres.caceres@patagoniansys.com")</f>
        <v>andres.caceres@patagoniansys.com</v>
      </c>
      <c r="G486" s="4" t="str">
        <f>IFERROR(__xludf.DUMMYFUNCTION("""COMPUTED_VALUE"""),"⏱ One on One")</f>
        <v>⏱ One on One</v>
      </c>
      <c r="H486" s="4" t="str">
        <f>IFERROR(__xludf.DUMMYFUNCTION("""COMPUTED_VALUE"""),"😀 Sumamente Feliz")</f>
        <v>😀 Sumamente Feliz</v>
      </c>
      <c r="I486" s="6" t="str">
        <f>IFERROR(__xludf.DUMMYFUNCTION("""COMPUTED_VALUE"""),"Se encuentra bastante contento en el momento, me cuenta que hace poco terminó un proyecto y está próximo a ser asignado a otro. Está haciendo una certificación en react que planea terminar antes de ser asignado. Se encuentra muy feliz con el equipo, con l"&amp;"a empresa también, aunque estuvo con bastante incertidumbre un par de semanas, ahora está más tranquilo por la posibilidad de los nuevos proyectos y por tener más claridad frente al contexto. ")</f>
        <v>Se encuentra bastante contento en el momento, me cuenta que hace poco terminó un proyecto y está próximo a ser asignado a otro. Está haciendo una certificación en react que planea terminar antes de ser asignado. Se encuentra muy feliz con el equipo, con la empresa también, aunque estuvo con bastante incertidumbre un par de semanas, ahora está más tranquilo por la posibilidad de los nuevos proyectos y por tener más claridad frente al contexto. </v>
      </c>
      <c r="J486" s="4" t="str">
        <f>IFERROR(__xludf.DUMMYFUNCTION("""COMPUTED_VALUE"""),"PX|Referents|RRHH")</f>
        <v>PX|Referents|RRHH</v>
      </c>
    </row>
    <row r="487" hidden="1">
      <c r="A487" s="4">
        <f>IFERROR(__xludf.DUMMYFUNCTION("""COMPUTED_VALUE"""),291.0)</f>
        <v>291</v>
      </c>
      <c r="B487" s="4" t="str">
        <f>IFERROR(__xludf.DUMMYFUNCTION("""COMPUTED_VALUE"""),"angel.gonzalez")</f>
        <v>angel.gonzalez</v>
      </c>
      <c r="C487" s="5">
        <f>IFERROR(__xludf.DUMMYFUNCTION("""COMPUTED_VALUE"""),45154.67843961805)</f>
        <v>45154.67844</v>
      </c>
      <c r="D487" s="5">
        <f>IFERROR(__xludf.DUMMYFUNCTION("""COMPUTED_VALUE"""),45154.0)</f>
        <v>45154</v>
      </c>
      <c r="E487" s="4" t="str">
        <f>IFERROR(__xludf.DUMMYFUNCTION("""COMPUTED_VALUE"""),"daniela.morales@patagoniansys.com")</f>
        <v>daniela.morales@patagoniansys.com</v>
      </c>
      <c r="F487" s="4" t="str">
        <f>IFERROR(__xludf.DUMMYFUNCTION("""COMPUTED_VALUE"""),"angel.gonzalez@patagoniansys.com")</f>
        <v>angel.gonzalez@patagoniansys.com</v>
      </c>
      <c r="G487" s="4" t="str">
        <f>IFERROR(__xludf.DUMMYFUNCTION("""COMPUTED_VALUE"""),"⏱ One on One")</f>
        <v>⏱ One on One</v>
      </c>
      <c r="H487" s="4" t="str">
        <f>IFERROR(__xludf.DUMMYFUNCTION("""COMPUTED_VALUE"""),"🙂 Feliz")</f>
        <v>🙂 Feliz</v>
      </c>
      <c r="I487" s="6" t="str">
        <f>IFERROR(__xludf.DUMMYFUNCTION("""COMPUTED_VALUE"""),"En el momento se encuentra bastante tranquilo, está contento con el proyecto en el que está trabajando, ha estado capacitándose en tecnologías más enfocadas a react y javascript. ")</f>
        <v>En el momento se encuentra bastante tranquilo, está contento con el proyecto en el que está trabajando, ha estado capacitándose en tecnologías más enfocadas a react y javascript. </v>
      </c>
      <c r="J487" s="4" t="str">
        <f>IFERROR(__xludf.DUMMYFUNCTION("""COMPUTED_VALUE"""),"PX|Referents|RRHH")</f>
        <v>PX|Referents|RRHH</v>
      </c>
    </row>
    <row r="488" hidden="1">
      <c r="A488" s="4">
        <f>IFERROR(__xludf.DUMMYFUNCTION("""COMPUTED_VALUE"""),185.0)</f>
        <v>185</v>
      </c>
      <c r="B488" s="4" t="str">
        <f>IFERROR(__xludf.DUMMYFUNCTION("""COMPUTED_VALUE"""),"carla.castiglia")</f>
        <v>carla.castiglia</v>
      </c>
      <c r="C488" s="5">
        <f>IFERROR(__xludf.DUMMYFUNCTION("""COMPUTED_VALUE"""),45161.76642887732)</f>
        <v>45161.76643</v>
      </c>
      <c r="D488" s="5">
        <f>IFERROR(__xludf.DUMMYFUNCTION("""COMPUTED_VALUE"""),45154.0)</f>
        <v>45154</v>
      </c>
      <c r="E488" s="4" t="str">
        <f>IFERROR(__xludf.DUMMYFUNCTION("""COMPUTED_VALUE"""),"micaela.zorzetto@patagoniansys.com")</f>
        <v>micaela.zorzetto@patagoniansys.com</v>
      </c>
      <c r="F488" s="4" t="str">
        <f>IFERROR(__xludf.DUMMYFUNCTION("""COMPUTED_VALUE"""),"carla.castiglia@patagoniansys.com")</f>
        <v>carla.castiglia@patagoniansys.com</v>
      </c>
      <c r="G488" s="4" t="str">
        <f>IFERROR(__xludf.DUMMYFUNCTION("""COMPUTED_VALUE"""),"⏱ One on One")</f>
        <v>⏱ One on One</v>
      </c>
      <c r="H488" s="4" t="str">
        <f>IFERROR(__xludf.DUMMYFUNCTION("""COMPUTED_VALUE"""),"🙂 Feliz")</f>
        <v>🙂 Feliz</v>
      </c>
      <c r="I488" s="6" t="str">
        <f>IFERROR(__xludf.DUMMYFUNCTION("""COMPUTED_VALUE"""),"Carla esta terminando algunas asignaciones/pedidos que le hacen de al mundo, ya que esta proximo a terminar el proyecto. 
Una vez que eso pase se va a enfocar en el plan de carrera.")</f>
        <v>Carla esta terminando algunas asignaciones/pedidos que le hacen de al mundo, ya que esta proximo a terminar el proyecto. 
Una vez que eso pase se va a enfocar en el plan de carrera.</v>
      </c>
      <c r="J488" s="4" t="str">
        <f>IFERROR(__xludf.DUMMYFUNCTION("""COMPUTED_VALUE"""),"PX|Referents|RRHH")</f>
        <v>PX|Referents|RRHH</v>
      </c>
    </row>
    <row r="489" hidden="1">
      <c r="A489" s="4">
        <f>IFERROR(__xludf.DUMMYFUNCTION("""COMPUTED_VALUE"""),69.0)</f>
        <v>69</v>
      </c>
      <c r="B489" s="4" t="str">
        <f>IFERROR(__xludf.DUMMYFUNCTION("""COMPUTED_VALUE"""),"carlos.igal")</f>
        <v>carlos.igal</v>
      </c>
      <c r="C489" s="5">
        <f>IFERROR(__xludf.DUMMYFUNCTION("""COMPUTED_VALUE"""),45162.68854152778)</f>
        <v>45162.68854</v>
      </c>
      <c r="D489" s="5">
        <f>IFERROR(__xludf.DUMMYFUNCTION("""COMPUTED_VALUE"""),45154.0)</f>
        <v>45154</v>
      </c>
      <c r="E489" s="4" t="str">
        <f>IFERROR(__xludf.DUMMYFUNCTION("""COMPUTED_VALUE"""),"sebastian.charre@patagoniansys.com")</f>
        <v>sebastian.charre@patagoniansys.com</v>
      </c>
      <c r="F489" s="4" t="str">
        <f>IFERROR(__xludf.DUMMYFUNCTION("""COMPUTED_VALUE"""),"carlos.igal@patagoniansys.com")</f>
        <v>carlos.igal@patagoniansys.com</v>
      </c>
      <c r="G489" s="4" t="str">
        <f>IFERROR(__xludf.DUMMYFUNCTION("""COMPUTED_VALUE"""),"⏱ One on One")</f>
        <v>⏱ One on One</v>
      </c>
      <c r="H489" s="4" t="str">
        <f>IFERROR(__xludf.DUMMYFUNCTION("""COMPUTED_VALUE"""),"🙂 Feliz")</f>
        <v>🙂 Feliz</v>
      </c>
      <c r="I489" s="6" t="str">
        <f>IFERROR(__xludf.DUMMYFUNCTION("""COMPUTED_VALUE"""),"Halliburton Alarmas
Desarrollo de script para la deteccion de cambios de direccion ip en las maquinas con la aplicacion en los sets de fractura. Dicho script realiza la deteccion del cambio de ip, actualiza los archivos de deployment del frontend que se "&amp;"ejecuta en la base de Neuquen, y reinicia dichos despliegues para que se tome la nueva ip. Esto posibilita que en todo momento, desde la base de Neuquen, se pueda acceder remotamente a la aplicacion y se pueda ver el estado de los equipos.
Continuo con el"&amp;" desarrollo del proceso de despliegue continuo.
Estuvo colaborando con la descarga de las distintas imagenes de docker para realizar pruebas con el servicio data-syncronizer en la systelx
Estuvo realizando troubleshooting de servidores con problemas de co"&amp;"nexion
Participe en las daily's, retro's, performance,planning,discovery,review meetings
Halliburton Pemex
Participo en las daily's, retro's, performance,planning,discovery,review meetings
Participo en reuniones entre Halliburton, Pemex y Vmware sobre la"&amp;" implementacion del cluster de kubernetes Tanzu en la infraestructura de Pemex
Estuvo monitoreando el correcto funcionamiento de los pipelines que permiten a partir del codigo de gitlab generar las imagenes docker que luego se despliegan en el entorno de "&amp;"desarrollo")</f>
        <v>Halliburton Alarmas
Desarrollo de script para la deteccion de cambios de direccion ip en las maquinas con la aplicacion en los sets de fractura. Dicho script realiza la deteccion del cambio de ip, actualiza los archivos de deployment del frontend que se ejecuta en la base de Neuquen, y reinicia dichos despliegues para que se tome la nueva ip. Esto posibilita que en todo momento, desde la base de Neuquen, se pueda acceder remotamente a la aplicacion y se pueda ver el estado de los equipos.
Continuo con el desarrollo del proceso de despliegue continuo.
Estuvo colaborando con la descarga de las distintas imagenes de docker para realizar pruebas con el servicio data-syncronizer en la systelx
Estuvo realizando troubleshooting de servidores con problemas de conexion
Participe en las daily's, retro's, performance,planning,discovery,review meetings
Halliburton Pemex
Participo en las daily's, retro's, performance,planning,discovery,review meetings
Participo en reuniones entre Halliburton, Pemex y Vmware sobre la implementacion del cluster de kubernetes Tanzu en la infraestructura de Pemex
Estuvo monitoreando el correcto funcionamiento de los pipelines que permiten a partir del codigo de gitlab generar las imagenes docker que luego se despliegan en el entorno de desarrollo</v>
      </c>
      <c r="J489" s="4" t="str">
        <f>IFERROR(__xludf.DUMMYFUNCTION("""COMPUTED_VALUE"""),"PX|Referents|RRHH")</f>
        <v>PX|Referents|RRHH</v>
      </c>
    </row>
    <row r="490" hidden="1">
      <c r="A490" s="4">
        <f>IFERROR(__xludf.DUMMYFUNCTION("""COMPUTED_VALUE"""),243.0)</f>
        <v>243</v>
      </c>
      <c r="B490" s="4" t="str">
        <f>IFERROR(__xludf.DUMMYFUNCTION("""COMPUTED_VALUE"""),"fernando.estevez")</f>
        <v>fernando.estevez</v>
      </c>
      <c r="C490" s="5">
        <f>IFERROR(__xludf.DUMMYFUNCTION("""COMPUTED_VALUE"""),45169.614289930556)</f>
        <v>45169.61429</v>
      </c>
      <c r="D490" s="5">
        <f>IFERROR(__xludf.DUMMYFUNCTION("""COMPUTED_VALUE"""),45154.0)</f>
        <v>45154</v>
      </c>
      <c r="E490" s="4" t="str">
        <f>IFERROR(__xludf.DUMMYFUNCTION("""COMPUTED_VALUE"""),"micaela.zorzetto@patagoniansys.com")</f>
        <v>micaela.zorzetto@patagoniansys.com</v>
      </c>
      <c r="F490" s="4" t="str">
        <f>IFERROR(__xludf.DUMMYFUNCTION("""COMPUTED_VALUE"""),"fernando.estevez@patagoniansys.com")</f>
        <v>fernando.estevez@patagoniansys.com</v>
      </c>
      <c r="G490" s="4" t="str">
        <f>IFERROR(__xludf.DUMMYFUNCTION("""COMPUTED_VALUE"""),"⏱ One on One")</f>
        <v>⏱ One on One</v>
      </c>
      <c r="H490" s="4" t="str">
        <f>IFERROR(__xludf.DUMMYFUNCTION("""COMPUTED_VALUE"""),"🙂 Feliz")</f>
        <v>🙂 Feliz</v>
      </c>
      <c r="I490" s="6" t="str">
        <f>IFERROR(__xludf.DUMMYFUNCTION("""COMPUTED_VALUE"""),"Fer esta contento en el proyecto, esta aprendiendo mucho. 
Se siente cómodo con su compañero y con el PM.")</f>
        <v>Fer esta contento en el proyecto, esta aprendiendo mucho. 
Se siente cómodo con su compañero y con el PM.</v>
      </c>
      <c r="J490" s="4" t="str">
        <f>IFERROR(__xludf.DUMMYFUNCTION("""COMPUTED_VALUE"""),"PX|Referents|RRHH")</f>
        <v>PX|Referents|RRHH</v>
      </c>
    </row>
    <row r="491" hidden="1">
      <c r="A491" s="4">
        <f>IFERROR(__xludf.DUMMYFUNCTION("""COMPUTED_VALUE"""),125.0)</f>
        <v>125</v>
      </c>
      <c r="B491" s="4" t="str">
        <f>IFERROR(__xludf.DUMMYFUNCTION("""COMPUTED_VALUE"""),"pablo.triandafilide")</f>
        <v>pablo.triandafilide</v>
      </c>
      <c r="C491" s="5">
        <f>IFERROR(__xludf.DUMMYFUNCTION("""COMPUTED_VALUE"""),45169.616539664356)</f>
        <v>45169.61654</v>
      </c>
      <c r="D491" s="5">
        <f>IFERROR(__xludf.DUMMYFUNCTION("""COMPUTED_VALUE"""),45154.0)</f>
        <v>45154</v>
      </c>
      <c r="E491" s="4" t="str">
        <f>IFERROR(__xludf.DUMMYFUNCTION("""COMPUTED_VALUE"""),"micaela.zorzetto@patagoniansys.com")</f>
        <v>micaela.zorzetto@patagoniansys.com</v>
      </c>
      <c r="F491" s="4" t="str">
        <f>IFERROR(__xludf.DUMMYFUNCTION("""COMPUTED_VALUE"""),"pablo.triandafilide@patagoniansys.com")</f>
        <v>pablo.triandafilide@patagoniansys.com</v>
      </c>
      <c r="G491" s="4" t="str">
        <f>IFERROR(__xludf.DUMMYFUNCTION("""COMPUTED_VALUE"""),"⏱ One on One")</f>
        <v>⏱ One on One</v>
      </c>
      <c r="H491" s="4" t="str">
        <f>IFERROR(__xludf.DUMMYFUNCTION("""COMPUTED_VALUE"""),"🙂 Feliz")</f>
        <v>🙂 Feliz</v>
      </c>
      <c r="I491" s="6" t="str">
        <f>IFERROR(__xludf.DUMMYFUNCTION("""COMPUTED_VALUE"""),"Pablo ahora esta tranquilo, ahora esta buscando volver a recuperar y mejorar su performance. Ya que por cuestiones personales, se le complicaba enfocarse en el trabajo.")</f>
        <v>Pablo ahora esta tranquilo, ahora esta buscando volver a recuperar y mejorar su performance. Ya que por cuestiones personales, se le complicaba enfocarse en el trabajo.</v>
      </c>
      <c r="J491" s="4" t="str">
        <f>IFERROR(__xludf.DUMMYFUNCTION("""COMPUTED_VALUE"""),"PX|Referents|RRHH")</f>
        <v>PX|Referents|RRHH</v>
      </c>
    </row>
    <row r="492" hidden="1">
      <c r="A492" s="4">
        <f>IFERROR(__xludf.DUMMYFUNCTION("""COMPUTED_VALUE"""),220.0)</f>
        <v>220</v>
      </c>
      <c r="B492" s="4" t="str">
        <f>IFERROR(__xludf.DUMMYFUNCTION("""COMPUTED_VALUE"""),"andres.rudqvist")</f>
        <v>andres.rudqvist</v>
      </c>
      <c r="C492" s="5">
        <f>IFERROR(__xludf.DUMMYFUNCTION("""COMPUTED_VALUE"""),45155.67170723379)</f>
        <v>45155.67171</v>
      </c>
      <c r="D492" s="5">
        <f>IFERROR(__xludf.DUMMYFUNCTION("""COMPUTED_VALUE"""),45155.0)</f>
        <v>45155</v>
      </c>
      <c r="E492" s="4" t="str">
        <f>IFERROR(__xludf.DUMMYFUNCTION("""COMPUTED_VALUE"""),"daniela.morales@patagoniansys.com")</f>
        <v>daniela.morales@patagoniansys.com</v>
      </c>
      <c r="F492" s="4" t="str">
        <f>IFERROR(__xludf.DUMMYFUNCTION("""COMPUTED_VALUE"""),"andres.rudqvist@patagoniansys.com")</f>
        <v>andres.rudqvist@patagoniansys.com</v>
      </c>
      <c r="G492" s="4" t="str">
        <f>IFERROR(__xludf.DUMMYFUNCTION("""COMPUTED_VALUE"""),"⏱ One on One")</f>
        <v>⏱ One on One</v>
      </c>
      <c r="H492" s="4" t="str">
        <f>IFERROR(__xludf.DUMMYFUNCTION("""COMPUTED_VALUE"""),"😐 Indiferente")</f>
        <v>😐 Indiferente</v>
      </c>
      <c r="I492" s="6" t="str">
        <f>IFERROR(__xludf.DUMMYFUNCTION("""COMPUTED_VALUE"""),"Se encuentra bastante bien en general, está tranquilo con el proyecto y con el equipo. Surgieron algunas dudas frente al plan carrera y el tema de recategorización que se solucionaron. ")</f>
        <v>Se encuentra bastante bien en general, está tranquilo con el proyecto y con el equipo. Surgieron algunas dudas frente al plan carrera y el tema de recategorización que se solucionaron. </v>
      </c>
      <c r="J492" s="4" t="str">
        <f>IFERROR(__xludf.DUMMYFUNCTION("""COMPUTED_VALUE"""),"PX|Referents|RRHH")</f>
        <v>PX|Referents|RRHH</v>
      </c>
    </row>
    <row r="493" hidden="1">
      <c r="A493" s="4">
        <f>IFERROR(__xludf.DUMMYFUNCTION("""COMPUTED_VALUE"""),154.0)</f>
        <v>154</v>
      </c>
      <c r="B493" s="4" t="str">
        <f>IFERROR(__xludf.DUMMYFUNCTION("""COMPUTED_VALUE"""),"esteban.camacho")</f>
        <v>esteban.camacho</v>
      </c>
      <c r="C493" s="5">
        <f>IFERROR(__xludf.DUMMYFUNCTION("""COMPUTED_VALUE"""),45159.51326452546)</f>
        <v>45159.51326</v>
      </c>
      <c r="D493" s="5">
        <f>IFERROR(__xludf.DUMMYFUNCTION("""COMPUTED_VALUE"""),45155.0)</f>
        <v>45155</v>
      </c>
      <c r="E493" s="4" t="str">
        <f>IFERROR(__xludf.DUMMYFUNCTION("""COMPUTED_VALUE"""),"hernan.muras@patagoniansys.com")</f>
        <v>hernan.muras@patagoniansys.com</v>
      </c>
      <c r="F493" s="4" t="str">
        <f>IFERROR(__xludf.DUMMYFUNCTION("""COMPUTED_VALUE"""),"esteban.camacho@patagoniansys.com")</f>
        <v>esteban.camacho@patagoniansys.com</v>
      </c>
      <c r="G493" s="4" t="str">
        <f>IFERROR(__xludf.DUMMYFUNCTION("""COMPUTED_VALUE"""),"⏱ One on One")</f>
        <v>⏱ One on One</v>
      </c>
      <c r="H493" s="4" t="str">
        <f>IFERROR(__xludf.DUMMYFUNCTION("""COMPUTED_VALUE"""),"😀 Sumamente Feliz")</f>
        <v>😀 Sumamente Feliz</v>
      </c>
      <c r="I493" s="6" t="str">
        <f>IFERROR(__xludf.DUMMYFUNCTION("""COMPUTED_VALUE"""),"Esteban me dice que está muy bien en el proyecto. El hecho que hayan decidido extender su asignación 2 veces consecutivas lo hacen sentir reconocido por el cliente, quien por cierto siempre recalca lo agradable que es trabajar con él, y el valor que aport"&amp;"a al desarrollo. En esta última etapa no está en un equipo fijo, si no que va rotando entre equipos para ir solventando las necesidades que surgen. ")</f>
        <v>Esteban me dice que está muy bien en el proyecto. El hecho que hayan decidido extender su asignación 2 veces consecutivas lo hacen sentir reconocido por el cliente, quien por cierto siempre recalca lo agradable que es trabajar con él, y el valor que aporta al desarrollo. En esta última etapa no está en un equipo fijo, si no que va rotando entre equipos para ir solventando las necesidades que surgen. </v>
      </c>
      <c r="J493" s="4" t="str">
        <f>IFERROR(__xludf.DUMMYFUNCTION("""COMPUTED_VALUE"""),"PX|Referents|RRHH")</f>
        <v>PX|Referents|RRHH</v>
      </c>
    </row>
    <row r="494" hidden="1">
      <c r="A494" s="4">
        <f>IFERROR(__xludf.DUMMYFUNCTION("""COMPUTED_VALUE"""),131.0)</f>
        <v>131</v>
      </c>
      <c r="B494" s="4" t="str">
        <f>IFERROR(__xludf.DUMMYFUNCTION("""COMPUTED_VALUE"""),"luis.luna")</f>
        <v>luis.luna</v>
      </c>
      <c r="C494" s="5">
        <f>IFERROR(__xludf.DUMMYFUNCTION("""COMPUTED_VALUE"""),45161.765403923615)</f>
        <v>45161.7654</v>
      </c>
      <c r="D494" s="5">
        <f>IFERROR(__xludf.DUMMYFUNCTION("""COMPUTED_VALUE"""),45155.0)</f>
        <v>45155</v>
      </c>
      <c r="E494" s="4" t="str">
        <f>IFERROR(__xludf.DUMMYFUNCTION("""COMPUTED_VALUE"""),"micaela.zorzetto@patagoniansys.com")</f>
        <v>micaela.zorzetto@patagoniansys.com</v>
      </c>
      <c r="F494" s="4" t="str">
        <f>IFERROR(__xludf.DUMMYFUNCTION("""COMPUTED_VALUE"""),"luis.luna@patagoniansys.com")</f>
        <v>luis.luna@patagoniansys.com</v>
      </c>
      <c r="G494" s="4" t="str">
        <f>IFERROR(__xludf.DUMMYFUNCTION("""COMPUTED_VALUE"""),"👋 RRHH")</f>
        <v>👋 RRHH</v>
      </c>
      <c r="H494" s="4" t="str">
        <f>IFERROR(__xludf.DUMMYFUNCTION("""COMPUTED_VALUE"""),"😐 Indiferente")</f>
        <v>😐 Indiferente</v>
      </c>
      <c r="I494" s="6" t="str">
        <f>IFERROR(__xludf.DUMMYFUNCTION("""COMPUTED_VALUE"""),"En el equipo del proyecto que esta ahora, no tiene muchas tareas de .Net para hacer, solo hay cosas alternativas. Al tener diferencia horaria, se le complica un poco conectar con el equipo por parte del cliente o saber que tarea debe tomar y cual no.
Esta"&amp;" situación lo tiene incómodo, ya que no se siente bien no teniendo nada para hacer, siente que le falta información como para saber para donde ir o no sabe si él no esta viendo algo. Tiene que estar siempre pendiente lo que el lider le dice de hacer, ya q"&amp;"ue ellos tampoco lo tienen muy en claro.
Me comentó que el cliente abrió la búsqueda de un Ingniero .Net, lo cual lo alarmó, ya que hace algunas semanas rescindieron el contrato de otros compañeros que eran externos al cliente. (De esta situación ya esta"&amp;" al tanto su PM-Marcela Benavides)")</f>
        <v>En el equipo del proyecto que esta ahora, no tiene muchas tareas de .Net para hacer, solo hay cosas alternativas. Al tener diferencia horaria, se le complica un poco conectar con el equipo por parte del cliente o saber que tarea debe tomar y cual no.
Esta situación lo tiene incómodo, ya que no se siente bien no teniendo nada para hacer, siente que le falta información como para saber para donde ir o no sabe si él no esta viendo algo. Tiene que estar siempre pendiente lo que el lider le dice de hacer, ya que ellos tampoco lo tienen muy en claro.
Me comentó que el cliente abrió la búsqueda de un Ingniero .Net, lo cual lo alarmó, ya que hace algunas semanas rescindieron el contrato de otros compañeros que eran externos al cliente. (De esta situación ya esta al tanto su PM-Marcela Benavides)</v>
      </c>
      <c r="J494" s="4" t="str">
        <f>IFERROR(__xludf.DUMMYFUNCTION("""COMPUTED_VALUE"""),"PX|Referents|RRHH")</f>
        <v>PX|Referents|RRHH</v>
      </c>
    </row>
    <row r="495">
      <c r="A495" s="4">
        <f>IFERROR(__xludf.DUMMYFUNCTION("""COMPUTED_VALUE"""),298.0)</f>
        <v>298</v>
      </c>
      <c r="B495" s="4" t="str">
        <f>IFERROR(__xludf.DUMMYFUNCTION("""COMPUTED_VALUE"""),"manuel.ortega")</f>
        <v>manuel.ortega</v>
      </c>
      <c r="C495" s="5">
        <f>IFERROR(__xludf.DUMMYFUNCTION("""COMPUTED_VALUE"""),45156.53178586806)</f>
        <v>45156.53179</v>
      </c>
      <c r="D495" s="5">
        <f>IFERROR(__xludf.DUMMYFUNCTION("""COMPUTED_VALUE"""),45156.0)</f>
        <v>45156</v>
      </c>
      <c r="E495" s="4" t="str">
        <f>IFERROR(__xludf.DUMMYFUNCTION("""COMPUTED_VALUE"""),"luciano.fuentes@patagoniansys.com")</f>
        <v>luciano.fuentes@patagoniansys.com</v>
      </c>
      <c r="F495" s="4" t="str">
        <f>IFERROR(__xludf.DUMMYFUNCTION("""COMPUTED_VALUE"""),"manuel.ortega@patagonian.com")</f>
        <v>manuel.ortega@patagonian.com</v>
      </c>
      <c r="G495" s="4" t="str">
        <f>IFERROR(__xludf.DUMMYFUNCTION("""COMPUTED_VALUE"""),"Referent One on One")</f>
        <v>Referent One on One</v>
      </c>
      <c r="H495" s="4"/>
      <c r="I495" s="6" t="str">
        <f>IFERROR(__xludf.DUMMYFUNCTION("""COMPUTED_VALUE"""),"- Interviewee e-Mail: manuel.ortega@patagonian.com
- Project Status Check: Power app de low code.
Hizo el MVP de vista energy y se entrego
Hizo entrenamiento de power apps a otros compañeros
- Project Role | Feeling: 5
- Extra Work Hours | Amount: 0 (Ning"&amp;"úna)
- Techs | Recomendations: https://ui.shadcn.com/examples/tasks
- Techs | Recomendations check: Si, le gusta 
- Collaborator | Seniority: 👍 No, es correcto
- Alerts: No
- Final notes: Se va de vacaciones 3 semanas. Hizo una entrega de MVP a Vista Ene"&amp;"rgy desarrollado con la tecnologia PowerApp. 
Tuvo capacitándose mucho con esta tecnología por lo que veo valioso tener a alguien experto en PowerApp
- Project Techs | Learning: 1
- Project Techs | Difficulty: 4
- Project Changes | Reasons: 🟰 No hubo cam"&amp;"bios
- Project Role | Value: 5
- Project role | Notes: La capacitacion de PowerApps le permitio incorporar conocimiento con uan herramienta que en la empresa no hay")</f>
        <v>- Interviewee e-Mail: manuel.ortega@patagonian.com
- Project Status Check: Power app de low code.
Hizo el MVP de vista energy y se entrego
Hizo entrenamiento de power apps a otros compañeros
- Project Role | Feeling: 5
- Extra Work Hours | Amount: 0 (Ningúna)
- Techs | Recomendations: https://ui.shadcn.com/examples/tasks
- Techs | Recomendations check: Si, le gusta 
- Collaborator | Seniority: 👍 No, es correcto
- Alerts: No
- Final notes: Se va de vacaciones 3 semanas. Hizo una entrega de MVP a Vista Energy desarrollado con la tecnologia PowerApp. 
Tuvo capacitándose mucho con esta tecnología por lo que veo valioso tener a alguien experto en PowerApp
- Project Techs | Learning: 1
- Project Techs | Difficulty: 4
- Project Changes | Reasons: 🟰 No hubo cambios
- Project Role | Value: 5
- Project role | Notes: La capacitacion de PowerApps le permitio incorporar conocimiento con uan herramienta que en la empresa no hay</v>
      </c>
      <c r="J495" s="4" t="str">
        <f>IFERROR(__xludf.DUMMYFUNCTION("""COMPUTED_VALUE"""),"Tech Referent - OneOnOne")</f>
        <v>Tech Referent - OneOnOne</v>
      </c>
    </row>
    <row r="496" hidden="1">
      <c r="A496" s="4">
        <f>IFERROR(__xludf.DUMMYFUNCTION("""COMPUTED_VALUE"""),85.0)</f>
        <v>85</v>
      </c>
      <c r="B496" s="4" t="str">
        <f>IFERROR(__xludf.DUMMYFUNCTION("""COMPUTED_VALUE"""),"camila.maron")</f>
        <v>camila.maron</v>
      </c>
      <c r="C496" s="5">
        <f>IFERROR(__xludf.DUMMYFUNCTION("""COMPUTED_VALUE"""),45156.563102476845)</f>
        <v>45156.5631</v>
      </c>
      <c r="D496" s="5">
        <f>IFERROR(__xludf.DUMMYFUNCTION("""COMPUTED_VALUE"""),45156.0)</f>
        <v>45156</v>
      </c>
      <c r="E496" s="4" t="str">
        <f>IFERROR(__xludf.DUMMYFUNCTION("""COMPUTED_VALUE"""),"jesica.petrauskas@patagoniansys.com")</f>
        <v>jesica.petrauskas@patagoniansys.com</v>
      </c>
      <c r="F496" s="4" t="str">
        <f>IFERROR(__xludf.DUMMYFUNCTION("""COMPUTED_VALUE"""),"camila.maron@patagoniansys.com")</f>
        <v>camila.maron@patagoniansys.com</v>
      </c>
      <c r="G496" s="4" t="str">
        <f>IFERROR(__xludf.DUMMYFUNCTION("""COMPUTED_VALUE"""),"⏱ One on One")</f>
        <v>⏱ One on One</v>
      </c>
      <c r="H496" s="4" t="str">
        <f>IFERROR(__xludf.DUMMYFUNCTION("""COMPUTED_VALUE"""),"😐 Indiferente")</f>
        <v>😐 Indiferente</v>
      </c>
      <c r="I496" s="6" t="str">
        <f>IFERROR(__xludf.DUMMYFUNCTION("""COMPUTED_VALUE"""),"Con el proyecto está bien, ve desafiante la funcionalidad nueva que estamos desarrollando porque es una tec nueva diferente y además es front end. Tiene intención de finalizar la certificación de azure pero necesita dedicarle tiempo fuera del horario labo"&amp;"ral. Sobre el career path le interesa pero no sabe cómo se va a ejecutar y tampoco si va a tener tiempo de dedicarle dentro del horario de trabajo. Tuvo sólo 1 reu con el referente técnico.")</f>
        <v>Con el proyecto está bien, ve desafiante la funcionalidad nueva que estamos desarrollando porque es una tec nueva diferente y además es front end. Tiene intención de finalizar la certificación de azure pero necesita dedicarle tiempo fuera del horario laboral. Sobre el career path le interesa pero no sabe cómo se va a ejecutar y tampoco si va a tener tiempo de dedicarle dentro del horario de trabajo. Tuvo sólo 1 reu con el referente técnico.</v>
      </c>
      <c r="J496" s="4" t="str">
        <f>IFERROR(__xludf.DUMMYFUNCTION("""COMPUTED_VALUE"""),"PX|Referents|RRHH")</f>
        <v>PX|Referents|RRHH</v>
      </c>
    </row>
    <row r="497" hidden="1">
      <c r="A497" s="4">
        <f>IFERROR(__xludf.DUMMYFUNCTION("""COMPUTED_VALUE"""),98.0)</f>
        <v>98</v>
      </c>
      <c r="B497" s="4" t="str">
        <f>IFERROR(__xludf.DUMMYFUNCTION("""COMPUTED_VALUE"""),"gonzalo.garro")</f>
        <v>gonzalo.garro</v>
      </c>
      <c r="C497" s="5">
        <f>IFERROR(__xludf.DUMMYFUNCTION("""COMPUTED_VALUE"""),45161.76180518518)</f>
        <v>45161.76181</v>
      </c>
      <c r="D497" s="5">
        <f>IFERROR(__xludf.DUMMYFUNCTION("""COMPUTED_VALUE"""),45156.0)</f>
        <v>45156</v>
      </c>
      <c r="E497" s="4" t="str">
        <f>IFERROR(__xludf.DUMMYFUNCTION("""COMPUTED_VALUE"""),"micaela.zorzetto@patagoniansys.com")</f>
        <v>micaela.zorzetto@patagoniansys.com</v>
      </c>
      <c r="F497" s="4" t="str">
        <f>IFERROR(__xludf.DUMMYFUNCTION("""COMPUTED_VALUE"""),"gonzalo.garro@patagoniansys.com")</f>
        <v>gonzalo.garro@patagoniansys.com</v>
      </c>
      <c r="G497" s="4" t="str">
        <f>IFERROR(__xludf.DUMMYFUNCTION("""COMPUTED_VALUE"""),"👋 RRHH")</f>
        <v>👋 RRHH</v>
      </c>
      <c r="H497" s="4" t="str">
        <f>IFERROR(__xludf.DUMMYFUNCTION("""COMPUTED_VALUE"""),"🙂 Feliz")</f>
        <v>🙂 Feliz</v>
      </c>
      <c r="I497" s="6" t="str">
        <f>IFERROR(__xludf.DUMMYFUNCTION("""COMPUTED_VALUE"""),"Habló con Coco y le dijo que muy probable que por el mes de Septiembre va a estar más abocado al proyecto ya que tiene un lanzamiento. Le gustaría poder dejar el proyecto y dedicarse más a las tareas internas de Patagonian, pero sabe que no es fácil que e"&amp;"so pase.
Lo que mes de gusta del rol que tiene, es perseguir a los especialistas para ver si realizaron sus tareas, después esta contento con las tareas que realiza. 
Lo entusiasma mucho llevar adelante la plataforma del plan de carrera.")</f>
        <v>Habló con Coco y le dijo que muy probable que por el mes de Septiembre va a estar más abocado al proyecto ya que tiene un lanzamiento. Le gustaría poder dejar el proyecto y dedicarse más a las tareas internas de Patagonian, pero sabe que no es fácil que eso pase.
Lo que mes de gusta del rol que tiene, es perseguir a los especialistas para ver si realizaron sus tareas, después esta contento con las tareas que realiza. 
Lo entusiasma mucho llevar adelante la plataforma del plan de carrera.</v>
      </c>
      <c r="J497" s="4" t="str">
        <f>IFERROR(__xludf.DUMMYFUNCTION("""COMPUTED_VALUE"""),"PX|Referents|RRHH")</f>
        <v>PX|Referents|RRHH</v>
      </c>
    </row>
    <row r="498" hidden="1">
      <c r="A498" s="4">
        <f>IFERROR(__xludf.DUMMYFUNCTION("""COMPUTED_VALUE"""),230.0)</f>
        <v>230</v>
      </c>
      <c r="B498" s="4" t="str">
        <f>IFERROR(__xludf.DUMMYFUNCTION("""COMPUTED_VALUE"""),"jorge.contreras")</f>
        <v>jorge.contreras</v>
      </c>
      <c r="C498" s="5">
        <f>IFERROR(__xludf.DUMMYFUNCTION("""COMPUTED_VALUE"""),45160.44472349537)</f>
        <v>45160.44472</v>
      </c>
      <c r="D498" s="5">
        <f>IFERROR(__xludf.DUMMYFUNCTION("""COMPUTED_VALUE"""),45160.0)</f>
        <v>45160</v>
      </c>
      <c r="E498" s="4" t="str">
        <f>IFERROR(__xludf.DUMMYFUNCTION("""COMPUTED_VALUE"""),"natalia.aguirre@patagoniansys.com")</f>
        <v>natalia.aguirre@patagoniansys.com</v>
      </c>
      <c r="F498" s="4" t="str">
        <f>IFERROR(__xludf.DUMMYFUNCTION("""COMPUTED_VALUE"""),"jorge.contreras@patagoniansys.com")</f>
        <v>jorge.contreras@patagoniansys.com</v>
      </c>
      <c r="G498" s="4" t="str">
        <f>IFERROR(__xludf.DUMMYFUNCTION("""COMPUTED_VALUE"""),"⏱ One on One")</f>
        <v>⏱ One on One</v>
      </c>
      <c r="H498" s="4" t="str">
        <f>IFERROR(__xludf.DUMMYFUNCTION("""COMPUTED_VALUE"""),"😀 Sumamente Feliz")</f>
        <v>😀 Sumamente Feliz</v>
      </c>
      <c r="I498" s="6" t="str">
        <f>IFERROR(__xludf.DUMMYFUNCTION("""COMPUTED_VALUE"""),"Ready Build: Encuentra el proyecto muy atractivo y lleno de oportunidades para innovar, considera que están creando algo bueno y significativo. Siente que hay un desafío de cumplir con los plazos porque son muy ajustados. 
Vista Energy: Culminó su parte "&amp;"en el proyecto exitosamente; la entrega a la persona que continuó  (Manuel) resultó positiva. Sin embargo, identificó una falta de coordinación debido a la ausencia de un PM asignado. Las tareas estaban distribuidas entre LT y AM, lo que afectó la coordin"&amp;"ación general.")</f>
        <v>Ready Build: Encuentra el proyecto muy atractivo y lleno de oportunidades para innovar, considera que están creando algo bueno y significativo. Siente que hay un desafío de cumplir con los plazos porque son muy ajustados. 
Vista Energy: Culminó su parte en el proyecto exitosamente; la entrega a la persona que continuó  (Manuel) resultó positiva. Sin embargo, identificó una falta de coordinación debido a la ausencia de un PM asignado. Las tareas estaban distribuidas entre LT y AM, lo que afectó la coordinación general.</v>
      </c>
      <c r="J498" s="4" t="str">
        <f>IFERROR(__xludf.DUMMYFUNCTION("""COMPUTED_VALUE"""),"PX|Referents|RRHH")</f>
        <v>PX|Referents|RRHH</v>
      </c>
    </row>
    <row r="499" hidden="1">
      <c r="A499" s="4">
        <f>IFERROR(__xludf.DUMMYFUNCTION("""COMPUTED_VALUE"""),243.0)</f>
        <v>243</v>
      </c>
      <c r="B499" s="4" t="str">
        <f>IFERROR(__xludf.DUMMYFUNCTION("""COMPUTED_VALUE"""),"fernando.estevez")</f>
        <v>fernando.estevez</v>
      </c>
      <c r="C499" s="5">
        <f>IFERROR(__xludf.DUMMYFUNCTION("""COMPUTED_VALUE"""),45160.516155879624)</f>
        <v>45160.51616</v>
      </c>
      <c r="D499" s="5">
        <f>IFERROR(__xludf.DUMMYFUNCTION("""COMPUTED_VALUE"""),45160.0)</f>
        <v>45160</v>
      </c>
      <c r="E499" s="4" t="str">
        <f>IFERROR(__xludf.DUMMYFUNCTION("""COMPUTED_VALUE"""),"natalia.aguirre@patagoniansys.com")</f>
        <v>natalia.aguirre@patagoniansys.com</v>
      </c>
      <c r="F499" s="4" t="str">
        <f>IFERROR(__xludf.DUMMYFUNCTION("""COMPUTED_VALUE"""),"fernando.estevez@patagoniansys.com")</f>
        <v>fernando.estevez@patagoniansys.com</v>
      </c>
      <c r="G499" s="4" t="str">
        <f>IFERROR(__xludf.DUMMYFUNCTION("""COMPUTED_VALUE"""),"⏱ One on One")</f>
        <v>⏱ One on One</v>
      </c>
      <c r="H499" s="4" t="str">
        <f>IFERROR(__xludf.DUMMYFUNCTION("""COMPUTED_VALUE"""),"😀 Sumamente Feliz")</f>
        <v>😀 Sumamente Feliz</v>
      </c>
      <c r="I499" s="6" t="str">
        <f>IFERROR(__xludf.DUMMYFUNCTION("""COMPUTED_VALUE"""),"En relación al Proyecto y el cliente:
Me siento muy contento, estoy encontrando mi ritmo y comprendiendo mejor nuestra dinámica de trabajo. Stephen (nuestro cliente) es altamente receptivo y esto facilita la comunicación. Para mejorar nuestras estimacione"&amp;"s, sería beneficioso considerar un enfoque más realista en cuanto al tiempo. En el proyecto, estoy aprendiendo, las tareas son alcanzables y dentro de mi comprensión.
Experiencia en Patagonian:
Juan Calou ha sido un referente en lo técnico y me ha estado "&amp;"orientando en el camino de desarrollo profesional. Actualmente, debido a las necesidades del proyecto, estoy ampliando mis conocimientos en CCS y React. Sin embargo, mi interés se inclina hacia la posibilidad de explorar un framework full stack como Next."&amp;"js.
Mi relación con Jorge (el Líder Técnico del proyecto), es muy positiva. Contamos con un espacio diario para resolver inquietudes. ")</f>
        <v>En relación al Proyecto y el cliente:
Me siento muy contento, estoy encontrando mi ritmo y comprendiendo mejor nuestra dinámica de trabajo. Stephen (nuestro cliente) es altamente receptivo y esto facilita la comunicación. Para mejorar nuestras estimaciones, sería beneficioso considerar un enfoque más realista en cuanto al tiempo. En el proyecto, estoy aprendiendo, las tareas son alcanzables y dentro de mi comprensión.
Experiencia en Patagonian:
Juan Calou ha sido un referente en lo técnico y me ha estado orientando en el camino de desarrollo profesional. Actualmente, debido a las necesidades del proyecto, estoy ampliando mis conocimientos en CCS y React. Sin embargo, mi interés se inclina hacia la posibilidad de explorar un framework full stack como Next.js.
Mi relación con Jorge (el Líder Técnico del proyecto), es muy positiva. Contamos con un espacio diario para resolver inquietudes. </v>
      </c>
      <c r="J499" s="4" t="str">
        <f>IFERROR(__xludf.DUMMYFUNCTION("""COMPUTED_VALUE"""),"PX|Referents|RRHH")</f>
        <v>PX|Referents|RRHH</v>
      </c>
    </row>
    <row r="500" hidden="1">
      <c r="A500" s="4">
        <f>IFERROR(__xludf.DUMMYFUNCTION("""COMPUTED_VALUE"""),197.0)</f>
        <v>197</v>
      </c>
      <c r="B500" s="4" t="str">
        <f>IFERROR(__xludf.DUMMYFUNCTION("""COMPUTED_VALUE"""),"gianfranco.fois")</f>
        <v>gianfranco.fois</v>
      </c>
      <c r="C500" s="5">
        <f>IFERROR(__xludf.DUMMYFUNCTION("""COMPUTED_VALUE"""),45160.59163219907)</f>
        <v>45160.59163</v>
      </c>
      <c r="D500" s="5">
        <f>IFERROR(__xludf.DUMMYFUNCTION("""COMPUTED_VALUE"""),45160.0)</f>
        <v>45160</v>
      </c>
      <c r="E500" s="4" t="str">
        <f>IFERROR(__xludf.DUMMYFUNCTION("""COMPUTED_VALUE"""),"natalia.aguirre@patagoniansys.com")</f>
        <v>natalia.aguirre@patagoniansys.com</v>
      </c>
      <c r="F500" s="4" t="str">
        <f>IFERROR(__xludf.DUMMYFUNCTION("""COMPUTED_VALUE"""),"gianfranco.fois@patagoniansys.com")</f>
        <v>gianfranco.fois@patagoniansys.com</v>
      </c>
      <c r="G500" s="4" t="str">
        <f>IFERROR(__xludf.DUMMYFUNCTION("""COMPUTED_VALUE"""),"⏱ One on One")</f>
        <v>⏱ One on One</v>
      </c>
      <c r="H500" s="4" t="str">
        <f>IFERROR(__xludf.DUMMYFUNCTION("""COMPUTED_VALUE"""),"🙂 Feliz")</f>
        <v>🙂 Feliz</v>
      </c>
      <c r="I500" s="6" t="str">
        <f>IFERROR(__xludf.DUMMYFUNCTION("""COMPUTED_VALUE"""),"En general, me siento bien en el proyecto. Sin embargo, recientemente he estado más contento debido a la tecnología utilizada. No me sentía muy cómodo trabajando con Flatterflow; era muy diferente de lo que había utilizado anteriormente, ya que siempre ha"&amp;"bía trabajado con código directo, en Flatterflow sentía un poco limitada mi capacidad para alcanzar hacer el desarrollo ya que podia hacer hasta donde la herramienta permitía. Aparte de esto, estoy satisfecho, aunque reconozco que no es el proyecto más de"&amp;"safiante.
En Patagonian, me siento bien, tranquilo y cómodo. En cuanto al futuro, tengo la intención de seguir mobile. Dado que siempre he trabajado multiplataforma, me gustaría explorar más en el desarrollo nativo de Android. También me gustaría señalar"&amp;" que estoy en el grupo de mobile y estamos trabajando en establecer el career path en este campo.")</f>
        <v>En general, me siento bien en el proyecto. Sin embargo, recientemente he estado más contento debido a la tecnología utilizada. No me sentía muy cómodo trabajando con Flatterflow; era muy diferente de lo que había utilizado anteriormente, ya que siempre había trabajado con código directo, en Flatterflow sentía un poco limitada mi capacidad para alcanzar hacer el desarrollo ya que podia hacer hasta donde la herramienta permitía. Aparte de esto, estoy satisfecho, aunque reconozco que no es el proyecto más desafiante.
En Patagonian, me siento bien, tranquilo y cómodo. En cuanto al futuro, tengo la intención de seguir mobile. Dado que siempre he trabajado multiplataforma, me gustaría explorar más en el desarrollo nativo de Android. También me gustaría señalar que estoy en el grupo de mobile y estamos trabajando en establecer el career path en este campo.</v>
      </c>
      <c r="J500" s="4" t="str">
        <f>IFERROR(__xludf.DUMMYFUNCTION("""COMPUTED_VALUE"""),"PX|Referents|RRHH")</f>
        <v>PX|Referents|RRHH</v>
      </c>
    </row>
    <row r="501">
      <c r="A501" s="4">
        <f>IFERROR(__xludf.DUMMYFUNCTION("""COMPUTED_VALUE"""),291.0)</f>
        <v>291</v>
      </c>
      <c r="B501" s="4" t="str">
        <f>IFERROR(__xludf.DUMMYFUNCTION("""COMPUTED_VALUE"""),"angel.gonzalez")</f>
        <v>angel.gonzalez</v>
      </c>
      <c r="C501" s="5">
        <f>IFERROR(__xludf.DUMMYFUNCTION("""COMPUTED_VALUE"""),45160.66005302083)</f>
        <v>45160.66005</v>
      </c>
      <c r="D501" s="5">
        <f>IFERROR(__xludf.DUMMYFUNCTION("""COMPUTED_VALUE"""),45160.0)</f>
        <v>45160</v>
      </c>
      <c r="E501" s="4" t="str">
        <f>IFERROR(__xludf.DUMMYFUNCTION("""COMPUTED_VALUE"""),"andres.bolocco@patagoniansys.com")</f>
        <v>andres.bolocco@patagoniansys.com</v>
      </c>
      <c r="F501" s="4" t="str">
        <f>IFERROR(__xludf.DUMMYFUNCTION("""COMPUTED_VALUE"""),"angel.gonzalez@patagoniansys.com")</f>
        <v>angel.gonzalez@patagoniansys.com</v>
      </c>
      <c r="G501" s="4" t="str">
        <f>IFERROR(__xludf.DUMMYFUNCTION("""COMPUTED_VALUE"""),"Referent One on One")</f>
        <v>Referent One on One</v>
      </c>
      <c r="H501" s="4"/>
      <c r="I501" s="6" t="str">
        <f>IFERROR(__xludf.DUMMYFUNCTION("""COMPUTED_VALUE"""),"- Interviewee e-Mail: angel.gonzalez@patagoniansys.com
- Project Status Check: sigue en el proyecto, bien, con Angular y E Charts, algunos desafíos en la extracción de datos, o lograr que los gráficos queden como el diseñador quiere.
- Project Role | Feel"&amp;"ing: 4
- Extra Work Hours | Amount: 0 (Ningúna)
- Techs | Research: le gustaría aprender Go, por la performance que parece tener con multiple concurrencia.
- Collaborator | Seniority: 👍 No, es correcto
- Final notes: esta contento en el proyecto y sigue "&amp;"motivado con las tecnologías y tareas con las que trabaja a diario
- Project Techs | Learning: 36
- Techs | Research: 2
- Project Techs | Difficulty: 4
- Project Changes | Reasons: 🟰 No hubo cambios
- Project Role | Value: 4
- Project role | Notes: luego"&amp;" de pasar por un breve proyecto en el cual no había definiciones claras, y hubo un cambio del tech stack, ahora está más conforme por la organización del proyecto")</f>
        <v>- Interviewee e-Mail: angel.gonzalez@patagoniansys.com
- Project Status Check: sigue en el proyecto, bien, con Angular y E Charts, algunos desafíos en la extracción de datos, o lograr que los gráficos queden como el diseñador quiere.
- Project Role | Feeling: 4
- Extra Work Hours | Amount: 0 (Ningúna)
- Techs | Research: le gustaría aprender Go, por la performance que parece tener con multiple concurrencia.
- Collaborator | Seniority: 👍 No, es correcto
- Final notes: esta contento en el proyecto y sigue motivado con las tecnologías y tareas con las que trabaja a diario
- Project Techs | Learning: 36
- Techs | Research: 2
- Project Techs | Difficulty: 4
- Project Changes | Reasons: 🟰 No hubo cambios
- Project Role | Value: 4
- Project role | Notes: luego de pasar por un breve proyecto en el cual no había definiciones claras, y hubo un cambio del tech stack, ahora está más conforme por la organización del proyecto</v>
      </c>
      <c r="J501" s="4" t="str">
        <f>IFERROR(__xludf.DUMMYFUNCTION("""COMPUTED_VALUE"""),"Tech Referent - OneOnOne")</f>
        <v>Tech Referent - OneOnOne</v>
      </c>
    </row>
    <row r="502">
      <c r="A502" s="4">
        <f>IFERROR(__xludf.DUMMYFUNCTION("""COMPUTED_VALUE"""),293.0)</f>
        <v>293</v>
      </c>
      <c r="B502" s="4" t="str">
        <f>IFERROR(__xludf.DUMMYFUNCTION("""COMPUTED_VALUE"""),"andres.caceres")</f>
        <v>andres.caceres</v>
      </c>
      <c r="C502" s="5">
        <f>IFERROR(__xludf.DUMMYFUNCTION("""COMPUTED_VALUE"""),45160.699414131945)</f>
        <v>45160.69941</v>
      </c>
      <c r="D502" s="5">
        <f>IFERROR(__xludf.DUMMYFUNCTION("""COMPUTED_VALUE"""),45160.0)</f>
        <v>45160</v>
      </c>
      <c r="E502" s="4" t="str">
        <f>IFERROR(__xludf.DUMMYFUNCTION("""COMPUTED_VALUE"""),"luciano.fuentes@patagoniansys.com")</f>
        <v>luciano.fuentes@patagoniansys.com</v>
      </c>
      <c r="F502" s="4" t="str">
        <f>IFERROR(__xludf.DUMMYFUNCTION("""COMPUTED_VALUE"""),"andres.caceres@patagonian.com")</f>
        <v>andres.caceres@patagonian.com</v>
      </c>
      <c r="G502" s="4" t="str">
        <f>IFERROR(__xludf.DUMMYFUNCTION("""COMPUTED_VALUE"""),"Referent One on One")</f>
        <v>Referent One on One</v>
      </c>
      <c r="H502" s="4"/>
      <c r="I502" s="6" t="str">
        <f>IFERROR(__xludf.DUMMYFUNCTION("""COMPUTED_VALUE"""),"- Interviewee e-Mail: andres.caceres@patagonian.com
- Project Status Check: NextJs y Azure functions. 
Termino el proyecto el viernes 11 de agosto
y comenzo curso de ReactJS
- Project Changes | Notes: Ahora entro en bench debido a que termino el proyecto"&amp;" de MBody
- Project Role | Feeling: 5
- Extra Work Hours | Amount: 0 (Ningúna)
- Techs | Research: https://strapi.io/ 
- Techs | Certifications: RectJS en Udemy
- Techs | Recomendations: https://ui.shadcn.com/
- Techs | Recomendations check: Si, le pareci"&amp;"o interesante!
- Collaborator | Seniority: 👍 No, es correcto
- Final notes: Ahora se encuentra en bench pero de todas formas sigue motiva en capacitarse. Se ve una persona muy activa, busca siempre hacer algo. 
- Project Techs | Learning: 1
- Techs | Re"&amp;"search: 1
- Project Techs | Difficulty: 5
- Project Changes | Reasons: Se termino el proyecto
- Project Changes | Personal Impact: 3
- Project Role | Value: 5
- Project role | Notes: El proyecto en el que finalizo le gusto bastante ya que fue un reto pone"&amp;"r en practica todo lo que aprendio de NextJS")</f>
        <v>- Interviewee e-Mail: andres.caceres@patagonian.com
- Project Status Check: NextJs y Azure functions. 
Termino el proyecto el viernes 11 de agosto
y comenzo curso de ReactJS
- Project Changes | Notes: Ahora entro en bench debido a que termino el proyecto de MBody
- Project Role | Feeling: 5
- Extra Work Hours | Amount: 0 (Ningúna)
- Techs | Research: https://strapi.io/ 
- Techs | Certifications: RectJS en Udemy
- Techs | Recomendations: https://ui.shadcn.com/
- Techs | Recomendations check: Si, le parecio interesante!
- Collaborator | Seniority: 👍 No, es correcto
- Final notes: Ahora se encuentra en bench pero de todas formas sigue motiva en capacitarse. Se ve una persona muy activa, busca siempre hacer algo. 
- Project Techs | Learning: 1
- Techs | Research: 1
- Project Techs | Difficulty: 5
- Project Changes | Reasons: Se termino el proyecto
- Project Changes | Personal Impact: 3
- Project Role | Value: 5
- Project role | Notes: El proyecto en el que finalizo le gusto bastante ya que fue un reto poner en practica todo lo que aprendio de NextJS</v>
      </c>
      <c r="J502" s="4" t="str">
        <f>IFERROR(__xludf.DUMMYFUNCTION("""COMPUTED_VALUE"""),"Tech Referent - OneOnOne")</f>
        <v>Tech Referent - OneOnOne</v>
      </c>
    </row>
    <row r="503" hidden="1">
      <c r="A503" s="4">
        <f>IFERROR(__xludf.DUMMYFUNCTION("""COMPUTED_VALUE"""),346.0)</f>
        <v>346</v>
      </c>
      <c r="B503" s="4" t="str">
        <f>IFERROR(__xludf.DUMMYFUNCTION("""COMPUTED_VALUE"""),"daniel.almeida")</f>
        <v>daniel.almeida</v>
      </c>
      <c r="C503" s="5">
        <f>IFERROR(__xludf.DUMMYFUNCTION("""COMPUTED_VALUE"""),45160.85164975694)</f>
        <v>45160.85165</v>
      </c>
      <c r="D503" s="5">
        <f>IFERROR(__xludf.DUMMYFUNCTION("""COMPUTED_VALUE"""),45160.0)</f>
        <v>45160</v>
      </c>
      <c r="E503" s="4" t="str">
        <f>IFERROR(__xludf.DUMMYFUNCTION("""COMPUTED_VALUE"""),"marcela.benavides@patagoniansys.com")</f>
        <v>marcela.benavides@patagoniansys.com</v>
      </c>
      <c r="F503" s="4" t="str">
        <f>IFERROR(__xludf.DUMMYFUNCTION("""COMPUTED_VALUE"""),"daniel.almeida@patagoniansys.com")</f>
        <v>daniel.almeida@patagoniansys.com</v>
      </c>
      <c r="G503" s="4" t="str">
        <f>IFERROR(__xludf.DUMMYFUNCTION("""COMPUTED_VALUE"""),"⏱ One on One")</f>
        <v>⏱ One on One</v>
      </c>
      <c r="H503" s="4" t="str">
        <f>IFERROR(__xludf.DUMMYFUNCTION("""COMPUTED_VALUE"""),"😐 Indiferente")</f>
        <v>😐 Indiferente</v>
      </c>
      <c r="I503" s="6" t="str">
        <f>IFERROR(__xludf.DUMMYFUNCTION("""COMPUTED_VALUE"""),"A la fecha se encuentra dando apoyo en un proyecto alterno dentro del cliente donde necesitaban apoyo de su rol, pero no ha comenzado en sí en el proyecto en el que estaría asignado en el largo plazo, esto hace que se encuentre indiferente o ""normal"" di"&amp;"jo, con lo que esta haciendo. ")</f>
        <v>A la fecha se encuentra dando apoyo en un proyecto alterno dentro del cliente donde necesitaban apoyo de su rol, pero no ha comenzado en sí en el proyecto en el que estaría asignado en el largo plazo, esto hace que se encuentre indiferente o "normal" dijo, con lo que esta haciendo. </v>
      </c>
      <c r="J503" s="4" t="str">
        <f>IFERROR(__xludf.DUMMYFUNCTION("""COMPUTED_VALUE"""),"PX|Referents|RRHH")</f>
        <v>PX|Referents|RRHH</v>
      </c>
    </row>
    <row r="504" hidden="1">
      <c r="A504" s="4">
        <f>IFERROR(__xludf.DUMMYFUNCTION("""COMPUTED_VALUE"""),7.0)</f>
        <v>7</v>
      </c>
      <c r="B504" s="4" t="str">
        <f>IFERROR(__xludf.DUMMYFUNCTION("""COMPUTED_VALUE"""),"daniel.mansilla")</f>
        <v>daniel.mansilla</v>
      </c>
      <c r="C504" s="5">
        <f>IFERROR(__xludf.DUMMYFUNCTION("""COMPUTED_VALUE"""),45161.74871747685)</f>
        <v>45161.74872</v>
      </c>
      <c r="D504" s="5">
        <f>IFERROR(__xludf.DUMMYFUNCTION("""COMPUTED_VALUE"""),45161.0)</f>
        <v>45161</v>
      </c>
      <c r="E504" s="4" t="str">
        <f>IFERROR(__xludf.DUMMYFUNCTION("""COMPUTED_VALUE"""),"micaela.zorzetto@patagoniansys.com")</f>
        <v>micaela.zorzetto@patagoniansys.com</v>
      </c>
      <c r="F504" s="4" t="str">
        <f>IFERROR(__xludf.DUMMYFUNCTION("""COMPUTED_VALUE"""),"daniel.mansilla@patagoniansys.com")</f>
        <v>daniel.mansilla@patagoniansys.com</v>
      </c>
      <c r="G504" s="4" t="str">
        <f>IFERROR(__xludf.DUMMYFUNCTION("""COMPUTED_VALUE"""),"👋 RRHH")</f>
        <v>👋 RRHH</v>
      </c>
      <c r="H504" s="4" t="str">
        <f>IFERROR(__xludf.DUMMYFUNCTION("""COMPUTED_VALUE"""),"😐 Indiferente")</f>
        <v>😐 Indiferente</v>
      </c>
      <c r="I504" s="6" t="str">
        <f>IFERROR(__xludf.DUMMYFUNCTION("""COMPUTED_VALUE"""),"Dani se siente un poco estancado en el proyecto. Siente que no aprende nada nuevo y que se utilizan tecnologías viejas. 
Me pidió que si existe la posibilidad de un cambio de proyecto, estaría bueno. 
Quiere serguir especilizandose en Front y Android, le "&amp;"gustaría hacer alguna certificación relacionada, me comentó que va a buscar opciones.
Le gusta lo que hace como especialista, corregir y dar devoluciones de los track del plan de carrera lo obligan a leer y estar al día, lo cual le parece desafiante.")</f>
        <v>Dani se siente un poco estancado en el proyecto. Siente que no aprende nada nuevo y que se utilizan tecnologías viejas. 
Me pidió que si existe la posibilidad de un cambio de proyecto, estaría bueno. 
Quiere serguir especilizandose en Front y Android, le gustaría hacer alguna certificación relacionada, me comentó que va a buscar opciones.
Le gusta lo que hace como especialista, corregir y dar devoluciones de los track del plan de carrera lo obligan a leer y estar al día, lo cual le parece desafiante.</v>
      </c>
      <c r="J504" s="4" t="str">
        <f>IFERROR(__xludf.DUMMYFUNCTION("""COMPUTED_VALUE"""),"PX|Referents|RRHH")</f>
        <v>PX|Referents|RRHH</v>
      </c>
    </row>
    <row r="505" hidden="1">
      <c r="A505" s="4">
        <f>IFERROR(__xludf.DUMMYFUNCTION("""COMPUTED_VALUE"""),284.0)</f>
        <v>284</v>
      </c>
      <c r="B505" s="4" t="str">
        <f>IFERROR(__xludf.DUMMYFUNCTION("""COMPUTED_VALUE"""),"emmanuel.trassani")</f>
        <v>emmanuel.trassani</v>
      </c>
      <c r="C505" s="5">
        <f>IFERROR(__xludf.DUMMYFUNCTION("""COMPUTED_VALUE"""),45161.75210373843)</f>
        <v>45161.7521</v>
      </c>
      <c r="D505" s="5">
        <f>IFERROR(__xludf.DUMMYFUNCTION("""COMPUTED_VALUE"""),45161.0)</f>
        <v>45161</v>
      </c>
      <c r="E505" s="4" t="str">
        <f>IFERROR(__xludf.DUMMYFUNCTION("""COMPUTED_VALUE"""),"micaela.zorzetto@patagoniansys.com")</f>
        <v>micaela.zorzetto@patagoniansys.com</v>
      </c>
      <c r="F505" s="4" t="str">
        <f>IFERROR(__xludf.DUMMYFUNCTION("""COMPUTED_VALUE"""),"emmanuel.trassani@patagoniansys.com")</f>
        <v>emmanuel.trassani@patagoniansys.com</v>
      </c>
      <c r="G505" s="4" t="str">
        <f>IFERROR(__xludf.DUMMYFUNCTION("""COMPUTED_VALUE"""),"👋 RRHH")</f>
        <v>👋 RRHH</v>
      </c>
      <c r="H505" s="4" t="str">
        <f>IFERROR(__xludf.DUMMYFUNCTION("""COMPUTED_VALUE"""),"🙂 Feliz")</f>
        <v>🙂 Feliz</v>
      </c>
      <c r="I505" s="6" t="str">
        <f>IFERROR(__xludf.DUMMYFUNCTION("""COMPUTED_VALUE"""),"Emma esta contento en el proyecto y en la empresa, le gusta trabajar junto con Mauri. 
Siente que tiene más autonomía y que ya puede resolver más cosas solo. 
Me pide la posibilidad de revisar su seniority. ")</f>
        <v>Emma esta contento en el proyecto y en la empresa, le gusta trabajar junto con Mauri. 
Siente que tiene más autonomía y que ya puede resolver más cosas solo. 
Me pide la posibilidad de revisar su seniority. </v>
      </c>
      <c r="J505" s="4" t="str">
        <f>IFERROR(__xludf.DUMMYFUNCTION("""COMPUTED_VALUE"""),"PX|Referents|RRHH")</f>
        <v>PX|Referents|RRHH</v>
      </c>
    </row>
    <row r="506" hidden="1">
      <c r="A506" s="4">
        <f>IFERROR(__xludf.DUMMYFUNCTION("""COMPUTED_VALUE"""),283.0)</f>
        <v>283</v>
      </c>
      <c r="B506" s="4" t="str">
        <f>IFERROR(__xludf.DUMMYFUNCTION("""COMPUTED_VALUE"""),"benjamin.bascary")</f>
        <v>benjamin.bascary</v>
      </c>
      <c r="C506" s="5">
        <f>IFERROR(__xludf.DUMMYFUNCTION("""COMPUTED_VALUE"""),45161.754677476856)</f>
        <v>45161.75468</v>
      </c>
      <c r="D506" s="5">
        <f>IFERROR(__xludf.DUMMYFUNCTION("""COMPUTED_VALUE"""),45161.0)</f>
        <v>45161</v>
      </c>
      <c r="E506" s="4" t="str">
        <f>IFERROR(__xludf.DUMMYFUNCTION("""COMPUTED_VALUE"""),"micaela.zorzetto@patagoniansys.com")</f>
        <v>micaela.zorzetto@patagoniansys.com</v>
      </c>
      <c r="F506" s="4" t="str">
        <f>IFERROR(__xludf.DUMMYFUNCTION("""COMPUTED_VALUE"""),"benjamin.bascary@patagoniansys.com")</f>
        <v>benjamin.bascary@patagoniansys.com</v>
      </c>
      <c r="G506" s="4" t="str">
        <f>IFERROR(__xludf.DUMMYFUNCTION("""COMPUTED_VALUE"""),"👋 RRHH")</f>
        <v>👋 RRHH</v>
      </c>
      <c r="H506" s="4" t="str">
        <f>IFERROR(__xludf.DUMMYFUNCTION("""COMPUTED_VALUE"""),"🙂 Feliz")</f>
        <v>🙂 Feliz</v>
      </c>
      <c r="I506" s="6" t="str">
        <f>IFERROR(__xludf.DUMMYFUNCTION("""COMPUTED_VALUE"""),"Benja esta bien, entusiasmado porque el cliente le pidió que investigue sobre IA, el quiere comenzar a llevar su carrera para ese lado, ya que es algo que le interesa aprender.
Joan lo sumo al equipo de IA, y hoy iba a presentar un programa que el utiliza"&amp;" para trabajar. 
Tuvo que comenzar de nuevo a ver todo lo que es matemática y estadistica, es un gran desafío para él.")</f>
        <v>Benja esta bien, entusiasmado porque el cliente le pidió que investigue sobre IA, el quiere comenzar a llevar su carrera para ese lado, ya que es algo que le interesa aprender.
Joan lo sumo al equipo de IA, y hoy iba a presentar un programa que el utiliza para trabajar. 
Tuvo que comenzar de nuevo a ver todo lo que es matemática y estadistica, es un gran desafío para él.</v>
      </c>
      <c r="J506" s="4" t="str">
        <f>IFERROR(__xludf.DUMMYFUNCTION("""COMPUTED_VALUE"""),"PX|Referents|RRHH")</f>
        <v>PX|Referents|RRHH</v>
      </c>
    </row>
    <row r="507">
      <c r="A507" s="4">
        <f>IFERROR(__xludf.DUMMYFUNCTION("""COMPUTED_VALUE"""),203.0)</f>
        <v>203</v>
      </c>
      <c r="B507" s="4" t="str">
        <f>IFERROR(__xludf.DUMMYFUNCTION("""COMPUTED_VALUE"""),"duverney.hernandez")</f>
        <v>duverney.hernandez</v>
      </c>
      <c r="C507" s="5">
        <f>IFERROR(__xludf.DUMMYFUNCTION("""COMPUTED_VALUE"""),45161.77557729167)</f>
        <v>45161.77558</v>
      </c>
      <c r="D507" s="5">
        <f>IFERROR(__xludf.DUMMYFUNCTION("""COMPUTED_VALUE"""),45161.0)</f>
        <v>45161</v>
      </c>
      <c r="E507" s="4" t="str">
        <f>IFERROR(__xludf.DUMMYFUNCTION("""COMPUTED_VALUE"""),"edgar.bonilla@patagoniansys.com")</f>
        <v>edgar.bonilla@patagoniansys.com</v>
      </c>
      <c r="F507" s="4" t="str">
        <f>IFERROR(__xludf.DUMMYFUNCTION("""COMPUTED_VALUE"""),"duverney.hernandez@patagoniansys.com")</f>
        <v>duverney.hernandez@patagoniansys.com</v>
      </c>
      <c r="G507" s="4" t="str">
        <f>IFERROR(__xludf.DUMMYFUNCTION("""COMPUTED_VALUE"""),"Referent One on One")</f>
        <v>Referent One on One</v>
      </c>
      <c r="H507" s="4"/>
      <c r="I507" s="6" t="str">
        <f>IFERROR(__xludf.DUMMYFUNCTION("""COMPUTED_VALUE"""),"- Interviewee e-Mail: duverney.hernandez@patagoniansys.com
- Project Status Check: Antes estaba trabajando en AlMundo, donde ya se estaba sintiendo un poco aburrido. Ahora está trabajando en un nuevo proyecto que se llama Eyethena en el cual se está sinti"&amp;"endo muy a gusto y está feliz con el cambio.
La app sirve para llevar el tracking de la toma y/o aplicación de medicamentos. Los doctores son quienes cargan la información y pueden ver lo que ha marcado. La subida de las recetas e información es aún muy "&amp;"artesanal y se planea desarrollar un back-office con UI para que los doctores en la vida real ya puedan subir la información.
La app aún está en fase de pruebas, no está en producción.
Usan React Native con Expo, Redux Toolkit, Firebase, Crashytics, Aut"&amp;"h0, entre otros. 
- Project Changes | Notes: En el proyecto de AlMundo ya se estaba sintiendo un poco aburrido por el cambio de roles que hubo y porque ya no estaba trabajando en su area de conocimiento, además de otros factores mencionados en el form ant"&amp;"erior.
El cambio a Eyethena ha sido muy positivo ya que ahora se encuentra trabajando directamente en su área de conocimiento y expertise, y así mismo siente que agrega mucho más valor desde esta posición. También manifiesta que la dinámica del equipo y "&amp;"sus compañeros de trabajo es muy buena.
- Project Role | Feeling: 5
- Extra Work Hours | Amount: 0 (Ningúna)
- Techs | Recomendations check: Si
- Collaborator | Seniority: 👍 No, es correcto
- Project Techs | Learning: 4
- Project Techs | Difficulty: 4
- "&amp;"Project Changes | Reasons: Cambio de proyecto, antes estaba en AlMundo, ahora está en Eyethena
- Project Changes | Personal Impact: 5
- Project Role | Value: 5
- Project role | Notes: Ahora se encuentra trabajando directamente en su área de conocimiento y"&amp;" expertise, y así mismo siente que agrega mucho más valor desde esta posición.")</f>
        <v>- Interviewee e-Mail: duverney.hernandez@patagoniansys.com
- Project Status Check: Antes estaba trabajando en AlMundo, donde ya se estaba sintiendo un poco aburrido. Ahora está trabajando en un nuevo proyecto que se llama Eyethena en el cual se está sintiendo muy a gusto y está feliz con el cambio.
La app sirve para llevar el tracking de la toma y/o aplicación de medicamentos. Los doctores son quienes cargan la información y pueden ver lo que ha marcado. La subida de las recetas e información es aún muy artesanal y se planea desarrollar un back-office con UI para que los doctores en la vida real ya puedan subir la información.
La app aún está en fase de pruebas, no está en producción.
Usan React Native con Expo, Redux Toolkit, Firebase, Crashytics, Auth0, entre otros. 
- Project Changes | Notes: En el proyecto de AlMundo ya se estaba sintiendo un poco aburrido por el cambio de roles que hubo y porque ya no estaba trabajando en su area de conocimiento, además de otros factores mencionados en el form anterior.
El cambio a Eyethena ha sido muy positivo ya que ahora se encuentra trabajando directamente en su área de conocimiento y expertise, y así mismo siente que agrega mucho más valor desde esta posición. También manifiesta que la dinámica del equipo y sus compañeros de trabajo es muy buena.
- Project Role | Feeling: 5
- Extra Work Hours | Amount: 0 (Ningúna)
- Techs | Recomendations check: Si
- Collaborator | Seniority: 👍 No, es correcto
- Project Techs | Learning: 4
- Project Techs | Difficulty: 4
- Project Changes | Reasons: Cambio de proyecto, antes estaba en AlMundo, ahora está en Eyethena
- Project Changes | Personal Impact: 5
- Project Role | Value: 5
- Project role | Notes: Ahora se encuentra trabajando directamente en su área de conocimiento y expertise, y así mismo siente que agrega mucho más valor desde esta posición.</v>
      </c>
      <c r="J507" s="4" t="str">
        <f>IFERROR(__xludf.DUMMYFUNCTION("""COMPUTED_VALUE"""),"Tech Referent - OneOnOne")</f>
        <v>Tech Referent - OneOnOne</v>
      </c>
    </row>
    <row r="508">
      <c r="A508" s="4">
        <f>IFERROR(__xludf.DUMMYFUNCTION("""COMPUTED_VALUE"""),235.0)</f>
        <v>235</v>
      </c>
      <c r="B508" s="4" t="str">
        <f>IFERROR(__xludf.DUMMYFUNCTION("""COMPUTED_VALUE"""),"jose.acosta")</f>
        <v>jose.acosta</v>
      </c>
      <c r="C508" s="5">
        <f>IFERROR(__xludf.DUMMYFUNCTION("""COMPUTED_VALUE"""),45163.38973877315)</f>
        <v>45163.38974</v>
      </c>
      <c r="D508" s="5">
        <f>IFERROR(__xludf.DUMMYFUNCTION("""COMPUTED_VALUE"""),45161.0)</f>
        <v>45161</v>
      </c>
      <c r="E508" s="4" t="str">
        <f>IFERROR(__xludf.DUMMYFUNCTION("""COMPUTED_VALUE"""),"daniel.mansilla@patagoniansys.com")</f>
        <v>daniel.mansilla@patagoniansys.com</v>
      </c>
      <c r="F508" s="4" t="str">
        <f>IFERROR(__xludf.DUMMYFUNCTION("""COMPUTED_VALUE"""),"jose.acosta@patagoniansys.com")</f>
        <v>jose.acosta@patagoniansys.com</v>
      </c>
      <c r="G508" s="4" t="str">
        <f>IFERROR(__xludf.DUMMYFUNCTION("""COMPUTED_VALUE"""),"Referent One on One")</f>
        <v>Referent One on One</v>
      </c>
      <c r="H508" s="4"/>
      <c r="I508" s="6" t="str">
        <f>IFERROR(__xludf.DUMMYFUNCTION("""COMPUTED_VALUE"""),"- Interviewee e-Mail: jose.acosta@patagoniansys.com
- Project Status Check: Sigue en bench. Además, ha tenido asuntos personales que atender y no ha podido estar muy disponible.
- Project Role | Feeling: 3
- Extra Work Hours | Amount: 0 (Ningúna)
- Techs "&amp;"| Research: Me indicó que debido a inconvenientes personales, aunque haya estado en bench, no ha estado capacitándose.
- Collaborator | Seniority: 👍 No, es correcto
- Alerts: Desde mi punto de vista, muestra cierta despreocupación por su situación en ben"&amp;"ch. No ha dedicado el tiempo libre a capacitarse. Me comentó que ha tenido algunos asuntos personales que atender y por eso no ha podido estar muy presente.
- Project Needs / Oportunities: Patagonian debería analizar la situación.
- Final notes: En conclu"&amp;"sión, desde su salida del proyecto de SnapClose, un poco antes de la reunión anterior a esta, no ha cambiado su situación. Sigue en bench. Pienso que es demasiado tiempo sin ninguna asignación.
- Project Techs | Learning: 0
- Project Techs | Difficulty: 3"&amp;"
- Project Changes | Reasons: 🟰 No hubo cambios
- Project Role | Value: 3
- Project role | Notes: Cómo ha estado en bench, la puntuación indicada es solo simbólica.")</f>
        <v>- Interviewee e-Mail: jose.acosta@patagoniansys.com
- Project Status Check: Sigue en bench. Además, ha tenido asuntos personales que atender y no ha podido estar muy disponible.
- Project Role | Feeling: 3
- Extra Work Hours | Amount: 0 (Ningúna)
- Techs | Research: Me indicó que debido a inconvenientes personales, aunque haya estado en bench, no ha estado capacitándose.
- Collaborator | Seniority: 👍 No, es correcto
- Alerts: Desde mi punto de vista, muestra cierta despreocupación por su situación en bench. No ha dedicado el tiempo libre a capacitarse. Me comentó que ha tenido algunos asuntos personales que atender y por eso no ha podido estar muy presente.
- Project Needs / Oportunities: Patagonian debería analizar la situación.
- Final notes: En conclusión, desde su salida del proyecto de SnapClose, un poco antes de la reunión anterior a esta, no ha cambiado su situación. Sigue en bench. Pienso que es demasiado tiempo sin ninguna asignación.
- Project Techs | Learning: 0
- Project Techs | Difficulty: 3
- Project Changes | Reasons: 🟰 No hubo cambios
- Project Role | Value: 3
- Project role | Notes: Cómo ha estado en bench, la puntuación indicada es solo simbólica.</v>
      </c>
      <c r="J508" s="4" t="str">
        <f>IFERROR(__xludf.DUMMYFUNCTION("""COMPUTED_VALUE"""),"Tech Referent - OneOnOne")</f>
        <v>Tech Referent - OneOnOne</v>
      </c>
    </row>
    <row r="509" hidden="1">
      <c r="A509" s="4">
        <f>IFERROR(__xludf.DUMMYFUNCTION("""COMPUTED_VALUE"""),131.0)</f>
        <v>131</v>
      </c>
      <c r="B509" s="4" t="str">
        <f>IFERROR(__xludf.DUMMYFUNCTION("""COMPUTED_VALUE"""),"luis.luna")</f>
        <v>luis.luna</v>
      </c>
      <c r="C509" s="5">
        <f>IFERROR(__xludf.DUMMYFUNCTION("""COMPUTED_VALUE"""),45162.54027347223)</f>
        <v>45162.54027</v>
      </c>
      <c r="D509" s="5">
        <f>IFERROR(__xludf.DUMMYFUNCTION("""COMPUTED_VALUE"""),45162.0)</f>
        <v>45162</v>
      </c>
      <c r="E509" s="4" t="str">
        <f>IFERROR(__xludf.DUMMYFUNCTION("""COMPUTED_VALUE"""),"marcela.benavides@patagoniansys.com")</f>
        <v>marcela.benavides@patagoniansys.com</v>
      </c>
      <c r="F509" s="4" t="str">
        <f>IFERROR(__xludf.DUMMYFUNCTION("""COMPUTED_VALUE"""),"luis.luna@patagoniansys.com")</f>
        <v>luis.luna@patagoniansys.com</v>
      </c>
      <c r="G509" s="4" t="str">
        <f>IFERROR(__xludf.DUMMYFUNCTION("""COMPUTED_VALUE"""),"⏱ One on One")</f>
        <v>⏱ One on One</v>
      </c>
      <c r="H509" s="4" t="str">
        <f>IFERROR(__xludf.DUMMYFUNCTION("""COMPUTED_VALUE"""),"😐 Indiferente")</f>
        <v>😐 Indiferente</v>
      </c>
      <c r="I509" s="6" t="str">
        <f>IFERROR(__xludf.DUMMYFUNCTION("""COMPUTED_VALUE"""),"Le preocupa un poco que en el nuevo proyecto al que fue asignado casi no haya actividades por realizar. Le incomoda que en la dinámica del nuevo proyecto se junta el team todo el día en una call a trabajar y al tener 4 horas de diferencia horaria con el c"&amp;"liente se termina bajando antes de la call y a veces se pierde de información o acuerdos a los que llegan en estas llamadas de trabajo. Luego se socializan las cosas en las dailies pero igual siente que no esta al día con lo que va sucediendo. Estamos rev"&amp;"isando como cambiar esto. ")</f>
        <v>Le preocupa un poco que en el nuevo proyecto al que fue asignado casi no haya actividades por realizar. Le incomoda que en la dinámica del nuevo proyecto se junta el team todo el día en una call a trabajar y al tener 4 horas de diferencia horaria con el cliente se termina bajando antes de la call y a veces se pierde de información o acuerdos a los que llegan en estas llamadas de trabajo. Luego se socializan las cosas en las dailies pero igual siente que no esta al día con lo que va sucediendo. Estamos revisando como cambiar esto. </v>
      </c>
      <c r="J509" s="4" t="str">
        <f>IFERROR(__xludf.DUMMYFUNCTION("""COMPUTED_VALUE"""),"PX|Referents|RRHH")</f>
        <v>PX|Referents|RRHH</v>
      </c>
    </row>
    <row r="510" hidden="1">
      <c r="A510" s="4">
        <f>IFERROR(__xludf.DUMMYFUNCTION("""COMPUTED_VALUE"""),347.0)</f>
        <v>347</v>
      </c>
      <c r="B510" s="4" t="str">
        <f>IFERROR(__xludf.DUMMYFUNCTION("""COMPUTED_VALUE"""),"nicolas.netcoff")</f>
        <v>nicolas.netcoff</v>
      </c>
      <c r="C510" s="5">
        <f>IFERROR(__xludf.DUMMYFUNCTION("""COMPUTED_VALUE"""),45162.541983379626)</f>
        <v>45162.54198</v>
      </c>
      <c r="D510" s="5">
        <f>IFERROR(__xludf.DUMMYFUNCTION("""COMPUTED_VALUE"""),45162.0)</f>
        <v>45162</v>
      </c>
      <c r="E510" s="4" t="str">
        <f>IFERROR(__xludf.DUMMYFUNCTION("""COMPUTED_VALUE"""),"marcela.benavides@patagoniansys.com")</f>
        <v>marcela.benavides@patagoniansys.com</v>
      </c>
      <c r="F510" s="4" t="str">
        <f>IFERROR(__xludf.DUMMYFUNCTION("""COMPUTED_VALUE"""),"nicolas.netcoff@patagoniansys.com")</f>
        <v>nicolas.netcoff@patagoniansys.com</v>
      </c>
      <c r="G510" s="4" t="str">
        <f>IFERROR(__xludf.DUMMYFUNCTION("""COMPUTED_VALUE"""),"⏱ One on One")</f>
        <v>⏱ One on One</v>
      </c>
      <c r="H510" s="4" t="str">
        <f>IFERROR(__xludf.DUMMYFUNCTION("""COMPUTED_VALUE"""),"🙂 Feliz")</f>
        <v>🙂 Feliz</v>
      </c>
      <c r="I510" s="6" t="str">
        <f>IFERROR(__xludf.DUMMYFUNCTION("""COMPUTED_VALUE"""),"Esta contento con la nueva asignación de proyecto, están mas claras y ordenadas las tareas. Pidió revisar si parte de su salario puede ser en dólares, ve viable la opción de pasarse a contractor. ")</f>
        <v>Esta contento con la nueva asignación de proyecto, están mas claras y ordenadas las tareas. Pidió revisar si parte de su salario puede ser en dólares, ve viable la opción de pasarse a contractor. </v>
      </c>
      <c r="J510" s="4" t="str">
        <f>IFERROR(__xludf.DUMMYFUNCTION("""COMPUTED_VALUE"""),"PX|Referents|RRHH")</f>
        <v>PX|Referents|RRHH</v>
      </c>
    </row>
    <row r="511" hidden="1">
      <c r="A511" s="4">
        <f>IFERROR(__xludf.DUMMYFUNCTION("""COMPUTED_VALUE"""),152.0)</f>
        <v>152</v>
      </c>
      <c r="B511" s="4" t="str">
        <f>IFERROR(__xludf.DUMMYFUNCTION("""COMPUTED_VALUE"""),"omar.fandino")</f>
        <v>omar.fandino</v>
      </c>
      <c r="C511" s="5">
        <f>IFERROR(__xludf.DUMMYFUNCTION("""COMPUTED_VALUE"""),45162.54278371528)</f>
        <v>45162.54278</v>
      </c>
      <c r="D511" s="5">
        <f>IFERROR(__xludf.DUMMYFUNCTION("""COMPUTED_VALUE"""),45162.0)</f>
        <v>45162</v>
      </c>
      <c r="E511" s="4" t="str">
        <f>IFERROR(__xludf.DUMMYFUNCTION("""COMPUTED_VALUE"""),"daniela.morales@patagoniansys.com")</f>
        <v>daniela.morales@patagoniansys.com</v>
      </c>
      <c r="F511" s="4" t="str">
        <f>IFERROR(__xludf.DUMMYFUNCTION("""COMPUTED_VALUE"""),"omar.fandino@patagoniansys.com")</f>
        <v>omar.fandino@patagoniansys.com</v>
      </c>
      <c r="G511" s="4" t="str">
        <f>IFERROR(__xludf.DUMMYFUNCTION("""COMPUTED_VALUE"""),"⏱ One on One")</f>
        <v>⏱ One on One</v>
      </c>
      <c r="H511" s="4" t="str">
        <f>IFERROR(__xludf.DUMMYFUNCTION("""COMPUTED_VALUE"""),"🙂 Feliz")</f>
        <v>🙂 Feliz</v>
      </c>
      <c r="I511" s="6" t="str">
        <f>IFERROR(__xludf.DUMMYFUNCTION("""COMPUTED_VALUE"""),"Se siente bastante bien el proyecto hasta el momento, aunque han habido ciertos casos de complicaciones en la comunicación con el equipo de QA. Le gustaría pasar a un proyecto en el que esté billeable porque le genera ansiedad el no estar asignado por el "&amp;"cliente. En este momento se está capacitando, está asistiendo a las clases de inglés y tiene una dinámica de aprendizaje con el equipo. Me consulta sobre la semana patagonian y sobre la posibilidad de usar el dinero de capacitación en clases extra de ingl"&amp;"és. ")</f>
        <v>Se siente bastante bien el proyecto hasta el momento, aunque han habido ciertos casos de complicaciones en la comunicación con el equipo de QA. Le gustaría pasar a un proyecto en el que esté billeable porque le genera ansiedad el no estar asignado por el cliente. En este momento se está capacitando, está asistiendo a las clases de inglés y tiene una dinámica de aprendizaje con el equipo. Me consulta sobre la semana patagonian y sobre la posibilidad de usar el dinero de capacitación en clases extra de inglés. </v>
      </c>
      <c r="J511" s="4" t="str">
        <f>IFERROR(__xludf.DUMMYFUNCTION("""COMPUTED_VALUE"""),"PX|Referents|RRHH")</f>
        <v>PX|Referents|RRHH</v>
      </c>
    </row>
    <row r="512">
      <c r="A512" s="4">
        <f>IFERROR(__xludf.DUMMYFUNCTION("""COMPUTED_VALUE"""),182.0)</f>
        <v>182</v>
      </c>
      <c r="B512" s="4" t="str">
        <f>IFERROR(__xludf.DUMMYFUNCTION("""COMPUTED_VALUE"""),"exequiel.soto")</f>
        <v>exequiel.soto</v>
      </c>
      <c r="C512" s="5">
        <f>IFERROR(__xludf.DUMMYFUNCTION("""COMPUTED_VALUE"""),45162.70288152777)</f>
        <v>45162.70288</v>
      </c>
      <c r="D512" s="5">
        <f>IFERROR(__xludf.DUMMYFUNCTION("""COMPUTED_VALUE"""),45162.0)</f>
        <v>45162</v>
      </c>
      <c r="E512" s="4" t="str">
        <f>IFERROR(__xludf.DUMMYFUNCTION("""COMPUTED_VALUE"""),"martin.castro@patagoniansys.com")</f>
        <v>martin.castro@patagoniansys.com</v>
      </c>
      <c r="F512" s="4" t="str">
        <f>IFERROR(__xludf.DUMMYFUNCTION("""COMPUTED_VALUE"""),"exequiel.soto@patagonian.com")</f>
        <v>exequiel.soto@patagonian.com</v>
      </c>
      <c r="G512" s="4" t="str">
        <f>IFERROR(__xludf.DUMMYFUNCTION("""COMPUTED_VALUE"""),"Referent One on One")</f>
        <v>Referent One on One</v>
      </c>
      <c r="H512" s="4"/>
      <c r="I512" s="6" t="str">
        <f>IFERROR(__xludf.DUMMYFUNCTION("""COMPUTED_VALUE"""),"- Interviewee e-Mail: exequiel.soto@patagonian.com
- Project Status Check: Diario Rio Negro y Patagonian Skills Tracker.
No necesita ayuda, ya está acostumbrado a la forma de trabajar, etc
- Project Changes | Notes: Se fué Faygo, está un poco triste por l"&amp;"a salida del equipo (y de la empresa)
- Project Role | Feeling: 5
- Extra Work Hours | Amount: 0 (Ningúna)
- Techs | Research: GraphQL, Remix
- Techs | Recomendations: Mira videos de youtube de los canales ""Midudev"" y ""Fazt"", son el Carlos Bianchi de "&amp;"la programación (según él)
- Collaborator | Seniority: 👍 No, es correcto
- Final notes: Está creciendo mucho, en la etapa de aprender todas las tecnologías del proyecto para ser productivo
- Project Techs | Learning: 16
- Techs | Research: 20
- Project T"&amp;"echs | Difficulty: 5
- Project Changes | Reasons: ⬇️ Reducción del equipo
- Project Changes | Personal Impact: 1
- Project Role | Value: 4
- Project role | Notes: Se siente útil, sos mas productivo ahora que le agarró la mano al proyecto y le dan tareas m"&amp;"as desafiantes")</f>
        <v>- Interviewee e-Mail: exequiel.soto@patagonian.com
- Project Status Check: Diario Rio Negro y Patagonian Skills Tracker.
No necesita ayuda, ya está acostumbrado a la forma de trabajar, etc
- Project Changes | Notes: Se fué Faygo, está un poco triste por la salida del equipo (y de la empresa)
- Project Role | Feeling: 5
- Extra Work Hours | Amount: 0 (Ningúna)
- Techs | Research: GraphQL, Remix
- Techs | Recomendations: Mira videos de youtube de los canales "Midudev" y "Fazt", son el Carlos Bianchi de la programación (según él)
- Collaborator | Seniority: 👍 No, es correcto
- Final notes: Está creciendo mucho, en la etapa de aprender todas las tecnologías del proyecto para ser productivo
- Project Techs | Learning: 16
- Techs | Research: 20
- Project Techs | Difficulty: 5
- Project Changes | Reasons: ⬇️ Reducción del equipo
- Project Changes | Personal Impact: 1
- Project Role | Value: 4
- Project role | Notes: Se siente útil, sos mas productivo ahora que le agarró la mano al proyecto y le dan tareas mas desafiantes</v>
      </c>
      <c r="J512" s="4" t="str">
        <f>IFERROR(__xludf.DUMMYFUNCTION("""COMPUTED_VALUE"""),"Tech Referent - OneOnOne")</f>
        <v>Tech Referent - OneOnOne</v>
      </c>
    </row>
    <row r="513" hidden="1">
      <c r="A513" s="4">
        <f>IFERROR(__xludf.DUMMYFUNCTION("""COMPUTED_VALUE"""),332.0)</f>
        <v>332</v>
      </c>
      <c r="B513" s="4" t="str">
        <f>IFERROR(__xludf.DUMMYFUNCTION("""COMPUTED_VALUE"""),"jose.rodriguez")</f>
        <v>jose.rodriguez</v>
      </c>
      <c r="C513" s="5">
        <f>IFERROR(__xludf.DUMMYFUNCTION("""COMPUTED_VALUE"""),45162.71016569444)</f>
        <v>45162.71017</v>
      </c>
      <c r="D513" s="5">
        <f>IFERROR(__xludf.DUMMYFUNCTION("""COMPUTED_VALUE"""),45162.0)</f>
        <v>45162</v>
      </c>
      <c r="E513" s="4" t="str">
        <f>IFERROR(__xludf.DUMMYFUNCTION("""COMPUTED_VALUE"""),"daniela.morales@patagoniansys.com")</f>
        <v>daniela.morales@patagoniansys.com</v>
      </c>
      <c r="F513" s="4" t="str">
        <f>IFERROR(__xludf.DUMMYFUNCTION("""COMPUTED_VALUE"""),"jose.rodriguez@patagoniansys.com")</f>
        <v>jose.rodriguez@patagoniansys.com</v>
      </c>
      <c r="G513" s="4" t="str">
        <f>IFERROR(__xludf.DUMMYFUNCTION("""COMPUTED_VALUE"""),"⏱ One on One")</f>
        <v>⏱ One on One</v>
      </c>
      <c r="H513" s="4" t="str">
        <f>IFERROR(__xludf.DUMMYFUNCTION("""COMPUTED_VALUE"""),"😐 Indiferente")</f>
        <v>😐 Indiferente</v>
      </c>
      <c r="I513" s="6" t="str">
        <f>IFERROR(__xludf.DUMMYFUNCTION("""COMPUTED_VALUE"""),"Me cuenta que está retomando bastante bien el proyecto, está contento con el equipo y con todo el apoyo que ha tenido tanto de su PM como de la empresa y del cliente. En general se encuentra tranquilo y está contento con Patagonian. ")</f>
        <v>Me cuenta que está retomando bastante bien el proyecto, está contento con el equipo y con todo el apoyo que ha tenido tanto de su PM como de la empresa y del cliente. En general se encuentra tranquilo y está contento con Patagonian. </v>
      </c>
      <c r="J513" s="4" t="str">
        <f>IFERROR(__xludf.DUMMYFUNCTION("""COMPUTED_VALUE"""),"PX|Referents|RRHH")</f>
        <v>PX|Referents|RRHH</v>
      </c>
    </row>
    <row r="514" hidden="1">
      <c r="A514" s="4">
        <f>IFERROR(__xludf.DUMMYFUNCTION("""COMPUTED_VALUE"""),297.0)</f>
        <v>297</v>
      </c>
      <c r="B514" s="4" t="str">
        <f>IFERROR(__xludf.DUMMYFUNCTION("""COMPUTED_VALUE"""),"charly.palencia")</f>
        <v>charly.palencia</v>
      </c>
      <c r="C514" s="5">
        <f>IFERROR(__xludf.DUMMYFUNCTION("""COMPUTED_VALUE"""),45162.748873101846)</f>
        <v>45162.74887</v>
      </c>
      <c r="D514" s="5">
        <f>IFERROR(__xludf.DUMMYFUNCTION("""COMPUTED_VALUE"""),45162.0)</f>
        <v>45162</v>
      </c>
      <c r="E514" s="4" t="str">
        <f>IFERROR(__xludf.DUMMYFUNCTION("""COMPUTED_VALUE"""),"daniela.morales@patagoniansys.com")</f>
        <v>daniela.morales@patagoniansys.com</v>
      </c>
      <c r="F514" s="4" t="str">
        <f>IFERROR(__xludf.DUMMYFUNCTION("""COMPUTED_VALUE"""),"charly.palencia@patagoniansys.com")</f>
        <v>charly.palencia@patagoniansys.com</v>
      </c>
      <c r="G514" s="4" t="str">
        <f>IFERROR(__xludf.DUMMYFUNCTION("""COMPUTED_VALUE"""),"⏱ One on One")</f>
        <v>⏱ One on One</v>
      </c>
      <c r="H514" s="4" t="str">
        <f>IFERROR(__xludf.DUMMYFUNCTION("""COMPUTED_VALUE"""),"🙂 Feliz")</f>
        <v>🙂 Feliz</v>
      </c>
      <c r="I514" s="6" t="str">
        <f>IFERROR(__xludf.DUMMYFUNCTION("""COMPUTED_VALUE"""),"En general está bastante bien, le gusta mucho el proyecto, está contento con el equipo, le parece retador y le gusta en lo que se desempeña. Está contento también por el apoyo del PM y de Patagonian. ")</f>
        <v>En general está bastante bien, le gusta mucho el proyecto, está contento con el equipo, le parece retador y le gusta en lo que se desempeña. Está contento también por el apoyo del PM y de Patagonian. </v>
      </c>
      <c r="J514" s="4" t="str">
        <f>IFERROR(__xludf.DUMMYFUNCTION("""COMPUTED_VALUE"""),"PX|Referents|RRHH")</f>
        <v>PX|Referents|RRHH</v>
      </c>
    </row>
    <row r="515">
      <c r="A515" s="4">
        <f>IFERROR(__xludf.DUMMYFUNCTION("""COMPUTED_VALUE"""),11.0)</f>
        <v>11</v>
      </c>
      <c r="B515" s="4" t="str">
        <f>IFERROR(__xludf.DUMMYFUNCTION("""COMPUTED_VALUE"""),"ernesto.parada")</f>
        <v>ernesto.parada</v>
      </c>
      <c r="C515" s="5">
        <f>IFERROR(__xludf.DUMMYFUNCTION("""COMPUTED_VALUE"""),45162.8495836574)</f>
        <v>45162.84958</v>
      </c>
      <c r="D515" s="5">
        <f>IFERROR(__xludf.DUMMYFUNCTION("""COMPUTED_VALUE"""),45162.0)</f>
        <v>45162</v>
      </c>
      <c r="E515" s="4" t="str">
        <f>IFERROR(__xludf.DUMMYFUNCTION("""COMPUTED_VALUE"""),"edgar.bonilla@patagoniansys.com")</f>
        <v>edgar.bonilla@patagoniansys.com</v>
      </c>
      <c r="F515" s="4" t="str">
        <f>IFERROR(__xludf.DUMMYFUNCTION("""COMPUTED_VALUE"""),"ernesto.parada@patagoniansys.com")</f>
        <v>ernesto.parada@patagoniansys.com</v>
      </c>
      <c r="G515" s="4" t="str">
        <f>IFERROR(__xludf.DUMMYFUNCTION("""COMPUTED_VALUE"""),"Referent One on One")</f>
        <v>Referent One on One</v>
      </c>
      <c r="H515" s="4"/>
      <c r="I515" s="6" t="str">
        <f>IFERROR(__xludf.DUMMYFUNCTION("""COMPUTED_VALUE"""),"- Interviewee e-Mail: ernesto.parada@patagoniansys.com
- Project Status Check: Está en MBody y Eyethena
En Eyethena arrancó un nuevo contrato. Está con Tito Zuluaga (back-end) y Duverney (mobile).
Les ve buen avance por ahora, además que están recién ent"&amp;"rados al proyecto.
Está Juan Galo en QA.
En general está como TL en ambos proyectos dirigiendo y dando soporte. En MBody a veces codea un poco más y dá más soporte ya que lleva vario años en el proyecto y conoce muy bien tanto la parte técnica como el ne"&amp;"gocio.
Por ahí siente que estando con los dos proyectos no le queda nada de tiempo para capacitarse. Por ejemplo seguir con el curso de AWS o encarar las misiones del Career Track de back-end.
- Project Changes | Notes: Entraron nuevas personas al proyec"&amp;"to de Eyethena (reemplazando a otras) y siente una buen dinámica de trabajo.
- Project Role | Feeling: 4
- Extra Work Hours | Amount: 0 (Ningúna)
- Collaborator | Seniority: 👍 No, es correcto
- Alerts: Quisiera tener un poco más de tiempo para poder toma"&amp;"r cursos y capacitarse
- Project Techs | Learning: 2
- Project Techs | Difficulty: 4
- Project Changes | Reasons: 🔀 Cambio de roles dentro del equipo
- Project Changes | Personal Impact: 4
- Project Role | Value: 3
- Project role | Notes: En general está"&amp;" como TL en ambos proyectos dirigiendo y dando soporte. En MBody a veces codea un poco más y dá más soporte ya que lleva vario años en el proyecto y conoce muy bien tanto la parte técnica como el negocio.
Por ahí siente que estando con los dos proyectos "&amp;"no le queda nada de tiempo para capacitarse. Por ejemplo seguir con el curso de AWS o encarar las misiones del Career Track de back-end.")</f>
        <v>- Interviewee e-Mail: ernesto.parada@patagoniansys.com
- Project Status Check: Está en MBody y Eyethena
En Eyethena arrancó un nuevo contrato. Está con Tito Zuluaga (back-end) y Duverney (mobile).
Les ve buen avance por ahora, además que están recién entrados al proyecto.
Está Juan Galo en QA.
En general está como TL en ambos proyectos dirigiendo y dando soporte. En MBody a veces codea un poco más y dá más soporte ya que lleva vario años en el proyecto y conoce muy bien tanto la parte técnica como el negocio.
Por ahí siente que estando con los dos proyectos no le queda nada de tiempo para capacitarse. Por ejemplo seguir con el curso de AWS o encarar las misiones del Career Track de back-end.
- Project Changes | Notes: Entraron nuevas personas al proyecto de Eyethena (reemplazando a otras) y siente una buen dinámica de trabajo.
- Project Role | Feeling: 4
- Extra Work Hours | Amount: 0 (Ningúna)
- Collaborator | Seniority: 👍 No, es correcto
- Alerts: Quisiera tener un poco más de tiempo para poder tomar cursos y capacitarse
- Project Techs | Learning: 2
- Project Techs | Difficulty: 4
- Project Changes | Reasons: 🔀 Cambio de roles dentro del equipo
- Project Changes | Personal Impact: 4
- Project Role | Value: 3
- Project role | Notes: En general está como TL en ambos proyectos dirigiendo y dando soporte. En MBody a veces codea un poco más y dá más soporte ya que lleva vario años en el proyecto y conoce muy bien tanto la parte técnica como el negocio.
Por ahí siente que estando con los dos proyectos no le queda nada de tiempo para capacitarse. Por ejemplo seguir con el curso de AWS o encarar las misiones del Career Track de back-end.</v>
      </c>
      <c r="J515" s="4" t="str">
        <f>IFERROR(__xludf.DUMMYFUNCTION("""COMPUTED_VALUE"""),"Tech Referent - OneOnOne")</f>
        <v>Tech Referent - OneOnOne</v>
      </c>
    </row>
    <row r="516" hidden="1">
      <c r="A516" s="4">
        <f>IFERROR(__xludf.DUMMYFUNCTION("""COMPUTED_VALUE"""),331.0)</f>
        <v>331</v>
      </c>
      <c r="B516" s="4" t="str">
        <f>IFERROR(__xludf.DUMMYFUNCTION("""COMPUTED_VALUE"""),"eduardo.giorgio")</f>
        <v>eduardo.giorgio</v>
      </c>
      <c r="C516" s="5">
        <f>IFERROR(__xludf.DUMMYFUNCTION("""COMPUTED_VALUE"""),45166.46580696759)</f>
        <v>45166.46581</v>
      </c>
      <c r="D516" s="5">
        <f>IFERROR(__xludf.DUMMYFUNCTION("""COMPUTED_VALUE"""),45166.0)</f>
        <v>45166</v>
      </c>
      <c r="E516" s="4" t="str">
        <f>IFERROR(__xludf.DUMMYFUNCTION("""COMPUTED_VALUE"""),"natalia.aguirre@patagoniansys.com")</f>
        <v>natalia.aguirre@patagoniansys.com</v>
      </c>
      <c r="F516" s="4" t="str">
        <f>IFERROR(__xludf.DUMMYFUNCTION("""COMPUTED_VALUE"""),"eduardo.giorgio@patagoniansys.com")</f>
        <v>eduardo.giorgio@patagoniansys.com</v>
      </c>
      <c r="G516" s="4" t="str">
        <f>IFERROR(__xludf.DUMMYFUNCTION("""COMPUTED_VALUE"""),"⏱ One on One")</f>
        <v>⏱ One on One</v>
      </c>
      <c r="H516" s="4" t="str">
        <f>IFERROR(__xludf.DUMMYFUNCTION("""COMPUTED_VALUE"""),"🙂 Feliz")</f>
        <v>🙂 Feliz</v>
      </c>
      <c r="I516" s="6" t="str">
        <f>IFERROR(__xludf.DUMMYFUNCTION("""COMPUTED_VALUE"""),"En el proyecto todo va tranqui, he tenido algo de tiempo para estudiar para la certificación y está programada para el 15 de septiembre, espera poder rendirla ese día.
Siente que ya esta muy estable en su curva de aprendizaje en el cliente (ya tienen 7 me"&amp;"ses en el proyecto) y aunque por ahora prefiere seguir en Centriply, levantará la mano cuando sienta que se está estancando y quisiera un cambio de proyecto.")</f>
        <v>En el proyecto todo va tranqui, he tenido algo de tiempo para estudiar para la certificación y está programada para el 15 de septiembre, espera poder rendirla ese día.
Siente que ya esta muy estable en su curva de aprendizaje en el cliente (ya tienen 7 meses en el proyecto) y aunque por ahora prefiere seguir en Centriply, levantará la mano cuando sienta que se está estancando y quisiera un cambio de proyecto.</v>
      </c>
      <c r="J516" s="4" t="str">
        <f>IFERROR(__xludf.DUMMYFUNCTION("""COMPUTED_VALUE"""),"PX|Referents|RRHH")</f>
        <v>PX|Referents|RRHH</v>
      </c>
    </row>
    <row r="517" hidden="1">
      <c r="A517" s="4">
        <f>IFERROR(__xludf.DUMMYFUNCTION("""COMPUTED_VALUE"""),105.0)</f>
        <v>105</v>
      </c>
      <c r="B517" s="4" t="str">
        <f>IFERROR(__xludf.DUMMYFUNCTION("""COMPUTED_VALUE"""),"henry.tong")</f>
        <v>henry.tong</v>
      </c>
      <c r="C517" s="5">
        <f>IFERROR(__xludf.DUMMYFUNCTION("""COMPUTED_VALUE"""),45166.52094844907)</f>
        <v>45166.52095</v>
      </c>
      <c r="D517" s="5">
        <f>IFERROR(__xludf.DUMMYFUNCTION("""COMPUTED_VALUE"""),45166.0)</f>
        <v>45166</v>
      </c>
      <c r="E517" s="4" t="str">
        <f>IFERROR(__xludf.DUMMYFUNCTION("""COMPUTED_VALUE"""),"natalia.aguirre@patagoniansys.com")</f>
        <v>natalia.aguirre@patagoniansys.com</v>
      </c>
      <c r="F517" s="4" t="str">
        <f>IFERROR(__xludf.DUMMYFUNCTION("""COMPUTED_VALUE"""),"henry.tong@patagoniansys.com")</f>
        <v>henry.tong@patagoniansys.com</v>
      </c>
      <c r="G517" s="4" t="str">
        <f>IFERROR(__xludf.DUMMYFUNCTION("""COMPUTED_VALUE"""),"⏱ One on One")</f>
        <v>⏱ One on One</v>
      </c>
      <c r="H517" s="4" t="str">
        <f>IFERROR(__xludf.DUMMYFUNCTION("""COMPUTED_VALUE"""),"🙂 Feliz")</f>
        <v>🙂 Feliz</v>
      </c>
      <c r="I517" s="6" t="str">
        <f>IFERROR(__xludf.DUMMYFUNCTION("""COMPUTED_VALUE"""),"Esta en proceso de entrega de documentación con el cliente (Test Machine), su asignación del 100% será hasta el 31 de agosto y en septiembre serán 10 horas semanales hasta  finalizar. Aunque la experiencia en Test Machine le gustó mucho, está abierto a em"&amp;"pezar en un nuevo cliente. Esta dispuesto a cualquier nuevo reto. ")</f>
        <v>Esta en proceso de entrega de documentación con el cliente (Test Machine), su asignación del 100% será hasta el 31 de agosto y en septiembre serán 10 horas semanales hasta  finalizar. Aunque la experiencia en Test Machine le gustó mucho, está abierto a empezar en un nuevo cliente. Esta dispuesto a cualquier nuevo reto. </v>
      </c>
      <c r="J517" s="4" t="str">
        <f>IFERROR(__xludf.DUMMYFUNCTION("""COMPUTED_VALUE"""),"PX|Referents|RRHH")</f>
        <v>PX|Referents|RRHH</v>
      </c>
    </row>
    <row r="518" hidden="1">
      <c r="A518" s="4">
        <f>IFERROR(__xludf.DUMMYFUNCTION("""COMPUTED_VALUE"""),284.0)</f>
        <v>284</v>
      </c>
      <c r="B518" s="4" t="str">
        <f>IFERROR(__xludf.DUMMYFUNCTION("""COMPUTED_VALUE"""),"emmanuel.trassani")</f>
        <v>emmanuel.trassani</v>
      </c>
      <c r="C518" s="5">
        <f>IFERROR(__xludf.DUMMYFUNCTION("""COMPUTED_VALUE"""),45166.687610486115)</f>
        <v>45166.68761</v>
      </c>
      <c r="D518" s="5">
        <f>IFERROR(__xludf.DUMMYFUNCTION("""COMPUTED_VALUE"""),45166.0)</f>
        <v>45166</v>
      </c>
      <c r="E518" s="4" t="str">
        <f>IFERROR(__xludf.DUMMYFUNCTION("""COMPUTED_VALUE"""),"hernan.muras@patagoniansys.com")</f>
        <v>hernan.muras@patagoniansys.com</v>
      </c>
      <c r="F518" s="4" t="str">
        <f>IFERROR(__xludf.DUMMYFUNCTION("""COMPUTED_VALUE"""),"emmanuel.trassani@patagoniansys.com")</f>
        <v>emmanuel.trassani@patagoniansys.com</v>
      </c>
      <c r="G518" s="4" t="str">
        <f>IFERROR(__xludf.DUMMYFUNCTION("""COMPUTED_VALUE"""),"⏱ One on One")</f>
        <v>⏱ One on One</v>
      </c>
      <c r="H518" s="4" t="str">
        <f>IFERROR(__xludf.DUMMYFUNCTION("""COMPUTED_VALUE"""),"🙂 Feliz")</f>
        <v>🙂 Feliz</v>
      </c>
      <c r="I518" s="6" t="str">
        <f>IFERROR(__xludf.DUMMYFUNCTION("""COMPUTED_VALUE"""),"Emmanuel se siente a gusto en el equipo, su TL le acompaña mucho y cree que es un buen mentor. Si bien su foco principal es frontend, siente que está aprendiendo herramientas nuevas que le serán útiles en el futuro. Comenzamos a planear la evaluación para"&amp;" ser recategorizado a fin de año. Le pedí que prepare la demo de una feature en inglés para evaluarlo. ")</f>
        <v>Emmanuel se siente a gusto en el equipo, su TL le acompaña mucho y cree que es un buen mentor. Si bien su foco principal es frontend, siente que está aprendiendo herramientas nuevas que le serán útiles en el futuro. Comenzamos a planear la evaluación para ser recategorizado a fin de año. Le pedí que prepare la demo de una feature en inglés para evaluarlo. </v>
      </c>
      <c r="J518" s="4" t="str">
        <f>IFERROR(__xludf.DUMMYFUNCTION("""COMPUTED_VALUE"""),"PX|Referents|RRHH")</f>
        <v>PX|Referents|RRHH</v>
      </c>
    </row>
    <row r="519" hidden="1">
      <c r="A519" s="4">
        <f>IFERROR(__xludf.DUMMYFUNCTION("""COMPUTED_VALUE"""),167.0)</f>
        <v>167</v>
      </c>
      <c r="B519" s="4" t="str">
        <f>IFERROR(__xludf.DUMMYFUNCTION("""COMPUTED_VALUE"""),"rodrigo.cibils")</f>
        <v>rodrigo.cibils</v>
      </c>
      <c r="C519" s="5">
        <f>IFERROR(__xludf.DUMMYFUNCTION("""COMPUTED_VALUE"""),45174.65858195601)</f>
        <v>45174.65858</v>
      </c>
      <c r="D519" s="5">
        <f>IFERROR(__xludf.DUMMYFUNCTION("""COMPUTED_VALUE"""),45166.0)</f>
        <v>45166</v>
      </c>
      <c r="E519" s="4" t="str">
        <f>IFERROR(__xludf.DUMMYFUNCTION("""COMPUTED_VALUE"""),"micaela.zorzetto@patagoniansys.com")</f>
        <v>micaela.zorzetto@patagoniansys.com</v>
      </c>
      <c r="F519" s="4" t="str">
        <f>IFERROR(__xludf.DUMMYFUNCTION("""COMPUTED_VALUE"""),"rodrigo.cibils@patagoniansys.com")</f>
        <v>rodrigo.cibils@patagoniansys.com</v>
      </c>
      <c r="G519" s="4" t="str">
        <f>IFERROR(__xludf.DUMMYFUNCTION("""COMPUTED_VALUE"""),"⏱ One on One")</f>
        <v>⏱ One on One</v>
      </c>
      <c r="H519" s="4" t="str">
        <f>IFERROR(__xludf.DUMMYFUNCTION("""COMPUTED_VALUE"""),"🙂 Feliz")</f>
        <v>🙂 Feliz</v>
      </c>
      <c r="I519" s="6" t="str">
        <f>IFERROR(__xludf.DUMMYFUNCTION("""COMPUTED_VALUE"""),"No me comentó nada especifico, solo charlamos sobre como vienen los trámites en su viaje. ")</f>
        <v>No me comentó nada especifico, solo charlamos sobre como vienen los trámites en su viaje. </v>
      </c>
      <c r="J519" s="4" t="str">
        <f>IFERROR(__xludf.DUMMYFUNCTION("""COMPUTED_VALUE"""),"PX|Referents|RRHH")</f>
        <v>PX|Referents|RRHH</v>
      </c>
    </row>
    <row r="520" hidden="1">
      <c r="A520" s="4">
        <f>IFERROR(__xludf.DUMMYFUNCTION("""COMPUTED_VALUE"""),331.0)</f>
        <v>331</v>
      </c>
      <c r="B520" s="4" t="str">
        <f>IFERROR(__xludf.DUMMYFUNCTION("""COMPUTED_VALUE"""),"eduardo.giorgio")</f>
        <v>eduardo.giorgio</v>
      </c>
      <c r="C520" s="5">
        <f>IFERROR(__xludf.DUMMYFUNCTION("""COMPUTED_VALUE"""),45174.6614375463)</f>
        <v>45174.66144</v>
      </c>
      <c r="D520" s="5">
        <f>IFERROR(__xludf.DUMMYFUNCTION("""COMPUTED_VALUE"""),45166.0)</f>
        <v>45166</v>
      </c>
      <c r="E520" s="4" t="str">
        <f>IFERROR(__xludf.DUMMYFUNCTION("""COMPUTED_VALUE"""),"micaela.zorzetto@patagoniansys.com")</f>
        <v>micaela.zorzetto@patagoniansys.com</v>
      </c>
      <c r="F520" s="4" t="str">
        <f>IFERROR(__xludf.DUMMYFUNCTION("""COMPUTED_VALUE"""),"eduardo.giorgio@patagoniansys.com")</f>
        <v>eduardo.giorgio@patagoniansys.com</v>
      </c>
      <c r="G520" s="4" t="str">
        <f>IFERROR(__xludf.DUMMYFUNCTION("""COMPUTED_VALUE"""),"⏱ One on One")</f>
        <v>⏱ One on One</v>
      </c>
      <c r="H520" s="4" t="str">
        <f>IFERROR(__xludf.DUMMYFUNCTION("""COMPUTED_VALUE"""),"🙂 Feliz")</f>
        <v>🙂 Feliz</v>
      </c>
      <c r="I520" s="6" t="str">
        <f>IFERROR(__xludf.DUMMYFUNCTION("""COMPUTED_VALUE"""),"Ya se siente mas tranquilo trabajando en el proyecto, mas independiente. ")</f>
        <v>Ya se siente mas tranquilo trabajando en el proyecto, mas independiente. </v>
      </c>
      <c r="J520" s="4" t="str">
        <f>IFERROR(__xludf.DUMMYFUNCTION("""COMPUTED_VALUE"""),"PX|Referents|RRHH")</f>
        <v>PX|Referents|RRHH</v>
      </c>
    </row>
    <row r="521" hidden="1">
      <c r="A521" s="4">
        <f>IFERROR(__xludf.DUMMYFUNCTION("""COMPUTED_VALUE"""),282.0)</f>
        <v>282</v>
      </c>
      <c r="B521" s="4" t="str">
        <f>IFERROR(__xludf.DUMMYFUNCTION("""COMPUTED_VALUE"""),"julian.zambroni")</f>
        <v>julian.zambroni</v>
      </c>
      <c r="C521" s="5">
        <f>IFERROR(__xludf.DUMMYFUNCTION("""COMPUTED_VALUE"""),45174.664415520834)</f>
        <v>45174.66442</v>
      </c>
      <c r="D521" s="5">
        <f>IFERROR(__xludf.DUMMYFUNCTION("""COMPUTED_VALUE"""),45166.0)</f>
        <v>45166</v>
      </c>
      <c r="E521" s="4" t="str">
        <f>IFERROR(__xludf.DUMMYFUNCTION("""COMPUTED_VALUE"""),"micaela.zorzetto@patagoniansys.com")</f>
        <v>micaela.zorzetto@patagoniansys.com</v>
      </c>
      <c r="F521" s="4" t="str">
        <f>IFERROR(__xludf.DUMMYFUNCTION("""COMPUTED_VALUE"""),"julian.zambroni@patagoniansys.com")</f>
        <v>julian.zambroni@patagoniansys.com</v>
      </c>
      <c r="G521" s="4" t="str">
        <f>IFERROR(__xludf.DUMMYFUNCTION("""COMPUTED_VALUE"""),"⏱ One on One")</f>
        <v>⏱ One on One</v>
      </c>
      <c r="H521" s="4" t="str">
        <f>IFERROR(__xludf.DUMMYFUNCTION("""COMPUTED_VALUE"""),"😐 Indiferente")</f>
        <v>😐 Indiferente</v>
      </c>
      <c r="I521" s="6" t="str">
        <f>IFERROR(__xludf.DUMMYFUNCTION("""COMPUTED_VALUE"""),"Juli esta bien en el proyecto y con el equipo.")</f>
        <v>Juli esta bien en el proyecto y con el equipo.</v>
      </c>
      <c r="J521" s="4" t="str">
        <f>IFERROR(__xludf.DUMMYFUNCTION("""COMPUTED_VALUE"""),"PX|Referents|RRHH")</f>
        <v>PX|Referents|RRHH</v>
      </c>
    </row>
    <row r="522" hidden="1">
      <c r="A522" s="4">
        <f>IFERROR(__xludf.DUMMYFUNCTION("""COMPUTED_VALUE"""),333.0)</f>
        <v>333</v>
      </c>
      <c r="B522" s="4" t="str">
        <f>IFERROR(__xludf.DUMMYFUNCTION("""COMPUTED_VALUE"""),"guillermo.escalante")</f>
        <v>guillermo.escalante</v>
      </c>
      <c r="C522" s="5">
        <f>IFERROR(__xludf.DUMMYFUNCTION("""COMPUTED_VALUE"""),45174.670055625)</f>
        <v>45174.67006</v>
      </c>
      <c r="D522" s="5">
        <f>IFERROR(__xludf.DUMMYFUNCTION("""COMPUTED_VALUE"""),45166.0)</f>
        <v>45166</v>
      </c>
      <c r="E522" s="4" t="str">
        <f>IFERROR(__xludf.DUMMYFUNCTION("""COMPUTED_VALUE"""),"micaela.zorzetto@patagoniansys.com")</f>
        <v>micaela.zorzetto@patagoniansys.com</v>
      </c>
      <c r="F522" s="4" t="str">
        <f>IFERROR(__xludf.DUMMYFUNCTION("""COMPUTED_VALUE"""),"guillermo.escalante@patagoniansys.com")</f>
        <v>guillermo.escalante@patagoniansys.com</v>
      </c>
      <c r="G522" s="4" t="str">
        <f>IFERROR(__xludf.DUMMYFUNCTION("""COMPUTED_VALUE"""),"⏱ One on One")</f>
        <v>⏱ One on One</v>
      </c>
      <c r="H522" s="4" t="str">
        <f>IFERROR(__xludf.DUMMYFUNCTION("""COMPUTED_VALUE"""),"🙂 Feliz")</f>
        <v>🙂 Feliz</v>
      </c>
      <c r="I522" s="6" t="str">
        <f>IFERROR(__xludf.DUMMYFUNCTION("""COMPUTED_VALUE"""),"Guille esta actualmente dando una mano en Connectamericas que esta en momento critico, y esta en Snapclose, que estan bastante organizando, y le gusta porque esta aprendiendo. Le costo un poco unas tecnologías que no había utilizado mucho, pero se puso a "&amp;"investigar y logró adaptarse. ")</f>
        <v>Guille esta actualmente dando una mano en Connectamericas que esta en momento critico, y esta en Snapclose, que estan bastante organizando, y le gusta porque esta aprendiendo. Le costo un poco unas tecnologías que no había utilizado mucho, pero se puso a investigar y logró adaptarse. </v>
      </c>
      <c r="J522" s="4" t="str">
        <f>IFERROR(__xludf.DUMMYFUNCTION("""COMPUTED_VALUE"""),"PX|Referents|RRHH")</f>
        <v>PX|Referents|RRHH</v>
      </c>
    </row>
    <row r="523">
      <c r="A523" s="4">
        <f>IFERROR(__xludf.DUMMYFUNCTION("""COMPUTED_VALUE"""),280.0)</f>
        <v>280</v>
      </c>
      <c r="B523" s="4" t="str">
        <f>IFERROR(__xludf.DUMMYFUNCTION("""COMPUTED_VALUE"""),"jose.flores")</f>
        <v>jose.flores</v>
      </c>
      <c r="C523" s="5">
        <f>IFERROR(__xludf.DUMMYFUNCTION("""COMPUTED_VALUE"""),45167.51523561342)</f>
        <v>45167.51524</v>
      </c>
      <c r="D523" s="5">
        <f>IFERROR(__xludf.DUMMYFUNCTION("""COMPUTED_VALUE"""),45167.0)</f>
        <v>45167</v>
      </c>
      <c r="E523" s="4" t="str">
        <f>IFERROR(__xludf.DUMMYFUNCTION("""COMPUTED_VALUE"""),"luciano.fuentes@patagoniansys.com")</f>
        <v>luciano.fuentes@patagoniansys.com</v>
      </c>
      <c r="F523" s="4" t="str">
        <f>IFERROR(__xludf.DUMMYFUNCTION("""COMPUTED_VALUE"""),"jose.flores@patagonian.com")</f>
        <v>jose.flores@patagonian.com</v>
      </c>
      <c r="G523" s="4" t="str">
        <f>IFERROR(__xludf.DUMMYFUNCTION("""COMPUTED_VALUE"""),"Referent One on One")</f>
        <v>Referent One on One</v>
      </c>
      <c r="H523" s="4"/>
      <c r="I523" s="6" t="str">
        <f>IFERROR(__xludf.DUMMYFUNCTION("""COMPUTED_VALUE"""),"- Interviewee e-Mail: jose.flores@patagonian.com
- Project Status Check: Sigue trabajando con la tecnologia de spring boot en backend.
- Project Role | Feeling: 4
- Extra Work Hours | Amount: 0 (Ningúna)
- Techs | Research: Si, sobre nodejs 20 y esta estu"&amp;"diando para la certificacion de azure az 900
- Techs | Recomendations: https://levelup.gitconnected.com/the-correct-way-to-make-api-requests-in-an-angular-application-22a079fe8413
- Techs | Recomendations check: Si. le pareció interesante.
- Collaborator "&amp;"| Seniority: 👍 No, es correcto
- Alerts: Por ahora ninguna.
- Final notes: Esta estudiando para la certificación de Azure AZ-900 por lo que veo interesante que continúe en ese camino, ya que el cliente con el que trabaja utiliza bastante la plataforma de"&amp;" azure para el desarrollo de soluciones
- Project Techs | Learning: 0.5
- Techs | Research: 6
- Project Techs | Difficulty: 4
- Project Changes | Reasons: 🟰 No hubo cambios
- Project Role | Value: 5
- Project role | Notes: Si ya que esta manejando lengua"&amp;"jes que nunca implemento. también sigue creciendo en sus habilidades blandas.")</f>
        <v>- Interviewee e-Mail: jose.flores@patagonian.com
- Project Status Check: Sigue trabajando con la tecnologia de spring boot en backend.
- Project Role | Feeling: 4
- Extra Work Hours | Amount: 0 (Ningúna)
- Techs | Research: Si, sobre nodejs 20 y esta estudiando para la certificacion de azure az 900
- Techs | Recomendations: https://levelup.gitconnected.com/the-correct-way-to-make-api-requests-in-an-angular-application-22a079fe8413
- Techs | Recomendations check: Si. le pareció interesante.
- Collaborator | Seniority: 👍 No, es correcto
- Alerts: Por ahora ninguna.
- Final notes: Esta estudiando para la certificación de Azure AZ-900 por lo que veo interesante que continúe en ese camino, ya que el cliente con el que trabaja utiliza bastante la plataforma de azure para el desarrollo de soluciones
- Project Techs | Learning: 0.5
- Techs | Research: 6
- Project Techs | Difficulty: 4
- Project Changes | Reasons: 🟰 No hubo cambios
- Project Role | Value: 5
- Project role | Notes: Si ya que esta manejando lenguajes que nunca implemento. también sigue creciendo en sus habilidades blandas.</v>
      </c>
      <c r="J523" s="4" t="str">
        <f>IFERROR(__xludf.DUMMYFUNCTION("""COMPUTED_VALUE"""),"Tech Referent - OneOnOne")</f>
        <v>Tech Referent - OneOnOne</v>
      </c>
    </row>
    <row r="524">
      <c r="A524" s="4">
        <f>IFERROR(__xludf.DUMMYFUNCTION("""COMPUTED_VALUE"""),247.0)</f>
        <v>247</v>
      </c>
      <c r="B524" s="4" t="str">
        <f>IFERROR(__xludf.DUMMYFUNCTION("""COMPUTED_VALUE"""),"isabel.yepes")</f>
        <v>isabel.yepes</v>
      </c>
      <c r="C524" s="5">
        <f>IFERROR(__xludf.DUMMYFUNCTION("""COMPUTED_VALUE"""),45167.54620732639)</f>
        <v>45167.54621</v>
      </c>
      <c r="D524" s="5">
        <f>IFERROR(__xludf.DUMMYFUNCTION("""COMPUTED_VALUE"""),45167.0)</f>
        <v>45167</v>
      </c>
      <c r="E524" s="4" t="str">
        <f>IFERROR(__xludf.DUMMYFUNCTION("""COMPUTED_VALUE"""),"luis.soto@patagoniansys.com")</f>
        <v>luis.soto@patagoniansys.com</v>
      </c>
      <c r="F524" s="4" t="str">
        <f>IFERROR(__xludf.DUMMYFUNCTION("""COMPUTED_VALUE"""),"isabel.yepes@patagoniansys.com")</f>
        <v>isabel.yepes@patagoniansys.com</v>
      </c>
      <c r="G524" s="4" t="str">
        <f>IFERROR(__xludf.DUMMYFUNCTION("""COMPUTED_VALUE"""),"Referent One on One")</f>
        <v>Referent One on One</v>
      </c>
      <c r="H524" s="4"/>
      <c r="I524" s="6" t="str">
        <f>IFERROR(__xludf.DUMMYFUNCTION("""COMPUTED_VALUE"""),"- Interviewee e-Mail: isabel.yepes@patagoniansys.com
- Project Status Check: En manual y un poco de automation en distintos ""proyectos"" dentro del mismo cliente
- Project Changes | Notes: Cambio de PM y la existencia de un Product Owner, siente que ambo"&amp;"s han llegado para mejorar y que el equipo ya empieza a ver los resultados
- Project Role | Feeling: 5
- Extra Work Hours | Amount: 0 (Ningúna)
- Techs | Research: Si, es bastante curiosa y autodidacta, se ha interesado bastante en aprender tanto el softw"&amp;"are del cliente como en por ejemplo, aprender JavaScript
- Techs | Recomendations: Se le recomendo principalmente manejar mejor su tiempo para poder ejecutar los trabajos tecnicos de la mejor manera posible
- Techs | Recomendations check: Ha empezado con "&amp;"el curso de JavaScript
- Collaborator | Seniority: 👆 Si, es mayor al establecido
- Alerts: Lo unico es que se siente en un mayor ""seniority"" basandose en sus responsabilidades actuales, con lo cual estoy totalmente de acuerdo, recomendaria una re-evalu"&amp;"acion
- Project Needs / Oportunities: De momento han venido muchos cambios de parte de patagonian (PM, PO), por lo que de momento me parece que esa es la prioridad #1
- Final notes: Isa es una excelente profesional, tiene mucha actitud y sobre todo mucho "&amp;"profesionalismo para hacer bien las cosas.
- Project Techs | Learning: 20
- Techs | Research: 20
- Project Techs | Difficulty: 3
- Project Changes | Reasons: 🔀 Cambio de roles dentro del equipo, 
- Project Changes | Personal Impact: 5
- Project Role | Va"&amp;"lue: 5
- Project role | Notes: Tiene que trabajar con distintas herramientas y ademas se siente retada todos los dias")</f>
        <v>- Interviewee e-Mail: isabel.yepes@patagoniansys.com
- Project Status Check: En manual y un poco de automation en distintos "proyectos" dentro del mismo cliente
- Project Changes | Notes: Cambio de PM y la existencia de un Product Owner, siente que ambos han llegado para mejorar y que el equipo ya empieza a ver los resultados
- Project Role | Feeling: 5
- Extra Work Hours | Amount: 0 (Ningúna)
- Techs | Research: Si, es bastante curiosa y autodidacta, se ha interesado bastante en aprender tanto el software del cliente como en por ejemplo, aprender JavaScript
- Techs | Recomendations: Se le recomendo principalmente manejar mejor su tiempo para poder ejecutar los trabajos tecnicos de la mejor manera posible
- Techs | Recomendations check: Ha empezado con el curso de JavaScript
- Collaborator | Seniority: 👆 Si, es mayor al establecido
- Alerts: Lo unico es que se siente en un mayor "seniority" basandose en sus responsabilidades actuales, con lo cual estoy totalmente de acuerdo, recomendaria una re-evaluacion
- Project Needs / Oportunities: De momento han venido muchos cambios de parte de patagonian (PM, PO), por lo que de momento me parece que esa es la prioridad #1
- Final notes: Isa es una excelente profesional, tiene mucha actitud y sobre todo mucho profesionalismo para hacer bien las cosas.
- Project Techs | Learning: 20
- Techs | Research: 20
- Project Techs | Difficulty: 3
- Project Changes | Reasons: 🔀 Cambio de roles dentro del equipo, 
- Project Changes | Personal Impact: 5
- Project Role | Value: 5
- Project role | Notes: Tiene que trabajar con distintas herramientas y ademas se siente retada todos los dias</v>
      </c>
      <c r="J524" s="4" t="str">
        <f>IFERROR(__xludf.DUMMYFUNCTION("""COMPUTED_VALUE"""),"Tech Referent - OneOnOne")</f>
        <v>Tech Referent - OneOnOne</v>
      </c>
    </row>
    <row r="525">
      <c r="A525" s="4">
        <f>IFERROR(__xludf.DUMMYFUNCTION("""COMPUTED_VALUE"""),248.0)</f>
        <v>248</v>
      </c>
      <c r="B525" s="4" t="str">
        <f>IFERROR(__xludf.DUMMYFUNCTION("""COMPUTED_VALUE"""),"geronimo.cornou")</f>
        <v>geronimo.cornou</v>
      </c>
      <c r="C525" s="5">
        <f>IFERROR(__xludf.DUMMYFUNCTION("""COMPUTED_VALUE"""),45167.57696387731)</f>
        <v>45167.57696</v>
      </c>
      <c r="D525" s="5">
        <f>IFERROR(__xludf.DUMMYFUNCTION("""COMPUTED_VALUE"""),45167.0)</f>
        <v>45167</v>
      </c>
      <c r="E525" s="4" t="str">
        <f>IFERROR(__xludf.DUMMYFUNCTION("""COMPUTED_VALUE"""),"luis.soto@patagoniansys.com")</f>
        <v>luis.soto@patagoniansys.com</v>
      </c>
      <c r="F525" s="4" t="str">
        <f>IFERROR(__xludf.DUMMYFUNCTION("""COMPUTED_VALUE"""),"geronimo.cornou@patagonian.com")</f>
        <v>geronimo.cornou@patagonian.com</v>
      </c>
      <c r="G525" s="4" t="str">
        <f>IFERROR(__xludf.DUMMYFUNCTION("""COMPUTED_VALUE"""),"Referent One on One")</f>
        <v>Referent One on One</v>
      </c>
      <c r="H525" s="4"/>
      <c r="I525" s="6" t="str">
        <f>IFERROR(__xludf.DUMMYFUNCTION("""COMPUTED_VALUE"""),"- Interviewee e-Mail: geronimo.cornou@patagonian.com
- Project Status Check: Zuka y Rheus, ambos manual, siendo el unico QA en ambos proyectos
- Project Changes | Notes: Ninguno
- Project Role | Feeling: 5
- Extra Work Hours | Amount: 0 (Ningúna)
- Techs "&amp;"| Research: Si, AWS, ISTQB
- Techs | Recomendations: Principalmente sobre ISTQB que tiene la certificacion el mes que viene
- Techs | Recomendations check: Si, empezo a ver unos videos sobre automatizacion, pero ha estado mayormente enfocado en ISTQB
- Co"&amp;"llaborator | Seniority: 👍 No, es correcto
- Alerts: Ninguno, se encuentra en general bien, motivado y feliz. Se siente valorado
- Project Needs / Oportunities: De momento me comenta que ambos clientes estan sin presupuesto para mejoras, pero eventualment"&amp;"e agregar mas developers y/o QAs seria de gran ayuda
- Project Techs | Learning: 60
- Techs | Research: 50
- Project Techs | Difficulty: 4
- Project Changes | Reasons: 🟰 No hubo cambios
- Project Role | Value: 4
- Project role | Notes: No se siente monot"&amp;"omo, estar en 2 proyectos le gusta y se siente valorado")</f>
        <v>- Interviewee e-Mail: geronimo.cornou@patagonian.com
- Project Status Check: Zuka y Rheus, ambos manual, siendo el unico QA en ambos proyectos
- Project Changes | Notes: Ninguno
- Project Role | Feeling: 5
- Extra Work Hours | Amount: 0 (Ningúna)
- Techs | Research: Si, AWS, ISTQB
- Techs | Recomendations: Principalmente sobre ISTQB que tiene la certificacion el mes que viene
- Techs | Recomendations check: Si, empezo a ver unos videos sobre automatizacion, pero ha estado mayormente enfocado en ISTQB
- Collaborator | Seniority: 👍 No, es correcto
- Alerts: Ninguno, se encuentra en general bien, motivado y feliz. Se siente valorado
- Project Needs / Oportunities: De momento me comenta que ambos clientes estan sin presupuesto para mejoras, pero eventualmente agregar mas developers y/o QAs seria de gran ayuda
- Project Techs | Learning: 60
- Techs | Research: 50
- Project Techs | Difficulty: 4
- Project Changes | Reasons: 🟰 No hubo cambios
- Project Role | Value: 4
- Project role | Notes: No se siente monotomo, estar en 2 proyectos le gusta y se siente valorado</v>
      </c>
      <c r="J525" s="4" t="str">
        <f>IFERROR(__xludf.DUMMYFUNCTION("""COMPUTED_VALUE"""),"Tech Referent - OneOnOne")</f>
        <v>Tech Referent - OneOnOne</v>
      </c>
    </row>
    <row r="526" hidden="1">
      <c r="A526" s="4">
        <f>IFERROR(__xludf.DUMMYFUNCTION("""COMPUTED_VALUE"""),248.0)</f>
        <v>248</v>
      </c>
      <c r="B526" s="4" t="str">
        <f>IFERROR(__xludf.DUMMYFUNCTION("""COMPUTED_VALUE"""),"geronimo.cornou")</f>
        <v>geronimo.cornou</v>
      </c>
      <c r="C526" s="5">
        <f>IFERROR(__xludf.DUMMYFUNCTION("""COMPUTED_VALUE"""),45167.64114306713)</f>
        <v>45167.64114</v>
      </c>
      <c r="D526" s="5">
        <f>IFERROR(__xludf.DUMMYFUNCTION("""COMPUTED_VALUE"""),45167.0)</f>
        <v>45167</v>
      </c>
      <c r="E526" s="4" t="str">
        <f>IFERROR(__xludf.DUMMYFUNCTION("""COMPUTED_VALUE"""),"hernan.muras@patagoniansys.com")</f>
        <v>hernan.muras@patagoniansys.com</v>
      </c>
      <c r="F526" s="4" t="str">
        <f>IFERROR(__xludf.DUMMYFUNCTION("""COMPUTED_VALUE"""),"geronimo.cornou@patagoniansys.com")</f>
        <v>geronimo.cornou@patagoniansys.com</v>
      </c>
      <c r="G526" s="4" t="str">
        <f>IFERROR(__xludf.DUMMYFUNCTION("""COMPUTED_VALUE"""),"⏱ One on One")</f>
        <v>⏱ One on One</v>
      </c>
      <c r="H526" s="4" t="str">
        <f>IFERROR(__xludf.DUMMYFUNCTION("""COMPUTED_VALUE"""),"😀 Sumamente Feliz")</f>
        <v>😀 Sumamente Feliz</v>
      </c>
      <c r="I526" s="6" t="str">
        <f>IFERROR(__xludf.DUMMYFUNCTION("""COMPUTED_VALUE"""),"Gerónimo se siente cómodo en los dos proyectos en los que está participando. Le gusta el hecho de que ambos utilicen tecnologías diferentes y pertenezcan a distintas industrias. Continua preparándose para rendir la certificación ISTQB en Septiembre. Se an"&amp;"otó en el Career Path de QA y comentamos la posibilidad de indagar el área de producto y diseño.")</f>
        <v>Gerónimo se siente cómodo en los dos proyectos en los que está participando. Le gusta el hecho de que ambos utilicen tecnologías diferentes y pertenezcan a distintas industrias. Continua preparándose para rendir la certificación ISTQB en Septiembre. Se anotó en el Career Path de QA y comentamos la posibilidad de indagar el área de producto y diseño.</v>
      </c>
      <c r="J526" s="4" t="str">
        <f>IFERROR(__xludf.DUMMYFUNCTION("""COMPUTED_VALUE"""),"PX|Referents|RRHH")</f>
        <v>PX|Referents|RRHH</v>
      </c>
    </row>
    <row r="527">
      <c r="A527" s="4">
        <f>IFERROR(__xludf.DUMMYFUNCTION("""COMPUTED_VALUE"""),310.0)</f>
        <v>310</v>
      </c>
      <c r="B527" s="4" t="str">
        <f>IFERROR(__xludf.DUMMYFUNCTION("""COMPUTED_VALUE"""),"xosed.penaloza")</f>
        <v>xosed.penaloza</v>
      </c>
      <c r="C527" s="5">
        <f>IFERROR(__xludf.DUMMYFUNCTION("""COMPUTED_VALUE"""),45167.7080353125)</f>
        <v>45167.70804</v>
      </c>
      <c r="D527" s="5">
        <f>IFERROR(__xludf.DUMMYFUNCTION("""COMPUTED_VALUE"""),45167.0)</f>
        <v>45167</v>
      </c>
      <c r="E527" s="4" t="str">
        <f>IFERROR(__xludf.DUMMYFUNCTION("""COMPUTED_VALUE"""),"andres.bolocco@patagoniansys.com")</f>
        <v>andres.bolocco@patagoniansys.com</v>
      </c>
      <c r="F527" s="4" t="str">
        <f>IFERROR(__xludf.DUMMYFUNCTION("""COMPUTED_VALUE"""),"xosed.penaloza@patagoniansys.com")</f>
        <v>xosed.penaloza@patagoniansys.com</v>
      </c>
      <c r="G527" s="4" t="str">
        <f>IFERROR(__xludf.DUMMYFUNCTION("""COMPUTED_VALUE"""),"Referent One on One")</f>
        <v>Referent One on One</v>
      </c>
      <c r="H527" s="4"/>
      <c r="I527" s="6" t="str">
        <f>IFERROR(__xludf.DUMMYFUNCTION("""COMPUTED_VALUE"""),"- Interviewee e-Mail: xosed.penaloza@patagoniansys.com
- Project Status Check: cambio de proyecto a CA, Angular, haciendo ajustes de responsive y visual. puro Frontend.
- Project Changes | Notes: ha estado documentando en el código y agregando mejoras pro"&amp;"gresivas
- Project Role | Feeling: 5
- Extra Work Hours | Amount: 0 (Ningúna)
- Extra Work Hours | Reason: en CA todo bien, en Halliburton era un caos
- Techs | Research: React, Devops
- Techs | Recomendations: mencionó que le interesa el camino Devops, l"&amp;"e recomiendo aprovechar que en CA la carga es menor, para buscar un esquema de tiempo que le funcione para ir haciendo algun curso y certificar en algun cloud provider
- Collaborator | Seniority: 👍 No, es correcto
- Final notes: le interesa el path DevOp"&amp;"s, le sugiero empezar a hacer un curso, aún no hay career path de devops
- Project Techs | Learning: 60
- Project Techs | Difficulty: 5
- Project Changes | Reasons: ⬆️ Aumento del equipo, 💻 Cambios en la manera de desarrollar, ingresó al equipo, él mismo"&amp;" sugiere mejoras en la estructura del código 
- Project Changes | Personal Impact: 4
- Project Role | Value: 4
- Project role | Notes: esta mejor, pq en Halliburton a pesar de estar como fullstack , implementado un motor de busqueda con Apache Solar, y la"&amp;" carga era mucha, trabajando extra incluyendo fines de semana. contento que trabaja con más tiempo y calma en CA.")</f>
        <v>- Interviewee e-Mail: xosed.penaloza@patagoniansys.com
- Project Status Check: cambio de proyecto a CA, Angular, haciendo ajustes de responsive y visual. puro Frontend.
- Project Changes | Notes: ha estado documentando en el código y agregando mejoras progresivas
- Project Role | Feeling: 5
- Extra Work Hours | Amount: 0 (Ningúna)
- Extra Work Hours | Reason: en CA todo bien, en Halliburton era un caos
- Techs | Research: React, Devops
- Techs | Recomendations: mencionó que le interesa el camino Devops, le recomiendo aprovechar que en CA la carga es menor, para buscar un esquema de tiempo que le funcione para ir haciendo algun curso y certificar en algun cloud provider
- Collaborator | Seniority: 👍 No, es correcto
- Final notes: le interesa el path DevOps, le sugiero empezar a hacer un curso, aún no hay career path de devops
- Project Techs | Learning: 60
- Project Techs | Difficulty: 5
- Project Changes | Reasons: ⬆️ Aumento del equipo, 💻 Cambios en la manera de desarrollar, ingresó al equipo, él mismo sugiere mejoras en la estructura del código 
- Project Changes | Personal Impact: 4
- Project Role | Value: 4
- Project role | Notes: esta mejor, pq en Halliburton a pesar de estar como fullstack , implementado un motor de busqueda con Apache Solar, y la carga era mucha, trabajando extra incluyendo fines de semana. contento que trabaja con más tiempo y calma en CA.</v>
      </c>
      <c r="J527" s="4" t="str">
        <f>IFERROR(__xludf.DUMMYFUNCTION("""COMPUTED_VALUE"""),"Tech Referent - OneOnOne")</f>
        <v>Tech Referent - OneOnOne</v>
      </c>
    </row>
    <row r="528" hidden="1">
      <c r="A528" s="4">
        <f>IFERROR(__xludf.DUMMYFUNCTION("""COMPUTED_VALUE"""),340.0)</f>
        <v>340</v>
      </c>
      <c r="B528" s="4" t="str">
        <f>IFERROR(__xludf.DUMMYFUNCTION("""COMPUTED_VALUE"""),"maximiliano.tiezzi")</f>
        <v>maximiliano.tiezzi</v>
      </c>
      <c r="C528" s="5">
        <f>IFERROR(__xludf.DUMMYFUNCTION("""COMPUTED_VALUE"""),45174.65721508102)</f>
        <v>45174.65722</v>
      </c>
      <c r="D528" s="5">
        <f>IFERROR(__xludf.DUMMYFUNCTION("""COMPUTED_VALUE"""),45167.0)</f>
        <v>45167</v>
      </c>
      <c r="E528" s="4" t="str">
        <f>IFERROR(__xludf.DUMMYFUNCTION("""COMPUTED_VALUE"""),"micaela.zorzetto@patagoniansys.com")</f>
        <v>micaela.zorzetto@patagoniansys.com</v>
      </c>
      <c r="F528" s="4" t="str">
        <f>IFERROR(__xludf.DUMMYFUNCTION("""COMPUTED_VALUE"""),"maximiliano.tiezzi@patagoniansys.com")</f>
        <v>maximiliano.tiezzi@patagoniansys.com</v>
      </c>
      <c r="G528" s="4" t="str">
        <f>IFERROR(__xludf.DUMMYFUNCTION("""COMPUTED_VALUE"""),"⏱ One on One")</f>
        <v>⏱ One on One</v>
      </c>
      <c r="H528" s="4" t="str">
        <f>IFERROR(__xludf.DUMMYFUNCTION("""COMPUTED_VALUE"""),"🙂 Feliz")</f>
        <v>🙂 Feliz</v>
      </c>
      <c r="I528" s="6" t="str">
        <f>IFERROR(__xludf.DUMMYFUNCTION("""COMPUTED_VALUE"""),"Esta bien en el proyecto y con el equipo, le gusta y se siente cómodo. 
Me consulto sobre como se cargan las vacaciones y cuando se habilitaban.")</f>
        <v>Esta bien en el proyecto y con el equipo, le gusta y se siente cómodo. 
Me consulto sobre como se cargan las vacaciones y cuando se habilitaban.</v>
      </c>
      <c r="J528" s="4" t="str">
        <f>IFERROR(__xludf.DUMMYFUNCTION("""COMPUTED_VALUE"""),"PX|Referents|RRHH")</f>
        <v>PX|Referents|RRHH</v>
      </c>
    </row>
    <row r="529">
      <c r="A529" s="4">
        <f>IFERROR(__xludf.DUMMYFUNCTION("""COMPUTED_VALUE"""),296.0)</f>
        <v>296</v>
      </c>
      <c r="B529" s="4" t="str">
        <f>IFERROR(__xludf.DUMMYFUNCTION("""COMPUTED_VALUE"""),"jefersson.galvez")</f>
        <v>jefersson.galvez</v>
      </c>
      <c r="C529" s="5">
        <f>IFERROR(__xludf.DUMMYFUNCTION("""COMPUTED_VALUE"""),45169.702729351855)</f>
        <v>45169.70273</v>
      </c>
      <c r="D529" s="5">
        <f>IFERROR(__xludf.DUMMYFUNCTION("""COMPUTED_VALUE"""),45169.0)</f>
        <v>45169</v>
      </c>
      <c r="E529" s="4" t="str">
        <f>IFERROR(__xludf.DUMMYFUNCTION("""COMPUTED_VALUE"""),"andres.bolocco@patagoniansys.com")</f>
        <v>andres.bolocco@patagoniansys.com</v>
      </c>
      <c r="F529" s="4" t="str">
        <f>IFERROR(__xludf.DUMMYFUNCTION("""COMPUTED_VALUE"""),"jefersson.galvez@patagoniansys.com")</f>
        <v>jefersson.galvez@patagoniansys.com</v>
      </c>
      <c r="G529" s="4" t="str">
        <f>IFERROR(__xludf.DUMMYFUNCTION("""COMPUTED_VALUE"""),"Referent One on One")</f>
        <v>Referent One on One</v>
      </c>
      <c r="H529" s="4"/>
      <c r="I529" s="6" t="str">
        <f>IFERROR(__xludf.DUMMYFUNCTION("""COMPUTED_VALUE"""),"- Interviewee e-Mail: jefersson.galvez@patagoniansys.com
- Project Status Check: cancelaron el proyecto, trabajó mucho con el equipo devs de halliburton, implementando envio de correos, un flujo de aprobación y entregaron a tiempo, desarrollando microserv"&amp;"icios, usando redis, Angular 14 Nodejs, Express y otros con NestJS, SQL Server con consultas grandes y complejas. Muchas reuniones.
- Project Role | Feeling: 5
- Extra Work Hours | Amount: 1 - 5 (Entre 1 y 5)
- Extra Work Hours | Reason: 🏁 Deadlines próx"&amp;"imas e inamovibles
- Techs | Research: le gustaría enfocarse en el mundo Javascript. tiene uno pendiente de patrones de diseño y quiere encarar la certificacion básica de AWS.
- Collaborator | Seniority: 👍 No, es correcto
- Alerts: menciona una cierta fa"&amp;"lta de foco en su plan de carrera, le comento de los career path que van a ayudar justamente a eso
- Project Techs | Learning: 150
- Project Techs | Difficulty: 5
- Project Changes | Reasons: el proyecto terminó
- Project Changes | Personal Impact: 3
- Pr"&amp;"oject Role | Value: 4
- Project role | Notes: le gustó, se puso la camisa, se repartían entre varios el rol de TL, sí le costó un poco asignar el tiempo a las tareas de manejo del equipo y otras tareas adicionales. tambien trabajo en modelado de datos de "&amp;"una db muy grande.")</f>
        <v>- Interviewee e-Mail: jefersson.galvez@patagoniansys.com
- Project Status Check: cancelaron el proyecto, trabajó mucho con el equipo devs de halliburton, implementando envio de correos, un flujo de aprobación y entregaron a tiempo, desarrollando microservicios, usando redis, Angular 14 Nodejs, Express y otros con NestJS, SQL Server con consultas grandes y complejas. Muchas reuniones.
- Project Role | Feeling: 5
- Extra Work Hours | Amount: 1 - 5 (Entre 1 y 5)
- Extra Work Hours | Reason: 🏁 Deadlines próximas e inamovibles
- Techs | Research: le gustaría enfocarse en el mundo Javascript. tiene uno pendiente de patrones de diseño y quiere encarar la certificacion básica de AWS.
- Collaborator | Seniority: 👍 No, es correcto
- Alerts: menciona una cierta falta de foco en su plan de carrera, le comento de los career path que van a ayudar justamente a eso
- Project Techs | Learning: 150
- Project Techs | Difficulty: 5
- Project Changes | Reasons: el proyecto terminó
- Project Changes | Personal Impact: 3
- Project Role | Value: 4
- Project role | Notes: le gustó, se puso la camisa, se repartían entre varios el rol de TL, sí le costó un poco asignar el tiempo a las tareas de manejo del equipo y otras tareas adicionales. tambien trabajo en modelado de datos de una db muy grande.</v>
      </c>
      <c r="J529" s="4" t="str">
        <f>IFERROR(__xludf.DUMMYFUNCTION("""COMPUTED_VALUE"""),"Tech Referent - OneOnOne")</f>
        <v>Tech Referent - OneOnOne</v>
      </c>
    </row>
    <row r="530">
      <c r="A530" s="4">
        <f>IFERROR(__xludf.DUMMYFUNCTION("""COMPUTED_VALUE"""),136.0)</f>
        <v>136</v>
      </c>
      <c r="B530" s="4" t="str">
        <f>IFERROR(__xludf.DUMMYFUNCTION("""COMPUTED_VALUE"""),"freddy.orozco")</f>
        <v>freddy.orozco</v>
      </c>
      <c r="C530" s="5">
        <f>IFERROR(__xludf.DUMMYFUNCTION("""COMPUTED_VALUE"""),45169.72266233796)</f>
        <v>45169.72266</v>
      </c>
      <c r="D530" s="5">
        <f>IFERROR(__xludf.DUMMYFUNCTION("""COMPUTED_VALUE"""),45169.0)</f>
        <v>45169</v>
      </c>
      <c r="E530" s="4" t="str">
        <f>IFERROR(__xludf.DUMMYFUNCTION("""COMPUTED_VALUE"""),"daniel.mansilla@patagoniansys.com")</f>
        <v>daniel.mansilla@patagoniansys.com</v>
      </c>
      <c r="F530" s="4" t="str">
        <f>IFERROR(__xludf.DUMMYFUNCTION("""COMPUTED_VALUE"""),"freddy.orozco@patagonian.com")</f>
        <v>freddy.orozco@patagonian.com</v>
      </c>
      <c r="G530" s="4" t="str">
        <f>IFERROR(__xludf.DUMMYFUNCTION("""COMPUTED_VALUE"""),"Referent One on One")</f>
        <v>Referent One on One</v>
      </c>
      <c r="H530" s="4"/>
      <c r="I530" s="6" t="str">
        <f>IFERROR(__xludf.DUMMYFUNCTION("""COMPUTED_VALUE"""),"- Interviewee e-Mail: freddy.orozco@patagonian.com
- Project Status Check: Esta trabajando intensamente en el proyecto. Está haciendo front en React.
- Project Changes | Notes: Como se ha incorporado un dev adicional, se pudo avanzar de forma más consiste"&amp;"nte en el proyecto.
- Project Role | Feeling: 3
- Extra Work Hours | Amount: 0 (Ningúna)
- Collaborator | Seniority: 👍 No, es correcto
- Alerts: Nada para destacar.
- Project Techs | Learning: 0
- Project Techs | Difficulty: 4
- Project Changes | Reasons"&amp;": ⬆️ Aumento del equipo
- Project Changes | Personal Impact: 4
- Project Role | Value: 3
- Project role | Notes: Nada para agregar.")</f>
        <v>- Interviewee e-Mail: freddy.orozco@patagonian.com
- Project Status Check: Esta trabajando intensamente en el proyecto. Está haciendo front en React.
- Project Changes | Notes: Como se ha incorporado un dev adicional, se pudo avanzar de forma más consistente en el proyecto.
- Project Role | Feeling: 3
- Extra Work Hours | Amount: 0 (Ningúna)
- Collaborator | Seniority: 👍 No, es correcto
- Alerts: Nada para destacar.
- Project Techs | Learning: 0
- Project Techs | Difficulty: 4
- Project Changes | Reasons: ⬆️ Aumento del equipo
- Project Changes | Personal Impact: 4
- Project Role | Value: 3
- Project role | Notes: Nada para agregar.</v>
      </c>
      <c r="J530" s="4" t="str">
        <f>IFERROR(__xludf.DUMMYFUNCTION("""COMPUTED_VALUE"""),"Tech Referent - OneOnOne")</f>
        <v>Tech Referent - OneOnOne</v>
      </c>
    </row>
    <row r="531">
      <c r="A531" s="4">
        <f>IFERROR(__xludf.DUMMYFUNCTION("""COMPUTED_VALUE"""),201.0)</f>
        <v>201</v>
      </c>
      <c r="B531" s="4" t="str">
        <f>IFERROR(__xludf.DUMMYFUNCTION("""COMPUTED_VALUE"""),"daniel.cardenas")</f>
        <v>daniel.cardenas</v>
      </c>
      <c r="C531" s="5">
        <f>IFERROR(__xludf.DUMMYFUNCTION("""COMPUTED_VALUE"""),45169.827710798614)</f>
        <v>45169.82771</v>
      </c>
      <c r="D531" s="5">
        <f>IFERROR(__xludf.DUMMYFUNCTION("""COMPUTED_VALUE"""),45169.0)</f>
        <v>45169</v>
      </c>
      <c r="E531" s="4" t="str">
        <f>IFERROR(__xludf.DUMMYFUNCTION("""COMPUTED_VALUE"""),"edgar.bonilla@patagoniansys.com")</f>
        <v>edgar.bonilla@patagoniansys.com</v>
      </c>
      <c r="F531" s="4" t="str">
        <f>IFERROR(__xludf.DUMMYFUNCTION("""COMPUTED_VALUE"""),"daniel.cardenas@patagoniansys.com")</f>
        <v>daniel.cardenas@patagoniansys.com</v>
      </c>
      <c r="G531" s="4" t="str">
        <f>IFERROR(__xludf.DUMMYFUNCTION("""COMPUTED_VALUE"""),"Referent One on One")</f>
        <v>Referent One on One</v>
      </c>
      <c r="H531" s="4"/>
      <c r="I531" s="6" t="str">
        <f>IFERROR(__xludf.DUMMYFUNCTION("""COMPUTED_VALUE"""),"- Interviewee e-Mail: daniel.cardenas@patagoniansys.com
- Project Status Check: - Desde hace dos semanas ha estado trabajando con Brayan en cosas de Arquitectura y Digital Acceleration, aprovechando que entró a Bench.
- El contrato con AlMundo llegaba ha"&amp;"sta hoy 31 de Agosto
- Ha dado dos presentaciones al equipo de sales sobre low-code
- Le ha gustado mucho el cambio y lo que está haciendo ahora!
- Se inscribió al track de Mobile, pero como no ha salido, está provisionalmente con el track de front-end"&amp;"
- Vista Energy, de pronto entra a ese proyecto
- Project Changes | Notes: Desde hace dos semanas ha estado trabajando con Brayan en cosas de Arquitectura y Digital Acceleration, aprovechando que entró a Bench. En este proceso y camino ha descubierto muc"&amp;"has cosas interesante y está contribuyendo en cosas que le generan curiosidad y emoción, además de sentir que su trabajo aporta gran valor.
Su estado anímico ha cambiado positivamente y también ha tenido la oportunidad de aprender mucho, hacer un curso y "&amp;"empezar a leer un libro.
- Project Role | Feeling: 5
- Extra Work Hours | Amount: 0 (Ningúna)
- Techs | Research: - Power Apps de Microsoft
- Herramientas de Low-Code
- Collaborator | Seniority: 👍 No, es correcto
- Project Techs | Learning: 15
- Techs | "&amp;"Research: 15
- Project Techs | Difficulty: 3
- Project Changes | Reasons: Se terminó el contrato con AlMundo y ahora está en Bench
- Project Changes | Personal Impact: 5
- Project Role | Value: 5
- Project role | Notes: La misma explicación de la anterior"&amp;" pregunta del impacto de los cambios en el proyecto.")</f>
        <v>- Interviewee e-Mail: daniel.cardenas@patagoniansys.com
- Project Status Check: - Desde hace dos semanas ha estado trabajando con Brayan en cosas de Arquitectura y Digital Acceleration, aprovechando que entró a Bench.
- El contrato con AlMundo llegaba hasta hoy 31 de Agosto
- Ha dado dos presentaciones al equipo de sales sobre low-code
- Le ha gustado mucho el cambio y lo que está haciendo ahora!
- Se inscribió al track de Mobile, pero como no ha salido, está provisionalmente con el track de front-end
- Vista Energy, de pronto entra a ese proyecto
- Project Changes | Notes: Desde hace dos semanas ha estado trabajando con Brayan en cosas de Arquitectura y Digital Acceleration, aprovechando que entró a Bench. En este proceso y camino ha descubierto muchas cosas interesante y está contribuyendo en cosas que le generan curiosidad y emoción, además de sentir que su trabajo aporta gran valor.
Su estado anímico ha cambiado positivamente y también ha tenido la oportunidad de aprender mucho, hacer un curso y empezar a leer un libro.
- Project Role | Feeling: 5
- Extra Work Hours | Amount: 0 (Ningúna)
- Techs | Research: - Power Apps de Microsoft
- Herramientas de Low-Code
- Collaborator | Seniority: 👍 No, es correcto
- Project Techs | Learning: 15
- Techs | Research: 15
- Project Techs | Difficulty: 3
- Project Changes | Reasons: Se terminó el contrato con AlMundo y ahora está en Bench
- Project Changes | Personal Impact: 5
- Project Role | Value: 5
- Project role | Notes: La misma explicación de la anterior pregunta del impacto de los cambios en el proyecto.</v>
      </c>
      <c r="J531" s="4" t="str">
        <f>IFERROR(__xludf.DUMMYFUNCTION("""COMPUTED_VALUE"""),"Tech Referent - OneOnOne")</f>
        <v>Tech Referent - OneOnOne</v>
      </c>
    </row>
    <row r="532">
      <c r="A532" s="4">
        <f>IFERROR(__xludf.DUMMYFUNCTION("""COMPUTED_VALUE"""),279.0)</f>
        <v>279</v>
      </c>
      <c r="B532" s="4" t="str">
        <f>IFERROR(__xludf.DUMMYFUNCTION("""COMPUTED_VALUE"""),"emerson.pereira")</f>
        <v>emerson.pereira</v>
      </c>
      <c r="C532" s="5">
        <f>IFERROR(__xludf.DUMMYFUNCTION("""COMPUTED_VALUE"""),45170.66024528935)</f>
        <v>45170.66025</v>
      </c>
      <c r="D532" s="5">
        <f>IFERROR(__xludf.DUMMYFUNCTION("""COMPUTED_VALUE"""),45170.0)</f>
        <v>45170</v>
      </c>
      <c r="E532" s="4" t="str">
        <f>IFERROR(__xludf.DUMMYFUNCTION("""COMPUTED_VALUE"""),"ivan.vasquez@patagoniansys.com")</f>
        <v>ivan.vasquez@patagoniansys.com</v>
      </c>
      <c r="F532" s="4" t="str">
        <f>IFERROR(__xludf.DUMMYFUNCTION("""COMPUTED_VALUE"""),"emerson.pereira@patagoniansys.com")</f>
        <v>emerson.pereira@patagoniansys.com</v>
      </c>
      <c r="G532" s="4" t="str">
        <f>IFERROR(__xludf.DUMMYFUNCTION("""COMPUTED_VALUE"""),"Referent One on One")</f>
        <v>Referent One on One</v>
      </c>
      <c r="H532" s="4"/>
      <c r="I532" s="6" t="str">
        <f>IFERROR(__xludf.DUMMYFUNCTION("""COMPUTED_VALUE"""),"- Interviewee e-Mail: emerson.pereira@patagoniansys.com
- Project Status Check: Trabaja en seguimiento de test, preguntando acerca de testing. No necesita ayuda de momento, su equipo le da todo el soporte necesario
- Project Changes | Notes: Ingreso un re"&amp;"curso para ayudar a implementar Scrum al proyecto, pero aun no hay cambios
- Project Role | Feeling: 4
- Extra Work Hours | Amount: 0 (Ningúna)
- Extra Work Hours | Reason: no hace horas extras
- Techs | Research: automatizacion on python (pylenium)
- Tec"&amp;"hs | Certifications: Ninguna
- Techs | Recomendations: se recomendo revisar examenes pasados para el ISTQB y pedir la cuenta compartida de UDEMY para python
- Techs | Recomendations check: si
- Collaborator | Seniority: 👍 No, es correcto
- Alerts: Esta m"&amp;"otivado y quiere superarse
- Project Needs / Oportunities: de momento ya tiene el budget para la certificacion ISTQB
Pedira la cuenta para UDEMY
- Final notes: Ninguna
- Project Techs | Learning: 1
- Techs | Research: 1
- Project Techs | Difficulty: 4
- P"&amp;"roject Changes | Reasons: 🟰 No hubo cambios
- Project Changes | Personal Impact: 3
- Project Role | Value: 4
- Project role | Notes: Existe un reconocimiento al buen trabajo que desempeña, esta al tanto de los requerimientos del equipo")</f>
        <v>- Interviewee e-Mail: emerson.pereira@patagoniansys.com
- Project Status Check: Trabaja en seguimiento de test, preguntando acerca de testing. No necesita ayuda de momento, su equipo le da todo el soporte necesario
- Project Changes | Notes: Ingreso un recurso para ayudar a implementar Scrum al proyecto, pero aun no hay cambios
- Project Role | Feeling: 4
- Extra Work Hours | Amount: 0 (Ningúna)
- Extra Work Hours | Reason: no hace horas extras
- Techs | Research: automatizacion on python (pylenium)
- Techs | Certifications: Ninguna
- Techs | Recomendations: se recomendo revisar examenes pasados para el ISTQB y pedir la cuenta compartida de UDEMY para python
- Techs | Recomendations check: si
- Collaborator | Seniority: 👍 No, es correcto
- Alerts: Esta motivado y quiere superarse
- Project Needs / Oportunities: de momento ya tiene el budget para la certificacion ISTQB
Pedira la cuenta para UDEMY
- Final notes: Ninguna
- Project Techs | Learning: 1
- Techs | Research: 1
- Project Techs | Difficulty: 4
- Project Changes | Reasons: 🟰 No hubo cambios
- Project Changes | Personal Impact: 3
- Project Role | Value: 4
- Project role | Notes: Existe un reconocimiento al buen trabajo que desempeña, esta al tanto de los requerimientos del equipo</v>
      </c>
      <c r="J532" s="4" t="str">
        <f>IFERROR(__xludf.DUMMYFUNCTION("""COMPUTED_VALUE"""),"Tech Referent - OneOnOne")</f>
        <v>Tech Referent - OneOnOne</v>
      </c>
    </row>
    <row r="533">
      <c r="A533" s="4">
        <f>IFERROR(__xludf.DUMMYFUNCTION("""COMPUTED_VALUE"""),204.0)</f>
        <v>204</v>
      </c>
      <c r="B533" s="4" t="str">
        <f>IFERROR(__xludf.DUMMYFUNCTION("""COMPUTED_VALUE"""),"luisa.fernandez")</f>
        <v>luisa.fernandez</v>
      </c>
      <c r="C533" s="5">
        <f>IFERROR(__xludf.DUMMYFUNCTION("""COMPUTED_VALUE"""),45170.69660949074)</f>
        <v>45170.69661</v>
      </c>
      <c r="D533" s="5">
        <f>IFERROR(__xludf.DUMMYFUNCTION("""COMPUTED_VALUE"""),45170.0)</f>
        <v>45170</v>
      </c>
      <c r="E533" s="4" t="str">
        <f>IFERROR(__xludf.DUMMYFUNCTION("""COMPUTED_VALUE"""),"martin.infante@patagoniansys.com")</f>
        <v>martin.infante@patagoniansys.com</v>
      </c>
      <c r="F533" s="4" t="str">
        <f>IFERROR(__xludf.DUMMYFUNCTION("""COMPUTED_VALUE"""),"luisa.fernandez@patagoniansys.com")</f>
        <v>luisa.fernandez@patagoniansys.com</v>
      </c>
      <c r="G533" s="4" t="str">
        <f>IFERROR(__xludf.DUMMYFUNCTION("""COMPUTED_VALUE"""),"Referent One on One")</f>
        <v>Referent One on One</v>
      </c>
      <c r="H533" s="4"/>
      <c r="I533" s="6" t="str">
        <f>IFERROR(__xludf.DUMMYFUNCTION("""COMPUTED_VALUE"""),"- Interviewee e-Mail: luisa.fernandez@patagoniansys.com
- Project Role | Feeling: 3
- Extra Work Hours | Amount: 0 (Ningúna)
- Collaborator | Seniority: 👍 No, es correcto
- Final notes: La reunion no pudo ser llevada a cabo. La entrevistada no pudo asist"&amp;"ir debido a una reunion con el cliente y no pudimos coordinar para el mismo dia/dia siguiente.
- Project Techs | Learning: 0
- Project Techs | Difficulty: 3
- Project Role | Value: 3
- Project role | Notes: -")</f>
        <v>- Interviewee e-Mail: luisa.fernandez@patagoniansys.com
- Project Role | Feeling: 3
- Extra Work Hours | Amount: 0 (Ningúna)
- Collaborator | Seniority: 👍 No, es correcto
- Final notes: La reunion no pudo ser llevada a cabo. La entrevistada no pudo asistir debido a una reunion con el cliente y no pudimos coordinar para el mismo dia/dia siguiente.
- Project Techs | Learning: 0
- Project Techs | Difficulty: 3
- Project Role | Value: 3
- Project role | Notes: -</v>
      </c>
      <c r="J533" s="4" t="str">
        <f>IFERROR(__xludf.DUMMYFUNCTION("""COMPUTED_VALUE"""),"Tech Referent - OneOnOne")</f>
        <v>Tech Referent - OneOnOne</v>
      </c>
    </row>
    <row r="534" hidden="1">
      <c r="A534" s="4">
        <f>IFERROR(__xludf.DUMMYFUNCTION("""COMPUTED_VALUE"""),182.0)</f>
        <v>182</v>
      </c>
      <c r="B534" s="4" t="str">
        <f>IFERROR(__xludf.DUMMYFUNCTION("""COMPUTED_VALUE"""),"exequiel.soto")</f>
        <v>exequiel.soto</v>
      </c>
      <c r="C534" s="5">
        <f>IFERROR(__xludf.DUMMYFUNCTION("""COMPUTED_VALUE"""),45174.6380354051)</f>
        <v>45174.63804</v>
      </c>
      <c r="D534" s="5">
        <f>IFERROR(__xludf.DUMMYFUNCTION("""COMPUTED_VALUE"""),45170.0)</f>
        <v>45170</v>
      </c>
      <c r="E534" s="4" t="str">
        <f>IFERROR(__xludf.DUMMYFUNCTION("""COMPUTED_VALUE"""),"micaela.zorzetto@patagoniansys.com")</f>
        <v>micaela.zorzetto@patagoniansys.com</v>
      </c>
      <c r="F534" s="4" t="str">
        <f>IFERROR(__xludf.DUMMYFUNCTION("""COMPUTED_VALUE"""),"exequiel.soto@patagoniansys.com")</f>
        <v>exequiel.soto@patagoniansys.com</v>
      </c>
      <c r="G534" s="4" t="str">
        <f>IFERROR(__xludf.DUMMYFUNCTION("""COMPUTED_VALUE"""),"⏱ One on One")</f>
        <v>⏱ One on One</v>
      </c>
      <c r="H534" s="4" t="str">
        <f>IFERROR(__xludf.DUMMYFUNCTION("""COMPUTED_VALUE"""),"🙂 Feliz")</f>
        <v>🙂 Feliz</v>
      </c>
      <c r="I534" s="6" t="str">
        <f>IFERROR(__xludf.DUMMYFUNCTION("""COMPUTED_VALUE"""),"Esta muy contento de participar del desarrollo de la aplicación de planes de carrera para patagonian. Le gusta hacer algo diferente a lo que viene haciendo hace tiempo en el diario Río Negro. ")</f>
        <v>Esta muy contento de participar del desarrollo de la aplicación de planes de carrera para patagonian. Le gusta hacer algo diferente a lo que viene haciendo hace tiempo en el diario Río Negro. </v>
      </c>
      <c r="J534" s="4" t="str">
        <f>IFERROR(__xludf.DUMMYFUNCTION("""COMPUTED_VALUE"""),"PX|Referents|RRHH")</f>
        <v>PX|Referents|RRHH</v>
      </c>
    </row>
    <row r="535" hidden="1">
      <c r="A535" s="4">
        <f>IFERROR(__xludf.DUMMYFUNCTION("""COMPUTED_VALUE"""),193.0)</f>
        <v>193</v>
      </c>
      <c r="B535" s="4" t="str">
        <f>IFERROR(__xludf.DUMMYFUNCTION("""COMPUTED_VALUE"""),"joan.romero")</f>
        <v>joan.romero</v>
      </c>
      <c r="C535" s="5">
        <f>IFERROR(__xludf.DUMMYFUNCTION("""COMPUTED_VALUE"""),45174.64421746527)</f>
        <v>45174.64422</v>
      </c>
      <c r="D535" s="5">
        <f>IFERROR(__xludf.DUMMYFUNCTION("""COMPUTED_VALUE"""),45170.0)</f>
        <v>45170</v>
      </c>
      <c r="E535" s="4" t="str">
        <f>IFERROR(__xludf.DUMMYFUNCTION("""COMPUTED_VALUE"""),"micaela.zorzetto@patagoniansys.com")</f>
        <v>micaela.zorzetto@patagoniansys.com</v>
      </c>
      <c r="F535" s="4" t="str">
        <f>IFERROR(__xludf.DUMMYFUNCTION("""COMPUTED_VALUE"""),"joan.romero@patagoniansys.com")</f>
        <v>joan.romero@patagoniansys.com</v>
      </c>
      <c r="G535" s="4" t="str">
        <f>IFERROR(__xludf.DUMMYFUNCTION("""COMPUTED_VALUE"""),"⏱ One on One")</f>
        <v>⏱ One on One</v>
      </c>
      <c r="H535" s="4" t="str">
        <f>IFERROR(__xludf.DUMMYFUNCTION("""COMPUTED_VALUE"""),"🙂 Feliz")</f>
        <v>🙂 Feliz</v>
      </c>
      <c r="I535" s="6" t="str">
        <f>IFERROR(__xludf.DUMMYFUNCTION("""COMPUTED_VALUE"""),"Si bien figura como que esta en Bench, esta trabajando junto con Brayan y Coco. Se encarga de llevar informes de arquitectura sobre IA, y trabaja junton con Coco en determinadas estrategias y soluciones para la empresa. También esta preparando Workshops p"&amp;"ara dar. 
Se siente cómodo con estas nuevas responsabilidades y la confianza que le estan teniendo.")</f>
        <v>Si bien figura como que esta en Bench, esta trabajando junto con Brayan y Coco. Se encarga de llevar informes de arquitectura sobre IA, y trabaja junton con Coco en determinadas estrategias y soluciones para la empresa. También esta preparando Workshops para dar. 
Se siente cómodo con estas nuevas responsabilidades y la confianza que le estan teniendo.</v>
      </c>
      <c r="J535" s="4" t="str">
        <f>IFERROR(__xludf.DUMMYFUNCTION("""COMPUTED_VALUE"""),"PX|Referents|RRHH")</f>
        <v>PX|Referents|RRHH</v>
      </c>
    </row>
    <row r="536" hidden="1">
      <c r="A536" s="4">
        <f>IFERROR(__xludf.DUMMYFUNCTION("""COMPUTED_VALUE"""),11.0)</f>
        <v>11</v>
      </c>
      <c r="B536" s="4" t="str">
        <f>IFERROR(__xludf.DUMMYFUNCTION("""COMPUTED_VALUE"""),"ernesto.parada")</f>
        <v>ernesto.parada</v>
      </c>
      <c r="C536" s="5">
        <f>IFERROR(__xludf.DUMMYFUNCTION("""COMPUTED_VALUE"""),45174.65612331018)</f>
        <v>45174.65612</v>
      </c>
      <c r="D536" s="5">
        <f>IFERROR(__xludf.DUMMYFUNCTION("""COMPUTED_VALUE"""),45170.0)</f>
        <v>45170</v>
      </c>
      <c r="E536" s="4" t="str">
        <f>IFERROR(__xludf.DUMMYFUNCTION("""COMPUTED_VALUE"""),"micaela.zorzetto@patagoniansys.com")</f>
        <v>micaela.zorzetto@patagoniansys.com</v>
      </c>
      <c r="F536" s="4" t="str">
        <f>IFERROR(__xludf.DUMMYFUNCTION("""COMPUTED_VALUE"""),"ernesto.parada@patagoniansys.com")</f>
        <v>ernesto.parada@patagoniansys.com</v>
      </c>
      <c r="G536" s="4" t="str">
        <f>IFERROR(__xludf.DUMMYFUNCTION("""COMPUTED_VALUE"""),"⏱ One on One")</f>
        <v>⏱ One on One</v>
      </c>
      <c r="H536" s="4" t="str">
        <f>IFERROR(__xludf.DUMMYFUNCTION("""COMPUTED_VALUE"""),"🙂 Feliz")</f>
        <v>🙂 Feliz</v>
      </c>
      <c r="I536" s="6" t="str">
        <f>IFERROR(__xludf.DUMMYFUNCTION("""COMPUTED_VALUE"""),"Esta a la espera de ver que pasa con Eyethnea, a ver como avanzan. 
Esta con bastante trabajo.")</f>
        <v>Esta a la espera de ver que pasa con Eyethnea, a ver como avanzan. 
Esta con bastante trabajo.</v>
      </c>
      <c r="J536" s="4" t="str">
        <f>IFERROR(__xludf.DUMMYFUNCTION("""COMPUTED_VALUE"""),"PX|Referents|RRHH")</f>
        <v>PX|Referents|RRHH</v>
      </c>
    </row>
    <row r="537" hidden="1">
      <c r="A537" s="4">
        <f>IFERROR(__xludf.DUMMYFUNCTION("""COMPUTED_VALUE"""),187.0)</f>
        <v>187</v>
      </c>
      <c r="B537" s="4" t="str">
        <f>IFERROR(__xludf.DUMMYFUNCTION("""COMPUTED_VALUE"""),"christian.amu")</f>
        <v>christian.amu</v>
      </c>
      <c r="C537" s="5">
        <f>IFERROR(__xludf.DUMMYFUNCTION("""COMPUTED_VALUE"""),45180.475414837965)</f>
        <v>45180.47541</v>
      </c>
      <c r="D537" s="5">
        <f>IFERROR(__xludf.DUMMYFUNCTION("""COMPUTED_VALUE"""),45170.0)</f>
        <v>45170</v>
      </c>
      <c r="E537" s="4" t="str">
        <f>IFERROR(__xludf.DUMMYFUNCTION("""COMPUTED_VALUE"""),"daniela.morales@patagoniansys.com")</f>
        <v>daniela.morales@patagoniansys.com</v>
      </c>
      <c r="F537" s="4" t="str">
        <f>IFERROR(__xludf.DUMMYFUNCTION("""COMPUTED_VALUE"""),"christian.amu@patagoniansys.com")</f>
        <v>christian.amu@patagoniansys.com</v>
      </c>
      <c r="G537" s="4" t="str">
        <f>IFERROR(__xludf.DUMMYFUNCTION("""COMPUTED_VALUE"""),"⏱ One on One")</f>
        <v>⏱ One on One</v>
      </c>
      <c r="H537" s="4" t="str">
        <f>IFERROR(__xludf.DUMMYFUNCTION("""COMPUTED_VALUE"""),"🙂 Feliz")</f>
        <v>🙂 Feliz</v>
      </c>
      <c r="I537" s="6" t="str">
        <f>IFERROR(__xludf.DUMMYFUNCTION("""COMPUTED_VALUE"""),"En general se encuentra bastante bien, volvió hace poco de licencia médica pero se alegra de retomar. Está contento con el equipo en general, me cuenta que un poco triste por el tema de que se acaba el proyecto en el que venía trabajando los últimos años."&amp;" Le anima el hecho de entrar a un nuevo proyecto y aprender cosas nuevas. Además, se está certificando en AWS, así que está estudiando y haciendo cursos para esto. ")</f>
        <v>En general se encuentra bastante bien, volvió hace poco de licencia médica pero se alegra de retomar. Está contento con el equipo en general, me cuenta que un poco triste por el tema de que se acaba el proyecto en el que venía trabajando los últimos años. Le anima el hecho de entrar a un nuevo proyecto y aprender cosas nuevas. Además, se está certificando en AWS, así que está estudiando y haciendo cursos para esto. </v>
      </c>
      <c r="J537" s="4" t="str">
        <f>IFERROR(__xludf.DUMMYFUNCTION("""COMPUTED_VALUE"""),"PX|Referents|RRHH")</f>
        <v>PX|Referents|RRHH</v>
      </c>
    </row>
    <row r="538" hidden="1">
      <c r="A538" s="4">
        <f>IFERROR(__xludf.DUMMYFUNCTION("""COMPUTED_VALUE"""),313.0)</f>
        <v>313</v>
      </c>
      <c r="B538" s="4" t="str">
        <f>IFERROR(__xludf.DUMMYFUNCTION("""COMPUTED_VALUE"""),"julio.sirera")</f>
        <v>julio.sirera</v>
      </c>
      <c r="C538" s="5">
        <f>IFERROR(__xludf.DUMMYFUNCTION("""COMPUTED_VALUE"""),45173.727593807875)</f>
        <v>45173.72759</v>
      </c>
      <c r="D538" s="5">
        <f>IFERROR(__xludf.DUMMYFUNCTION("""COMPUTED_VALUE"""),45173.0)</f>
        <v>45173</v>
      </c>
      <c r="E538" s="4" t="str">
        <f>IFERROR(__xludf.DUMMYFUNCTION("""COMPUTED_VALUE"""),"juan.villamizar@patagoniansys.com")</f>
        <v>juan.villamizar@patagoniansys.com</v>
      </c>
      <c r="F538" s="4" t="str">
        <f>IFERROR(__xludf.DUMMYFUNCTION("""COMPUTED_VALUE"""),"julio.sirera@patagoniansys.com")</f>
        <v>julio.sirera@patagoniansys.com</v>
      </c>
      <c r="G538" s="4" t="str">
        <f>IFERROR(__xludf.DUMMYFUNCTION("""COMPUTED_VALUE"""),"⏱ One on One")</f>
        <v>⏱ One on One</v>
      </c>
      <c r="H538" s="4" t="str">
        <f>IFERROR(__xludf.DUMMYFUNCTION("""COMPUTED_VALUE"""),"🙂 Feliz")</f>
        <v>🙂 Feliz</v>
      </c>
      <c r="I538" s="6" t="str">
        <f>IFERROR(__xludf.DUMMYFUNCTION("""COMPUTED_VALUE"""),"Sigue muy comprometido con el desarrollo del proyecto y sus asignaciones. Se habló posibles cambios para el equipo de QA de cara al proyecto de Charity Buzz. Posiblemente para fin de año y Q2 del 2024. ")</f>
        <v>Sigue muy comprometido con el desarrollo del proyecto y sus asignaciones. Se habló posibles cambios para el equipo de QA de cara al proyecto de Charity Buzz. Posiblemente para fin de año y Q2 del 2024. </v>
      </c>
      <c r="J538" s="4" t="str">
        <f>IFERROR(__xludf.DUMMYFUNCTION("""COMPUTED_VALUE"""),"PX|Referents|RRHH")</f>
        <v>PX|Referents|RRHH</v>
      </c>
    </row>
    <row r="539" hidden="1">
      <c r="A539" s="4">
        <f>IFERROR(__xludf.DUMMYFUNCTION("""COMPUTED_VALUE"""),136.0)</f>
        <v>136</v>
      </c>
      <c r="B539" s="4" t="str">
        <f>IFERROR(__xludf.DUMMYFUNCTION("""COMPUTED_VALUE"""),"freddy.orozco")</f>
        <v>freddy.orozco</v>
      </c>
      <c r="C539" s="5">
        <f>IFERROR(__xludf.DUMMYFUNCTION("""COMPUTED_VALUE"""),45173.75260349536)</f>
        <v>45173.7526</v>
      </c>
      <c r="D539" s="5">
        <f>IFERROR(__xludf.DUMMYFUNCTION("""COMPUTED_VALUE"""),45173.0)</f>
        <v>45173</v>
      </c>
      <c r="E539" s="4" t="str">
        <f>IFERROR(__xludf.DUMMYFUNCTION("""COMPUTED_VALUE"""),"daniela.morales@patagoniansys.com")</f>
        <v>daniela.morales@patagoniansys.com</v>
      </c>
      <c r="F539" s="4" t="str">
        <f>IFERROR(__xludf.DUMMYFUNCTION("""COMPUTED_VALUE"""),"freddy.orozco@patagoniansys.com")</f>
        <v>freddy.orozco@patagoniansys.com</v>
      </c>
      <c r="G539" s="4" t="str">
        <f>IFERROR(__xludf.DUMMYFUNCTION("""COMPUTED_VALUE"""),"⏱ One on One")</f>
        <v>⏱ One on One</v>
      </c>
      <c r="H539" s="4" t="str">
        <f>IFERROR(__xludf.DUMMYFUNCTION("""COMPUTED_VALUE"""),"🙁 Poco Feliz")</f>
        <v>🙁 Poco Feliz</v>
      </c>
      <c r="I539" s="6" t="str">
        <f>IFERROR(__xludf.DUMMYFUNCTION("""COMPUTED_VALUE"""),"Me cuenta que está un poco desanimado con el proyecto debido a los tiempos de entrega y de ejecución que tienen a ser bastante altos. Con su equipo se siente bien. En este momento le gustaría que se implemente el beneficio de gimnasio y se siente ansioso "&amp;"por el contexto de mercado actual. ")</f>
        <v>Me cuenta que está un poco desanimado con el proyecto debido a los tiempos de entrega y de ejecución que tienen a ser bastante altos. Con su equipo se siente bien. En este momento le gustaría que se implemente el beneficio de gimnasio y se siente ansioso por el contexto de mercado actual. </v>
      </c>
      <c r="J539" s="4" t="str">
        <f>IFERROR(__xludf.DUMMYFUNCTION("""COMPUTED_VALUE"""),"PX|Referents|RRHH")</f>
        <v>PX|Referents|RRHH</v>
      </c>
    </row>
    <row r="540">
      <c r="A540" s="4">
        <f>IFERROR(__xludf.DUMMYFUNCTION("""COMPUTED_VALUE"""),254.0)</f>
        <v>254</v>
      </c>
      <c r="B540" s="4" t="str">
        <f>IFERROR(__xludf.DUMMYFUNCTION("""COMPUTED_VALUE"""),"ismael.cespedes")</f>
        <v>ismael.cespedes</v>
      </c>
      <c r="C540" s="5">
        <f>IFERROR(__xludf.DUMMYFUNCTION("""COMPUTED_VALUE"""),45174.47216506945)</f>
        <v>45174.47217</v>
      </c>
      <c r="D540" s="5">
        <f>IFERROR(__xludf.DUMMYFUNCTION("""COMPUTED_VALUE"""),45174.0)</f>
        <v>45174</v>
      </c>
      <c r="E540" s="4" t="str">
        <f>IFERROR(__xludf.DUMMYFUNCTION("""COMPUTED_VALUE"""),"juan.calou@patagoniansys.com")</f>
        <v>juan.calou@patagoniansys.com</v>
      </c>
      <c r="F540" s="4" t="str">
        <f>IFERROR(__xludf.DUMMYFUNCTION("""COMPUTED_VALUE"""),"ismael.cespedes@patagoniansys.com")</f>
        <v>ismael.cespedes@patagoniansys.com</v>
      </c>
      <c r="G540" s="4" t="str">
        <f>IFERROR(__xludf.DUMMYFUNCTION("""COMPUTED_VALUE"""),"Referent One on One")</f>
        <v>Referent One on One</v>
      </c>
      <c r="H540" s="4"/>
      <c r="I540" s="6" t="str">
        <f>IFERROR(__xludf.DUMMYFUNCTION("""COMPUTED_VALUE"""),"- Interviewee e-Mail: ismael.cespedes@patagoniansys.com
- Project Status Check: entro en el proyecto Sukarevicius
- Project Role | Feeling: 4
- Extra Work Hours | Amount: 0 (Ningúna)
- Techs | Research: AI
- Collaborator | Seniority: 👍 No, es correcto
- "&amp;"Alerts: Todo va bien, la empresa y el proyecto. Un poco retrasado con el proyecto pero contento con su equipo. Me gusta el ambiente de trabajo.
- Project Needs / Oportunities: era para 3 meses y va a llevar mas (5 por lo menos)
- Final notes: Lo vi bien. "&amp;"Contento con su proyecto, contento con la empresa. Contento con su equipo de trabajo. El projecto es backend de node. Lo invite al DEC de node.
- Project Techs | Learning: 0
- Project Techs | Difficulty: 3
- Project Changes | Reasons: 🟰 No hubo cambios
-"&amp;" Project Role | Value: 4
- Project role | Notes: varios roles de usuario. algunas complicaciones de base")</f>
        <v>- Interviewee e-Mail: ismael.cespedes@patagoniansys.com
- Project Status Check: entro en el proyecto Sukarevicius
- Project Role | Feeling: 4
- Extra Work Hours | Amount: 0 (Ningúna)
- Techs | Research: AI
- Collaborator | Seniority: 👍 No, es correcto
- Alerts: Todo va bien, la empresa y el proyecto. Un poco retrasado con el proyecto pero contento con su equipo. Me gusta el ambiente de trabajo.
- Project Needs / Oportunities: era para 3 meses y va a llevar mas (5 por lo menos)
- Final notes: Lo vi bien. Contento con su proyecto, contento con la empresa. Contento con su equipo de trabajo. El projecto es backend de node. Lo invite al DEC de node.
- Project Techs | Learning: 0
- Project Techs | Difficulty: 3
- Project Changes | Reasons: 🟰 No hubo cambios
- Project Role | Value: 4
- Project role | Notes: varios roles de usuario. algunas complicaciones de base</v>
      </c>
      <c r="J540" s="4" t="str">
        <f>IFERROR(__xludf.DUMMYFUNCTION("""COMPUTED_VALUE"""),"Tech Referent - OneOnOne")</f>
        <v>Tech Referent - OneOnOne</v>
      </c>
    </row>
    <row r="541" hidden="1">
      <c r="A541" s="4">
        <f>IFERROR(__xludf.DUMMYFUNCTION("""COMPUTED_VALUE"""),315.0)</f>
        <v>315</v>
      </c>
      <c r="B541" s="4" t="str">
        <f>IFERROR(__xludf.DUMMYFUNCTION("""COMPUTED_VALUE"""),"juan.lara")</f>
        <v>juan.lara</v>
      </c>
      <c r="C541" s="5">
        <f>IFERROR(__xludf.DUMMYFUNCTION("""COMPUTED_VALUE"""),45174.66463863426)</f>
        <v>45174.66464</v>
      </c>
      <c r="D541" s="5">
        <f>IFERROR(__xludf.DUMMYFUNCTION("""COMPUTED_VALUE"""),45174.0)</f>
        <v>45174</v>
      </c>
      <c r="E541" s="4" t="str">
        <f>IFERROR(__xludf.DUMMYFUNCTION("""COMPUTED_VALUE"""),"hernan.muras@patagoniansys.com")</f>
        <v>hernan.muras@patagoniansys.com</v>
      </c>
      <c r="F541" s="4" t="str">
        <f>IFERROR(__xludf.DUMMYFUNCTION("""COMPUTED_VALUE"""),"juan.lara@patagoniansys.com")</f>
        <v>juan.lara@patagoniansys.com</v>
      </c>
      <c r="G541" s="4" t="str">
        <f>IFERROR(__xludf.DUMMYFUNCTION("""COMPUTED_VALUE"""),"⏱ One on One")</f>
        <v>⏱ One on One</v>
      </c>
      <c r="H541" s="4" t="str">
        <f>IFERROR(__xludf.DUMMYFUNCTION("""COMPUTED_VALUE"""),"😀 Sumamente Feliz")</f>
        <v>😀 Sumamente Feliz</v>
      </c>
      <c r="I541" s="6" t="str">
        <f>IFERROR(__xludf.DUMMYFUNCTION("""COMPUTED_VALUE"""),"Juan Camilo me dice que se siente muy a gusto en el proyecto. El feedback que me llega del jefe de ingeniería (Kamran) es siempre muy positivo y es el primer recurso que me solicitan a la hora de extender contratos. Destaca que es muy versátil. Por las no"&amp;"ches dedica unos momentos a estudiar inglés con Duo Linguo. Le recomendé hablar con Daniela Morales para inscribirse en las clases de inglés de Patagonian.")</f>
        <v>Juan Camilo me dice que se siente muy a gusto en el proyecto. El feedback que me llega del jefe de ingeniería (Kamran) es siempre muy positivo y es el primer recurso que me solicitan a la hora de extender contratos. Destaca que es muy versátil. Por las noches dedica unos momentos a estudiar inglés con Duo Linguo. Le recomendé hablar con Daniela Morales para inscribirse en las clases de inglés de Patagonian.</v>
      </c>
      <c r="J541" s="4" t="str">
        <f>IFERROR(__xludf.DUMMYFUNCTION("""COMPUTED_VALUE"""),"PX|Referents|RRHH")</f>
        <v>PX|Referents|RRHH</v>
      </c>
    </row>
    <row r="542" hidden="1">
      <c r="A542" s="4">
        <f>IFERROR(__xludf.DUMMYFUNCTION("""COMPUTED_VALUE"""),316.0)</f>
        <v>316</v>
      </c>
      <c r="B542" s="4" t="str">
        <f>IFERROR(__xludf.DUMMYFUNCTION("""COMPUTED_VALUE"""),"eddie.brenes")</f>
        <v>eddie.brenes</v>
      </c>
      <c r="C542" s="5">
        <f>IFERROR(__xludf.DUMMYFUNCTION("""COMPUTED_VALUE"""),45175.56226938658)</f>
        <v>45175.56227</v>
      </c>
      <c r="D542" s="5">
        <f>IFERROR(__xludf.DUMMYFUNCTION("""COMPUTED_VALUE"""),45175.0)</f>
        <v>45175</v>
      </c>
      <c r="E542" s="4" t="str">
        <f>IFERROR(__xludf.DUMMYFUNCTION("""COMPUTED_VALUE"""),"marcela.benavides@patagoniansys.com")</f>
        <v>marcela.benavides@patagoniansys.com</v>
      </c>
      <c r="F542" s="4" t="str">
        <f>IFERROR(__xludf.DUMMYFUNCTION("""COMPUTED_VALUE"""),"eddie.brenes@patagoniansys.com")</f>
        <v>eddie.brenes@patagoniansys.com</v>
      </c>
      <c r="G542" s="4" t="str">
        <f>IFERROR(__xludf.DUMMYFUNCTION("""COMPUTED_VALUE"""),"⏱ One on One")</f>
        <v>⏱ One on One</v>
      </c>
      <c r="H542" s="4" t="str">
        <f>IFERROR(__xludf.DUMMYFUNCTION("""COMPUTED_VALUE"""),"🙂 Feliz")</f>
        <v>🙂 Feliz</v>
      </c>
      <c r="I542" s="6" t="str">
        <f>IFERROR(__xludf.DUMMYFUNCTION("""COMPUTED_VALUE"""),"Esta bien en el proyecto, se tomará vacaciones en Octubre y es posible que visite al cliente en San francisco en su visita. ")</f>
        <v>Esta bien en el proyecto, se tomará vacaciones en Octubre y es posible que visite al cliente en San francisco en su visita. </v>
      </c>
      <c r="J542" s="4" t="str">
        <f>IFERROR(__xludf.DUMMYFUNCTION("""COMPUTED_VALUE"""),"PX|Referents|RRHH")</f>
        <v>PX|Referents|RRHH</v>
      </c>
    </row>
    <row r="543">
      <c r="A543" s="4">
        <f>IFERROR(__xludf.DUMMYFUNCTION("""COMPUTED_VALUE"""),311.0)</f>
        <v>311</v>
      </c>
      <c r="B543" s="4" t="str">
        <f>IFERROR(__xludf.DUMMYFUNCTION("""COMPUTED_VALUE"""),"andres.murillo")</f>
        <v>andres.murillo</v>
      </c>
      <c r="C543" s="5">
        <f>IFERROR(__xludf.DUMMYFUNCTION("""COMPUTED_VALUE"""),45175.63853571759)</f>
        <v>45175.63854</v>
      </c>
      <c r="D543" s="5">
        <f>IFERROR(__xludf.DUMMYFUNCTION("""COMPUTED_VALUE"""),45175.0)</f>
        <v>45175</v>
      </c>
      <c r="E543" s="4" t="str">
        <f>IFERROR(__xludf.DUMMYFUNCTION("""COMPUTED_VALUE"""),"leonardo.buret@patagoniansys.com")</f>
        <v>leonardo.buret@patagoniansys.com</v>
      </c>
      <c r="F543" s="4" t="str">
        <f>IFERROR(__xludf.DUMMYFUNCTION("""COMPUTED_VALUE"""),"andres.murillo@patagonian.com")</f>
        <v>andres.murillo@patagonian.com</v>
      </c>
      <c r="G543" s="4" t="str">
        <f>IFERROR(__xludf.DUMMYFUNCTION("""COMPUTED_VALUE"""),"Referent One on One")</f>
        <v>Referent One on One</v>
      </c>
      <c r="H543" s="4"/>
      <c r="I543" s="6" t="str">
        <f>IFERROR(__xludf.DUMMYFUNCTION("""COMPUTED_VALUE"""),"- Interviewee e-Mail: andres.murillo@patagonian.com
- Project Changes | Notes: Tiene mas trabajo
- Project Role | Feeling: 4
- Extra Work Hours | Amount: 0 (Ningúna)
- Techs | Research: No
- Techs | Recomendations: Le recomendé ver el plan de carrera pero"&amp;" no le interesa
- Techs | Recomendations check: No
- Collaborator | Seniority: 👍 No, es correcto
- Alerts: No
- Project Needs / Oportunities: No
- Final notes: Está a gusto. Son exigentes con los tiempos, pero razonables. El proyecto está cambiando const"&amp;"antemente
- Project Techs | Learning: 0
- Techs | Research: 0
- Project Techs | Difficulty: 3
- Project Changes | Reasons: ⏱ Cambios en la forma de planificar las tareas y tiempos, 💻 Cambios en la manera de desarrollar, La app en prod
- Project Changes |"&amp;" Personal Impact: 5
- Project Role | Value: 4
- Project role | Notes: Cambios en el código (Clean Up), adherencia a estándares.")</f>
        <v>- Interviewee e-Mail: andres.murillo@patagonian.com
- Project Changes | Notes: Tiene mas trabajo
- Project Role | Feeling: 4
- Extra Work Hours | Amount: 0 (Ningúna)
- Techs | Research: No
- Techs | Recomendations: Le recomendé ver el plan de carrera pero no le interesa
- Techs | Recomendations check: No
- Collaborator | Seniority: 👍 No, es correcto
- Alerts: No
- Project Needs / Oportunities: No
- Final notes: Está a gusto. Son exigentes con los tiempos, pero razonables. El proyecto está cambiando constantemente
- Project Techs | Learning: 0
- Techs | Research: 0
- Project Techs | Difficulty: 3
- Project Changes | Reasons: ⏱ Cambios en la forma de planificar las tareas y tiempos, 💻 Cambios en la manera de desarrollar, La app en prod
- Project Changes | Personal Impact: 5
- Project Role | Value: 4
- Project role | Notes: Cambios en el código (Clean Up), adherencia a estándares.</v>
      </c>
      <c r="J543" s="4" t="str">
        <f>IFERROR(__xludf.DUMMYFUNCTION("""COMPUTED_VALUE"""),"Tech Referent - OneOnOne")</f>
        <v>Tech Referent - OneOnOne</v>
      </c>
    </row>
    <row r="544" hidden="1">
      <c r="A544" s="4">
        <f>IFERROR(__xludf.DUMMYFUNCTION("""COMPUTED_VALUE"""),224.0)</f>
        <v>224</v>
      </c>
      <c r="B544" s="4" t="str">
        <f>IFERROR(__xludf.DUMMYFUNCTION("""COMPUTED_VALUE"""),"luciano.fuentes")</f>
        <v>luciano.fuentes</v>
      </c>
      <c r="C544" s="5">
        <f>IFERROR(__xludf.DUMMYFUNCTION("""COMPUTED_VALUE"""),45190.449096041666)</f>
        <v>45190.4491</v>
      </c>
      <c r="D544" s="5">
        <f>IFERROR(__xludf.DUMMYFUNCTION("""COMPUTED_VALUE"""),45175.0)</f>
        <v>45175</v>
      </c>
      <c r="E544" s="4" t="str">
        <f>IFERROR(__xludf.DUMMYFUNCTION("""COMPUTED_VALUE"""),"micaela.zorzetto@patagoniansys.com")</f>
        <v>micaela.zorzetto@patagoniansys.com</v>
      </c>
      <c r="F544" s="4" t="str">
        <f>IFERROR(__xludf.DUMMYFUNCTION("""COMPUTED_VALUE"""),"luciano.fuentes@patagoniansys.com")</f>
        <v>luciano.fuentes@patagoniansys.com</v>
      </c>
      <c r="G544" s="4" t="str">
        <f>IFERROR(__xludf.DUMMYFUNCTION("""COMPUTED_VALUE"""),"⏱ One on One")</f>
        <v>⏱ One on One</v>
      </c>
      <c r="H544" s="4" t="str">
        <f>IFERROR(__xludf.DUMMYFUNCTION("""COMPUTED_VALUE"""),"🙂 Feliz")</f>
        <v>🙂 Feliz</v>
      </c>
      <c r="I544" s="6" t="str">
        <f>IFERROR(__xludf.DUMMYFUNCTION("""COMPUTED_VALUE"""),"Esta contento en el proyecto y el equipo. El PO de Halli lo abosorbe mucho tiempo, y eso le quita tiempo para dedicarle a actividades/proyectos que tiene Patagonian que le gustaría participar.
")</f>
        <v>Esta contento en el proyecto y el equipo. El PO de Halli lo abosorbe mucho tiempo, y eso le quita tiempo para dedicarle a actividades/proyectos que tiene Patagonian que le gustaría participar.
</v>
      </c>
      <c r="J544" s="4" t="str">
        <f>IFERROR(__xludf.DUMMYFUNCTION("""COMPUTED_VALUE"""),"PX|Referents|RRHH")</f>
        <v>PX|Referents|RRHH</v>
      </c>
    </row>
    <row r="545" hidden="1">
      <c r="A545" s="4">
        <f>IFERROR(__xludf.DUMMYFUNCTION("""COMPUTED_VALUE"""),272.0)</f>
        <v>272</v>
      </c>
      <c r="B545" s="4" t="str">
        <f>IFERROR(__xludf.DUMMYFUNCTION("""COMPUTED_VALUE"""),"santiago.grossi")</f>
        <v>santiago.grossi</v>
      </c>
      <c r="C545" s="5">
        <f>IFERROR(__xludf.DUMMYFUNCTION("""COMPUTED_VALUE"""),45190.45373991899)</f>
        <v>45190.45374</v>
      </c>
      <c r="D545" s="5">
        <f>IFERROR(__xludf.DUMMYFUNCTION("""COMPUTED_VALUE"""),45175.0)</f>
        <v>45175</v>
      </c>
      <c r="E545" s="4" t="str">
        <f>IFERROR(__xludf.DUMMYFUNCTION("""COMPUTED_VALUE"""),"micaela.zorzetto@patagoniansys.com")</f>
        <v>micaela.zorzetto@patagoniansys.com</v>
      </c>
      <c r="F545" s="4" t="str">
        <f>IFERROR(__xludf.DUMMYFUNCTION("""COMPUTED_VALUE"""),"santiago.grossi@patagoniansys.com")</f>
        <v>santiago.grossi@patagoniansys.com</v>
      </c>
      <c r="G545" s="4" t="str">
        <f>IFERROR(__xludf.DUMMYFUNCTION("""COMPUTED_VALUE"""),"⏱ One on One")</f>
        <v>⏱ One on One</v>
      </c>
      <c r="H545" s="4" t="str">
        <f>IFERROR(__xludf.DUMMYFUNCTION("""COMPUTED_VALUE"""),"🙂 Feliz")</f>
        <v>🙂 Feliz</v>
      </c>
      <c r="I545" s="6" t="str">
        <f>IFERROR(__xludf.DUMMYFUNCTION("""COMPUTED_VALUE"""),"Santi esta más tranquilo en el proyecto, la exigencia bajo un poco. Esta muy entusiasmado con el workation que van hacer con el equipo. ")</f>
        <v>Santi esta más tranquilo en el proyecto, la exigencia bajo un poco. Esta muy entusiasmado con el workation que van hacer con el equipo. </v>
      </c>
      <c r="J545" s="4" t="str">
        <f>IFERROR(__xludf.DUMMYFUNCTION("""COMPUTED_VALUE"""),"PX|Referents|RRHH")</f>
        <v>PX|Referents|RRHH</v>
      </c>
    </row>
    <row r="546">
      <c r="A546" s="4">
        <f>IFERROR(__xludf.DUMMYFUNCTION("""COMPUTED_VALUE"""),41.0)</f>
        <v>41</v>
      </c>
      <c r="B546" s="4" t="str">
        <f>IFERROR(__xludf.DUMMYFUNCTION("""COMPUTED_VALUE"""),"ezequiel.cortes")</f>
        <v>ezequiel.cortes</v>
      </c>
      <c r="C546" s="5">
        <f>IFERROR(__xludf.DUMMYFUNCTION("""COMPUTED_VALUE"""),45176.64591761574)</f>
        <v>45176.64592</v>
      </c>
      <c r="D546" s="5">
        <f>IFERROR(__xludf.DUMMYFUNCTION("""COMPUTED_VALUE"""),45176.0)</f>
        <v>45176</v>
      </c>
      <c r="E546" s="4" t="str">
        <f>IFERROR(__xludf.DUMMYFUNCTION("""COMPUTED_VALUE"""),"jorge.contreras@patagoniansys.com")</f>
        <v>jorge.contreras@patagoniansys.com</v>
      </c>
      <c r="F546" s="4" t="str">
        <f>IFERROR(__xludf.DUMMYFUNCTION("""COMPUTED_VALUE"""),"ezequiel.cortes@patagonian.com")</f>
        <v>ezequiel.cortes@patagonian.com</v>
      </c>
      <c r="G546" s="4" t="str">
        <f>IFERROR(__xludf.DUMMYFUNCTION("""COMPUTED_VALUE"""),"Referent One on One")</f>
        <v>Referent One on One</v>
      </c>
      <c r="H546" s="4"/>
      <c r="I546" s="6" t="str">
        <f>IFERROR(__xludf.DUMMYFUNCTION("""COMPUTED_VALUE"""),"- Interviewee e-Mail: ezequiel.cortes@patagonian.com
- Project Status Check: Sigo en Overplay
- Project Changes | Notes: No hubo cambios
- Project Role | Feeling: 5
- Extra Work Hours | Amount: 0 (Ningúna)
- Techs | Research: Adobe Express
- Techs | Recom"&amp;"endations: React Query y React Hook Form
- Techs | Recomendations check: No, por ahora seguir con los cursos de Arquitectura de Brayan Barrios
- Collaborator | Seniority: 👍 No, es correcto
- Alerts: Ninguna
- Project Needs / Oportunities: NA
- Final note"&amp;"s: Todo bien por ahora
- Project Techs | Learning: 1
- Techs | Research: 1
- Project Techs | Difficulty: 5
- Project Changes | Reasons: 🟰 No hubo cambios
- Project Changes | Personal Impact: 5
- Project Role | Value: 5
- Project role | Notes: Sigo en el "&amp;"mismo role.")</f>
        <v>- Interviewee e-Mail: ezequiel.cortes@patagonian.com
- Project Status Check: Sigo en Overplay
- Project Changes | Notes: No hubo cambios
- Project Role | Feeling: 5
- Extra Work Hours | Amount: 0 (Ningúna)
- Techs | Research: Adobe Express
- Techs | Recomendations: React Query y React Hook Form
- Techs | Recomendations check: No, por ahora seguir con los cursos de Arquitectura de Brayan Barrios
- Collaborator | Seniority: 👍 No, es correcto
- Alerts: Ninguna
- Project Needs / Oportunities: NA
- Final notes: Todo bien por ahora
- Project Techs | Learning: 1
- Techs | Research: 1
- Project Techs | Difficulty: 5
- Project Changes | Reasons: 🟰 No hubo cambios
- Project Changes | Personal Impact: 5
- Project Role | Value: 5
- Project role | Notes: Sigo en el mismo role.</v>
      </c>
      <c r="J546" s="4" t="str">
        <f>IFERROR(__xludf.DUMMYFUNCTION("""COMPUTED_VALUE"""),"Tech Referent - OneOnOne")</f>
        <v>Tech Referent - OneOnOne</v>
      </c>
    </row>
    <row r="547">
      <c r="A547" s="4">
        <f>IFERROR(__xludf.DUMMYFUNCTION("""COMPUTED_VALUE"""),182.0)</f>
        <v>182</v>
      </c>
      <c r="B547" s="4" t="str">
        <f>IFERROR(__xludf.DUMMYFUNCTION("""COMPUTED_VALUE"""),"exequiel.soto")</f>
        <v>exequiel.soto</v>
      </c>
      <c r="C547" s="5">
        <f>IFERROR(__xludf.DUMMYFUNCTION("""COMPUTED_VALUE"""),45176.723718043984)</f>
        <v>45176.72372</v>
      </c>
      <c r="D547" s="5">
        <f>IFERROR(__xludf.DUMMYFUNCTION("""COMPUTED_VALUE"""),45176.0)</f>
        <v>45176</v>
      </c>
      <c r="E547" s="4" t="str">
        <f>IFERROR(__xludf.DUMMYFUNCTION("""COMPUTED_VALUE"""),"martin.castro@patagoniansys.com")</f>
        <v>martin.castro@patagoniansys.com</v>
      </c>
      <c r="F547" s="4" t="str">
        <f>IFERROR(__xludf.DUMMYFUNCTION("""COMPUTED_VALUE"""),"exequiel.soto@patagoniansys.com")</f>
        <v>exequiel.soto@patagoniansys.com</v>
      </c>
      <c r="G547" s="4" t="str">
        <f>IFERROR(__xludf.DUMMYFUNCTION("""COMPUTED_VALUE"""),"Referent One on One")</f>
        <v>Referent One on One</v>
      </c>
      <c r="H547" s="4"/>
      <c r="I547" s="6" t="str">
        <f>IFERROR(__xludf.DUMMYFUNCTION("""COMPUTED_VALUE"""),"- Interviewee e-Mail: exequiel.soto@patagoniansys.com
- Project Status Check: Diario RIo Negro y PST
- Project Changes | Notes: El devops aun continua con su trabajo para deploys automatizados
- Project Role | Feeling: 5
- Extra Work Hours | Amount: 0 (Ni"&amp;"ngúna)
- Techs | Research: GraphQL en PST, Aprende tecnologias que va usando en los proyecto. Strapi
- Collaborator | Seniority: 👍 No, es correcto
- Final notes: Aun sigue estudiando acerca de las tecnologías usadas en los proyectos en los que se encuent"&amp;"ra, es probable que por eso no comience con el Career Path aún
- Project Techs | Learning: 10
- Techs | Research: 10
- Project Techs | Difficulty: 4
- Project Changes | Reasons: 🟰 No hubo cambios
- Project Role | Value: 5
- Project role | Notes: Hay tare"&amp;"as desafiantes. Cuando se ven los cambios se siente bien :)")</f>
        <v>- Interviewee e-Mail: exequiel.soto@patagoniansys.com
- Project Status Check: Diario RIo Negro y PST
- Project Changes | Notes: El devops aun continua con su trabajo para deploys automatizados
- Project Role | Feeling: 5
- Extra Work Hours | Amount: 0 (Ningúna)
- Techs | Research: GraphQL en PST, Aprende tecnologias que va usando en los proyecto. Strapi
- Collaborator | Seniority: 👍 No, es correcto
- Final notes: Aun sigue estudiando acerca de las tecnologías usadas en los proyectos en los que se encuentra, es probable que por eso no comience con el Career Path aún
- Project Techs | Learning: 10
- Techs | Research: 10
- Project Techs | Difficulty: 4
- Project Changes | Reasons: 🟰 No hubo cambios
- Project Role | Value: 5
- Project role | Notes: Hay tareas desafiantes. Cuando se ven los cambios se siente bien :)</v>
      </c>
      <c r="J547" s="4" t="str">
        <f>IFERROR(__xludf.DUMMYFUNCTION("""COMPUTED_VALUE"""),"Tech Referent - OneOnOne")</f>
        <v>Tech Referent - OneOnOne</v>
      </c>
    </row>
    <row r="548" hidden="1">
      <c r="A548" s="4">
        <f>IFERROR(__xludf.DUMMYFUNCTION("""COMPUTED_VALUE"""),250.0)</f>
        <v>250</v>
      </c>
      <c r="B548" s="4" t="str">
        <f>IFERROR(__xludf.DUMMYFUNCTION("""COMPUTED_VALUE"""),"antonella.godoy")</f>
        <v>antonella.godoy</v>
      </c>
      <c r="C548" s="5">
        <f>IFERROR(__xludf.DUMMYFUNCTION("""COMPUTED_VALUE"""),45190.45704321759)</f>
        <v>45190.45704</v>
      </c>
      <c r="D548" s="5">
        <f>IFERROR(__xludf.DUMMYFUNCTION("""COMPUTED_VALUE"""),45176.0)</f>
        <v>45176</v>
      </c>
      <c r="E548" s="4" t="str">
        <f>IFERROR(__xludf.DUMMYFUNCTION("""COMPUTED_VALUE"""),"micaela.zorzetto@patagoniansys.com")</f>
        <v>micaela.zorzetto@patagoniansys.com</v>
      </c>
      <c r="F548" s="4" t="str">
        <f>IFERROR(__xludf.DUMMYFUNCTION("""COMPUTED_VALUE"""),"antonella.godoy@patagoniansys.com")</f>
        <v>antonella.godoy@patagoniansys.com</v>
      </c>
      <c r="G548" s="4" t="str">
        <f>IFERROR(__xludf.DUMMYFUNCTION("""COMPUTED_VALUE"""),"⏱ One on One")</f>
        <v>⏱ One on One</v>
      </c>
      <c r="H548" s="4" t="str">
        <f>IFERROR(__xludf.DUMMYFUNCTION("""COMPUTED_VALUE"""),"🙂 Feliz")</f>
        <v>🙂 Feliz</v>
      </c>
      <c r="I548" s="6" t="str">
        <f>IFERROR(__xludf.DUMMYFUNCTION("""COMPUTED_VALUE"""),"Estuvo un tiempo en crisis porque no tenia ninguna asignación a un proyecto, porque no le gusta estar sin hacer nada.
Pero le llego la propuesta de participar de Transformación Digital, esta entusiasmada y con ganas de aportar.")</f>
        <v>Estuvo un tiempo en crisis porque no tenia ninguna asignación a un proyecto, porque no le gusta estar sin hacer nada.
Pero le llego la propuesta de participar de Transformación Digital, esta entusiasmada y con ganas de aportar.</v>
      </c>
      <c r="J548" s="4" t="str">
        <f>IFERROR(__xludf.DUMMYFUNCTION("""COMPUTED_VALUE"""),"PX|Referents|RRHH")</f>
        <v>PX|Referents|RRHH</v>
      </c>
    </row>
    <row r="549" hidden="1">
      <c r="A549" s="4">
        <f>IFERROR(__xludf.DUMMYFUNCTION("""COMPUTED_VALUE"""),205.0)</f>
        <v>205</v>
      </c>
      <c r="B549" s="4" t="str">
        <f>IFERROR(__xludf.DUMMYFUNCTION("""COMPUTED_VALUE"""),"manuel.abruzzo")</f>
        <v>manuel.abruzzo</v>
      </c>
      <c r="C549" s="5">
        <f>IFERROR(__xludf.DUMMYFUNCTION("""COMPUTED_VALUE"""),45191.62979641204)</f>
        <v>45191.6298</v>
      </c>
      <c r="D549" s="5">
        <f>IFERROR(__xludf.DUMMYFUNCTION("""COMPUTED_VALUE"""),45176.0)</f>
        <v>45176</v>
      </c>
      <c r="E549" s="4" t="str">
        <f>IFERROR(__xludf.DUMMYFUNCTION("""COMPUTED_VALUE"""),"micaela.zorzetto@patagoniansys.com")</f>
        <v>micaela.zorzetto@patagoniansys.com</v>
      </c>
      <c r="F549" s="4" t="str">
        <f>IFERROR(__xludf.DUMMYFUNCTION("""COMPUTED_VALUE"""),"manuel.abruzzo@patagoniansys.com")</f>
        <v>manuel.abruzzo@patagoniansys.com</v>
      </c>
      <c r="G549" s="4" t="str">
        <f>IFERROR(__xludf.DUMMYFUNCTION("""COMPUTED_VALUE"""),"⏱ One on One")</f>
        <v>⏱ One on One</v>
      </c>
      <c r="H549" s="4" t="str">
        <f>IFERROR(__xludf.DUMMYFUNCTION("""COMPUTED_VALUE"""),"🙂 Feliz")</f>
        <v>🙂 Feliz</v>
      </c>
      <c r="I549" s="6" t="str">
        <f>IFERROR(__xludf.DUMMYFUNCTION("""COMPUTED_VALUE"""),"Estos dias va a estar solo en la parte de QA, porque Nati esta de vacaciones. Se siente con confianza para llevar solo los pedidos del cliente.
Tiene que retomar el estudio para rendir la certificación de QA.
")</f>
        <v>Estos dias va a estar solo en la parte de QA, porque Nati esta de vacaciones. Se siente con confianza para llevar solo los pedidos del cliente.
Tiene que retomar el estudio para rendir la certificación de QA.
</v>
      </c>
      <c r="J549" s="4" t="str">
        <f>IFERROR(__xludf.DUMMYFUNCTION("""COMPUTED_VALUE"""),"PX|Referents|RRHH")</f>
        <v>PX|Referents|RRHH</v>
      </c>
    </row>
    <row r="550">
      <c r="A550" s="4">
        <f>IFERROR(__xludf.DUMMYFUNCTION("""COMPUTED_VALUE"""),145.0)</f>
        <v>145</v>
      </c>
      <c r="B550" s="4" t="str">
        <f>IFERROR(__xludf.DUMMYFUNCTION("""COMPUTED_VALUE"""),"victor.abitu")</f>
        <v>victor.abitu</v>
      </c>
      <c r="C550" s="5">
        <f>IFERROR(__xludf.DUMMYFUNCTION("""COMPUTED_VALUE"""),45177.474688599534)</f>
        <v>45177.47469</v>
      </c>
      <c r="D550" s="5">
        <f>IFERROR(__xludf.DUMMYFUNCTION("""COMPUTED_VALUE"""),45177.0)</f>
        <v>45177</v>
      </c>
      <c r="E550" s="4" t="str">
        <f>IFERROR(__xludf.DUMMYFUNCTION("""COMPUTED_VALUE"""),"rodrigo.cibils@patagoniansys.com")</f>
        <v>rodrigo.cibils@patagoniansys.com</v>
      </c>
      <c r="F550" s="4" t="str">
        <f>IFERROR(__xludf.DUMMYFUNCTION("""COMPUTED_VALUE"""),"victor.abitu@patagoniansys.com")</f>
        <v>victor.abitu@patagoniansys.com</v>
      </c>
      <c r="G550" s="4" t="str">
        <f>IFERROR(__xludf.DUMMYFUNCTION("""COMPUTED_VALUE"""),"Referent One on One")</f>
        <v>Referent One on One</v>
      </c>
      <c r="H550" s="4"/>
      <c r="I550" s="6" t="str">
        <f>IFERROR(__xludf.DUMMYFUNCTION("""COMPUTED_VALUE"""),"- Interviewee e-Mail: victor.abitu@patagoniansys.com
- Project Changes | Notes: -
- Project Role | Feeling: 3
- Extra Work Hours | Amount: 0 (Ningúna)
- Collaborator | Seniority: 👍 No, es correcto
- Final notes: No se pudo coordinar reunion para esta sem"&amp;"ana. Se le consulto por chat si tuvo acceso a la plataforma de career path y confirmo que puede loguearse e ingresar a los cursos de los niveles sin problema. Todavia no pudo arrancar a hacer nada de eso igualmente pero no tiene problemas de accesos.
- Pr"&amp;"oject Techs | Learning: 0
- Project Techs | Difficulty: 3
- Project Changes | Reasons: -
- Project Role | Value: 3
- Project role | Notes: -")</f>
        <v>- Interviewee e-Mail: victor.abitu@patagoniansys.com
- Project Changes | Notes: -
- Project Role | Feeling: 3
- Extra Work Hours | Amount: 0 (Ningúna)
- Collaborator | Seniority: 👍 No, es correcto
- Final notes: No se pudo coordinar reunion para esta semana. Se le consulto por chat si tuvo acceso a la plataforma de career path y confirmo que puede loguearse e ingresar a los cursos de los niveles sin problema. Todavia no pudo arrancar a hacer nada de eso igualmente pero no tiene problemas de accesos.
- Project Techs | Learning: 0
- Project Techs | Difficulty: 3
- Project Changes | Reasons: -
- Project Role | Value: 3
- Project role | Notes: -</v>
      </c>
      <c r="J550" s="4" t="str">
        <f>IFERROR(__xludf.DUMMYFUNCTION("""COMPUTED_VALUE"""),"Tech Referent - OneOnOne")</f>
        <v>Tech Referent - OneOnOne</v>
      </c>
    </row>
    <row r="551" hidden="1">
      <c r="A551" s="4">
        <f>IFERROR(__xludf.DUMMYFUNCTION("""COMPUTED_VALUE"""),227.0)</f>
        <v>227</v>
      </c>
      <c r="B551" s="4" t="str">
        <f>IFERROR(__xludf.DUMMYFUNCTION("""COMPUTED_VALUE"""),"martin.infante")</f>
        <v>martin.infante</v>
      </c>
      <c r="C551" s="5">
        <f>IFERROR(__xludf.DUMMYFUNCTION("""COMPUTED_VALUE"""),45177.781018483794)</f>
        <v>45177.78102</v>
      </c>
      <c r="D551" s="5">
        <f>IFERROR(__xludf.DUMMYFUNCTION("""COMPUTED_VALUE"""),45177.0)</f>
        <v>45177</v>
      </c>
      <c r="E551" s="4" t="str">
        <f>IFERROR(__xludf.DUMMYFUNCTION("""COMPUTED_VALUE"""),"marcela.benavides@patagoniansys.com")</f>
        <v>marcela.benavides@patagoniansys.com</v>
      </c>
      <c r="F551" s="4" t="str">
        <f>IFERROR(__xludf.DUMMYFUNCTION("""COMPUTED_VALUE"""),"martin.infante@patagoniansys.com")</f>
        <v>martin.infante@patagoniansys.com</v>
      </c>
      <c r="G551" s="4" t="str">
        <f>IFERROR(__xludf.DUMMYFUNCTION("""COMPUTED_VALUE"""),"⏱ One on One")</f>
        <v>⏱ One on One</v>
      </c>
      <c r="H551" s="4" t="str">
        <f>IFERROR(__xludf.DUMMYFUNCTION("""COMPUTED_VALUE"""),"🙂 Feliz")</f>
        <v>🙂 Feliz</v>
      </c>
      <c r="I551" s="6" t="str">
        <f>IFERROR(__xludf.DUMMYFUNCTION("""COMPUTED_VALUE"""),"Encuentra díficil validar que lo que esta haciendo lo este haciendo bien ya que no tiene quien le revise o le provea feedback de su laburo en cuánto a un Manager de Data. Podría ser bueno revisar si un consultor externo podría apoyarnos con esto en caso d"&amp;"e no tener un rol interno en Pata que de guía. 
Expresó que siente preocupación al ver que en Pata solo esta Forge como proyecto que incluye su rol y lo que esta haciendo. ")</f>
        <v>Encuentra díficil validar que lo que esta haciendo lo este haciendo bien ya que no tiene quien le revise o le provea feedback de su laburo en cuánto a un Manager de Data. Podría ser bueno revisar si un consultor externo podría apoyarnos con esto en caso de no tener un rol interno en Pata que de guía. 
Expresó que siente preocupación al ver que en Pata solo esta Forge como proyecto que incluye su rol y lo que esta haciendo. </v>
      </c>
      <c r="J551" s="4" t="str">
        <f>IFERROR(__xludf.DUMMYFUNCTION("""COMPUTED_VALUE"""),"PX|Referents|RRHH")</f>
        <v>PX|Referents|RRHH</v>
      </c>
    </row>
    <row r="552">
      <c r="A552" s="4">
        <f>IFERROR(__xludf.DUMMYFUNCTION("""COMPUTED_VALUE"""),220.0)</f>
        <v>220</v>
      </c>
      <c r="B552" s="4" t="str">
        <f>IFERROR(__xludf.DUMMYFUNCTION("""COMPUTED_VALUE"""),"andres.rudqvist")</f>
        <v>andres.rudqvist</v>
      </c>
      <c r="C552" s="5">
        <f>IFERROR(__xludf.DUMMYFUNCTION("""COMPUTED_VALUE"""),45180.66348446759)</f>
        <v>45180.66348</v>
      </c>
      <c r="D552" s="5">
        <f>IFERROR(__xludf.DUMMYFUNCTION("""COMPUTED_VALUE"""),45180.0)</f>
        <v>45180</v>
      </c>
      <c r="E552" s="4" t="str">
        <f>IFERROR(__xludf.DUMMYFUNCTION("""COMPUTED_VALUE"""),"jorge.contreras@patagoniansys.com")</f>
        <v>jorge.contreras@patagoniansys.com</v>
      </c>
      <c r="F552" s="4" t="str">
        <f>IFERROR(__xludf.DUMMYFUNCTION("""COMPUTED_VALUE"""),"andres.rudqvist@patagonian.com")</f>
        <v>andres.rudqvist@patagonian.com</v>
      </c>
      <c r="G552" s="4" t="str">
        <f>IFERROR(__xludf.DUMMYFUNCTION("""COMPUTED_VALUE"""),"Referent One on One")</f>
        <v>Referent One on One</v>
      </c>
      <c r="H552" s="4"/>
      <c r="I552" s="6" t="str">
        <f>IFERROR(__xludf.DUMMYFUNCTION("""COMPUTED_VALUE"""),"- Interviewee e-Mail: andres.rudqvist@patagonian.com
- Project Status Check: Podvisory, Autofi
- Project Changes | Notes: Ningún cambio por los momentos. Sigo en Podvisory, Autofi
- Project Role | Feeling: 5
- Extra Work Hours | Amount: 0 (Ningúna)
- Tech"&amp;"s | Research: No. Solo indgado algo de Gatsby y Astro por curiosidad propia.
- Techs | Recomendations check: No
- Collaborator | Seniority: 👍 No, es correcto
- Alerts: No, todo bien.
- Project Needs / Oportunities: Por ahora todo está bien.
- Final notes"&amp;": NA
- Project Techs | Learning: 0
- Techs | Research: 0
- Project Techs | Difficulty: 5
- Project Changes | Reasons: 🟰 No hubo cambios
- Project Changes | Personal Impact: 5
- Project Role | Value: 5
- Project role | Notes: Sigo como backend developer.")</f>
        <v>- Interviewee e-Mail: andres.rudqvist@patagonian.com
- Project Status Check: Podvisory, Autofi
- Project Changes | Notes: Ningún cambio por los momentos. Sigo en Podvisory, Autofi
- Project Role | Feeling: 5
- Extra Work Hours | Amount: 0 (Ningúna)
- Techs | Research: No. Solo indgado algo de Gatsby y Astro por curiosidad propia.
- Techs | Recomendations check: No
- Collaborator | Seniority: 👍 No, es correcto
- Alerts: No, todo bien.
- Project Needs / Oportunities: Por ahora todo está bien.
- Final notes: NA
- Project Techs | Learning: 0
- Techs | Research: 0
- Project Techs | Difficulty: 5
- Project Changes | Reasons: 🟰 No hubo cambios
- Project Changes | Personal Impact: 5
- Project Role | Value: 5
- Project role | Notes: Sigo como backend developer.</v>
      </c>
      <c r="J552" s="4" t="str">
        <f>IFERROR(__xludf.DUMMYFUNCTION("""COMPUTED_VALUE"""),"Tech Referent - OneOnOne")</f>
        <v>Tech Referent - OneOnOne</v>
      </c>
    </row>
    <row r="553">
      <c r="A553" s="4">
        <f>IFERROR(__xludf.DUMMYFUNCTION("""COMPUTED_VALUE"""),88.0)</f>
        <v>88</v>
      </c>
      <c r="B553" s="4" t="str">
        <f>IFERROR(__xludf.DUMMYFUNCTION("""COMPUTED_VALUE"""),"andres.bolocco")</f>
        <v>andres.bolocco</v>
      </c>
      <c r="C553" s="5">
        <f>IFERROR(__xludf.DUMMYFUNCTION("""COMPUTED_VALUE"""),45181.54517016203)</f>
        <v>45181.54517</v>
      </c>
      <c r="D553" s="5">
        <f>IFERROR(__xludf.DUMMYFUNCTION("""COMPUTED_VALUE"""),45181.0)</f>
        <v>45181</v>
      </c>
      <c r="E553" s="4" t="str">
        <f>IFERROR(__xludf.DUMMYFUNCTION("""COMPUTED_VALUE"""),"brayan.barrios@patagoniansys.com")</f>
        <v>brayan.barrios@patagoniansys.com</v>
      </c>
      <c r="F553" s="4" t="str">
        <f>IFERROR(__xludf.DUMMYFUNCTION("""COMPUTED_VALUE"""),"andres.bolocco@patagonian.com")</f>
        <v>andres.bolocco@patagonian.com</v>
      </c>
      <c r="G553" s="4" t="str">
        <f>IFERROR(__xludf.DUMMYFUNCTION("""COMPUTED_VALUE"""),"Referent One on One")</f>
        <v>Referent One on One</v>
      </c>
      <c r="H553" s="4"/>
      <c r="I553" s="6" t="str">
        <f>IFERROR(__xludf.DUMMYFUNCTION("""COMPUTED_VALUE"""),"- Interviewee e-Mail: andres.bolocco@patagonian.com
- Project Changes | Notes: Como el CTO renunció, hubo muchos cambios de roles y todo el equipo se esta acoplando. Hay cosas que hacia el CTO que ahora nadie hace y se estan repartiendo las responsabilida"&amp;"des. Por ejemplo validar la salud del sitio y responder en tiempos.
- Project Role | Feeling: 5
- Extra Work Hours | Amount: 10+ (Más de 10)
- Extra Work Hours | Reason: ⏱ Mala estimación de los tiempos y tareas, 🦫 Problemas técnicos inesperados, 😅 Mala"&amp;"s decisiones de ejecución, retrasos, 🙋Decisión propia
- Techs | Research: Esta aprendiendo un monton de cosas soft en este momento. Así que está bien por ahora.
- Techs | Certifications: AWS Solutions Architect
- Techs | Recomendations: Es sugerido tomar"&amp;" algun curso o certificación de management. PMI, SaFE.
- Collaborator | Seniority: 👍 No, es correcto
- Alerts: Desempeño, está trabajando fuertemente a adaptarse al nuevo rol, creo que lo va a lograr pero una ayuda del lado de Patagonian estaría muy bien"&amp;".
- Project Needs / Oportunities: Estaría bueno un proceso de coaching.
- Final notes: Ando está muy contento con su asignación, aprendiendo mucho, y sobretodo aprendiendo a no sobrecargarse.
- Project Techs | Learning: 0
- Project Techs | Difficulty: 4
-"&amp;" Project Changes | Reasons: 🔀 Cambio de roles dentro del equipo, 🏁 Cambios en los objetivos, ⏱ Cambios en la forma de planificar las tareas y tiempos
- Project Changes | Personal Impact: 3
- Project Role | Value: 5
- Project role | Notes: Ahora es lider"&amp;" tecnico en Grapevine y le toca liderar varias iniciativas.")</f>
        <v>- Interviewee e-Mail: andres.bolocco@patagonian.com
- Project Changes | Notes: Como el CTO renunció, hubo muchos cambios de roles y todo el equipo se esta acoplando. Hay cosas que hacia el CTO que ahora nadie hace y se estan repartiendo las responsabilidades. Por ejemplo validar la salud del sitio y responder en tiempos.
- Project Role | Feeling: 5
- Extra Work Hours | Amount: 10+ (Más de 10)
- Extra Work Hours | Reason: ⏱ Mala estimación de los tiempos y tareas, 🦫 Problemas técnicos inesperados, 😅 Malas decisiones de ejecución, retrasos, 🙋Decisión propia
- Techs | Research: Esta aprendiendo un monton de cosas soft en este momento. Así que está bien por ahora.
- Techs | Certifications: AWS Solutions Architect
- Techs | Recomendations: Es sugerido tomar algun curso o certificación de management. PMI, SaFE.
- Collaborator | Seniority: 👍 No, es correcto
- Alerts: Desempeño, está trabajando fuertemente a adaptarse al nuevo rol, creo que lo va a lograr pero una ayuda del lado de Patagonian estaría muy bien.
- Project Needs / Oportunities: Estaría bueno un proceso de coaching.
- Final notes: Ando está muy contento con su asignación, aprendiendo mucho, y sobretodo aprendiendo a no sobrecargarse.
- Project Techs | Learning: 0
- Project Techs | Difficulty: 4
- Project Changes | Reasons: 🔀 Cambio de roles dentro del equipo, 🏁 Cambios en los objetivos, ⏱ Cambios en la forma de planificar las tareas y tiempos
- Project Changes | Personal Impact: 3
- Project Role | Value: 5
- Project role | Notes: Ahora es lider tecnico en Grapevine y le toca liderar varias iniciativas.</v>
      </c>
      <c r="J553" s="4" t="str">
        <f>IFERROR(__xludf.DUMMYFUNCTION("""COMPUTED_VALUE"""),"Tech Referent - OneOnOne")</f>
        <v>Tech Referent - OneOnOne</v>
      </c>
    </row>
    <row r="554" hidden="1">
      <c r="A554" s="4">
        <f>IFERROR(__xludf.DUMMYFUNCTION("""COMPUTED_VALUE"""),199.0)</f>
        <v>199</v>
      </c>
      <c r="B554" s="4" t="str">
        <f>IFERROR(__xludf.DUMMYFUNCTION("""COMPUTED_VALUE"""),"eileen.guerrero")</f>
        <v>eileen.guerrero</v>
      </c>
      <c r="C554" s="5">
        <f>IFERROR(__xludf.DUMMYFUNCTION("""COMPUTED_VALUE"""),45181.56024549769)</f>
        <v>45181.56025</v>
      </c>
      <c r="D554" s="5">
        <f>IFERROR(__xludf.DUMMYFUNCTION("""COMPUTED_VALUE"""),45181.0)</f>
        <v>45181</v>
      </c>
      <c r="E554" s="4" t="str">
        <f>IFERROR(__xludf.DUMMYFUNCTION("""COMPUTED_VALUE"""),"daniela.morales@patagoniansys.com")</f>
        <v>daniela.morales@patagoniansys.com</v>
      </c>
      <c r="F554" s="4" t="str">
        <f>IFERROR(__xludf.DUMMYFUNCTION("""COMPUTED_VALUE"""),"eileen.guerrero@patagoniansys.com")</f>
        <v>eileen.guerrero@patagoniansys.com</v>
      </c>
      <c r="G554" s="4" t="str">
        <f>IFERROR(__xludf.DUMMYFUNCTION("""COMPUTED_VALUE"""),"⏱ One on One")</f>
        <v>⏱ One on One</v>
      </c>
      <c r="H554" s="4" t="str">
        <f>IFERROR(__xludf.DUMMYFUNCTION("""COMPUTED_VALUE"""),"🙂 Feliz")</f>
        <v>🙂 Feliz</v>
      </c>
      <c r="I554" s="6" t="str">
        <f>IFERROR(__xludf.DUMMYFUNCTION("""COMPUTED_VALUE"""),"En este momento se encuentra bien, está esperando noticias de parte del bench para un posible proyecto, ha estado indagando mientras en el plan carrera y ha hecho varias de las lecturas. Está haciendo un par de cursos. En general se encuentra bastante bie"&amp;"n y está contento con la posibilidad de iniciar en un nuevo proyecto y aprender cosas diferentes. ")</f>
        <v>En este momento se encuentra bien, está esperando noticias de parte del bench para un posible proyecto, ha estado indagando mientras en el plan carrera y ha hecho varias de las lecturas. Está haciendo un par de cursos. En general se encuentra bastante bien y está contento con la posibilidad de iniciar en un nuevo proyecto y aprender cosas diferentes. </v>
      </c>
      <c r="J554" s="4" t="str">
        <f>IFERROR(__xludf.DUMMYFUNCTION("""COMPUTED_VALUE"""),"PX|Referents|RRHH")</f>
        <v>PX|Referents|RRHH</v>
      </c>
    </row>
    <row r="555" hidden="1">
      <c r="A555" s="4">
        <f>IFERROR(__xludf.DUMMYFUNCTION("""COMPUTED_VALUE"""),255.0)</f>
        <v>255</v>
      </c>
      <c r="B555" s="4" t="str">
        <f>IFERROR(__xludf.DUMMYFUNCTION("""COMPUTED_VALUE"""),"hubert.alfaro")</f>
        <v>hubert.alfaro</v>
      </c>
      <c r="C555" s="5">
        <f>IFERROR(__xludf.DUMMYFUNCTION("""COMPUTED_VALUE"""),45187.75628767361)</f>
        <v>45187.75629</v>
      </c>
      <c r="D555" s="5">
        <f>IFERROR(__xludf.DUMMYFUNCTION("""COMPUTED_VALUE"""),45181.0)</f>
        <v>45181</v>
      </c>
      <c r="E555" s="4" t="str">
        <f>IFERROR(__xludf.DUMMYFUNCTION("""COMPUTED_VALUE"""),"daniela.morales@patagoniansys.com")</f>
        <v>daniela.morales@patagoniansys.com</v>
      </c>
      <c r="F555" s="4" t="str">
        <f>IFERROR(__xludf.DUMMYFUNCTION("""COMPUTED_VALUE"""),"hubert.alfaro@patagoniansys.com")</f>
        <v>hubert.alfaro@patagoniansys.com</v>
      </c>
      <c r="G555" s="4" t="str">
        <f>IFERROR(__xludf.DUMMYFUNCTION("""COMPUTED_VALUE"""),"⏱ One on One")</f>
        <v>⏱ One on One</v>
      </c>
      <c r="H555" s="4" t="str">
        <f>IFERROR(__xludf.DUMMYFUNCTION("""COMPUTED_VALUE"""),"🙂 Feliz")</f>
        <v>🙂 Feliz</v>
      </c>
      <c r="I555" s="6" t="str">
        <f>IFERROR(__xludf.DUMMYFUNCTION("""COMPUTED_VALUE"""),"En general se encuentra bastante bien, está contento con la empresa y con el equipo, dentro de poco termina su proyecto y está atento a los nuevos proyectos que puedan surgir. ")</f>
        <v>En general se encuentra bastante bien, está contento con la empresa y con el equipo, dentro de poco termina su proyecto y está atento a los nuevos proyectos que puedan surgir. </v>
      </c>
      <c r="J555" s="4" t="str">
        <f>IFERROR(__xludf.DUMMYFUNCTION("""COMPUTED_VALUE"""),"PX|Referents|RRHH")</f>
        <v>PX|Referents|RRHH</v>
      </c>
    </row>
    <row r="556" hidden="1">
      <c r="A556" s="4">
        <f>IFERROR(__xludf.DUMMYFUNCTION("""COMPUTED_VALUE"""),153.0)</f>
        <v>153</v>
      </c>
      <c r="B556" s="4" t="str">
        <f>IFERROR(__xludf.DUMMYFUNCTION("""COMPUTED_VALUE"""),"david.zuluaga")</f>
        <v>david.zuluaga</v>
      </c>
      <c r="C556" s="5">
        <f>IFERROR(__xludf.DUMMYFUNCTION("""COMPUTED_VALUE"""),45189.556569155095)</f>
        <v>45189.55657</v>
      </c>
      <c r="D556" s="5">
        <f>IFERROR(__xludf.DUMMYFUNCTION("""COMPUTED_VALUE"""),45181.0)</f>
        <v>45181</v>
      </c>
      <c r="E556" s="4" t="str">
        <f>IFERROR(__xludf.DUMMYFUNCTION("""COMPUTED_VALUE"""),"daniela.morales@patagoniansys.com")</f>
        <v>daniela.morales@patagoniansys.com</v>
      </c>
      <c r="F556" s="4" t="str">
        <f>IFERROR(__xludf.DUMMYFUNCTION("""COMPUTED_VALUE"""),"david.zuluaga@patagoniansys.com")</f>
        <v>david.zuluaga@patagoniansys.com</v>
      </c>
      <c r="G556" s="4" t="str">
        <f>IFERROR(__xludf.DUMMYFUNCTION("""COMPUTED_VALUE"""),"⏱ One on One")</f>
        <v>⏱ One on One</v>
      </c>
      <c r="H556" s="4" t="str">
        <f>IFERROR(__xludf.DUMMYFUNCTION("""COMPUTED_VALUE"""),"🙂 Feliz")</f>
        <v>🙂 Feliz</v>
      </c>
      <c r="I556" s="6" t="str">
        <f>IFERROR(__xludf.DUMMYFUNCTION("""COMPUTED_VALUE"""),"Se encuentra bastante bien, está muy contento con su nuevo proyecto y está practicante bastante el inglés. Me consultó por la posibilidad de el ajuste salarial mayor. ")</f>
        <v>Se encuentra bastante bien, está muy contento con su nuevo proyecto y está practicante bastante el inglés. Me consultó por la posibilidad de el ajuste salarial mayor. </v>
      </c>
      <c r="J556" s="4" t="str">
        <f>IFERROR(__xludf.DUMMYFUNCTION("""COMPUTED_VALUE"""),"PX|Referents|RRHH")</f>
        <v>PX|Referents|RRHH</v>
      </c>
    </row>
    <row r="557" hidden="1">
      <c r="A557" s="4">
        <f>IFERROR(__xludf.DUMMYFUNCTION("""COMPUTED_VALUE"""),149.0)</f>
        <v>149</v>
      </c>
      <c r="B557" s="4" t="str">
        <f>IFERROR(__xludf.DUMMYFUNCTION("""COMPUTED_VALUE"""),"jonatan.ordonez")</f>
        <v>jonatan.ordonez</v>
      </c>
      <c r="C557" s="5">
        <f>IFERROR(__xludf.DUMMYFUNCTION("""COMPUTED_VALUE"""),45189.55516060185)</f>
        <v>45189.55516</v>
      </c>
      <c r="D557" s="5">
        <f>IFERROR(__xludf.DUMMYFUNCTION("""COMPUTED_VALUE"""),45182.0)</f>
        <v>45182</v>
      </c>
      <c r="E557" s="4" t="str">
        <f>IFERROR(__xludf.DUMMYFUNCTION("""COMPUTED_VALUE"""),"daniela.morales@patagoniansys.com")</f>
        <v>daniela.morales@patagoniansys.com</v>
      </c>
      <c r="F557" s="4" t="str">
        <f>IFERROR(__xludf.DUMMYFUNCTION("""COMPUTED_VALUE"""),"jonatan.ordonez@patagoniansys.com")</f>
        <v>jonatan.ordonez@patagoniansys.com</v>
      </c>
      <c r="G557" s="4" t="str">
        <f>IFERROR(__xludf.DUMMYFUNCTION("""COMPUTED_VALUE"""),"⏱ One on One")</f>
        <v>⏱ One on One</v>
      </c>
      <c r="H557" s="4" t="str">
        <f>IFERROR(__xludf.DUMMYFUNCTION("""COMPUTED_VALUE"""),"🙂 Feliz")</f>
        <v>🙂 Feliz</v>
      </c>
      <c r="I557" s="6" t="str">
        <f>IFERROR(__xludf.DUMMYFUNCTION("""COMPUTED_VALUE"""),"En términos generales se encuentra bastante bien, está tranquilo con el proyecto y se ha sentido muy apoyado con su equipo.")</f>
        <v>En términos generales se encuentra bastante bien, está tranquilo con el proyecto y se ha sentido muy apoyado con su equipo.</v>
      </c>
      <c r="J557" s="4" t="str">
        <f>IFERROR(__xludf.DUMMYFUNCTION("""COMPUTED_VALUE"""),"PX|Referents|RRHH")</f>
        <v>PX|Referents|RRHH</v>
      </c>
    </row>
    <row r="558" hidden="1">
      <c r="A558" s="4">
        <f>IFERROR(__xludf.DUMMYFUNCTION("""COMPUTED_VALUE"""),204.0)</f>
        <v>204</v>
      </c>
      <c r="B558" s="4" t="str">
        <f>IFERROR(__xludf.DUMMYFUNCTION("""COMPUTED_VALUE"""),"luisa.fernandez")</f>
        <v>luisa.fernandez</v>
      </c>
      <c r="C558" s="5">
        <f>IFERROR(__xludf.DUMMYFUNCTION("""COMPUTED_VALUE"""),45188.539447013885)</f>
        <v>45188.53945</v>
      </c>
      <c r="D558" s="5">
        <f>IFERROR(__xludf.DUMMYFUNCTION("""COMPUTED_VALUE"""),45183.0)</f>
        <v>45183</v>
      </c>
      <c r="E558" s="4" t="str">
        <f>IFERROR(__xludf.DUMMYFUNCTION("""COMPUTED_VALUE"""),"daniela.morales@patagoniansys.com")</f>
        <v>daniela.morales@patagoniansys.com</v>
      </c>
      <c r="F558" s="4" t="str">
        <f>IFERROR(__xludf.DUMMYFUNCTION("""COMPUTED_VALUE"""),"luisa.fernandez@patagoniansys.com")</f>
        <v>luisa.fernandez@patagoniansys.com</v>
      </c>
      <c r="G558" s="4" t="str">
        <f>IFERROR(__xludf.DUMMYFUNCTION("""COMPUTED_VALUE"""),"⏱ One on One")</f>
        <v>⏱ One on One</v>
      </c>
      <c r="H558" s="4" t="str">
        <f>IFERROR(__xludf.DUMMYFUNCTION("""COMPUTED_VALUE"""),"🙂 Feliz")</f>
        <v>🙂 Feliz</v>
      </c>
      <c r="I558" s="6" t="str">
        <f>IFERROR(__xludf.DUMMYFUNCTION("""COMPUTED_VALUE"""),"En este momento se encuentra muy contenta con los proyectos internos que está apoyando y liderando en la empresa, le gusta su equipo de trabajo y toda la innovación que han podido llevar a cabo. Le quedan dudas con respecto al seniority y a cómo se va a m"&amp;"anejar los roles de estos proyectos internos nuevos. ")</f>
        <v>En este momento se encuentra muy contenta con los proyectos internos que está apoyando y liderando en la empresa, le gusta su equipo de trabajo y toda la innovación que han podido llevar a cabo. Le quedan dudas con respecto al seniority y a cómo se va a manejar los roles de estos proyectos internos nuevos. </v>
      </c>
      <c r="J558" s="4" t="str">
        <f>IFERROR(__xludf.DUMMYFUNCTION("""COMPUTED_VALUE"""),"PX|Referents|RRHH")</f>
        <v>PX|Referents|RRHH</v>
      </c>
    </row>
    <row r="559" hidden="1">
      <c r="A559" s="4">
        <f>IFERROR(__xludf.DUMMYFUNCTION("""COMPUTED_VALUE"""),130.0)</f>
        <v>130</v>
      </c>
      <c r="B559" s="4" t="str">
        <f>IFERROR(__xludf.DUMMYFUNCTION("""COMPUTED_VALUE"""),"edgar.bonilla")</f>
        <v>edgar.bonilla</v>
      </c>
      <c r="C559" s="5">
        <f>IFERROR(__xludf.DUMMYFUNCTION("""COMPUTED_VALUE"""),45189.55084707176)</f>
        <v>45189.55085</v>
      </c>
      <c r="D559" s="5">
        <f>IFERROR(__xludf.DUMMYFUNCTION("""COMPUTED_VALUE"""),45183.0)</f>
        <v>45183</v>
      </c>
      <c r="E559" s="4" t="str">
        <f>IFERROR(__xludf.DUMMYFUNCTION("""COMPUTED_VALUE"""),"daniela.morales@patagoniansys.com")</f>
        <v>daniela.morales@patagoniansys.com</v>
      </c>
      <c r="F559" s="4" t="str">
        <f>IFERROR(__xludf.DUMMYFUNCTION("""COMPUTED_VALUE"""),"edgar.bonilla@patagoniansys.com")</f>
        <v>edgar.bonilla@patagoniansys.com</v>
      </c>
      <c r="G559" s="4" t="str">
        <f>IFERROR(__xludf.DUMMYFUNCTION("""COMPUTED_VALUE"""),"⏱ One on One")</f>
        <v>⏱ One on One</v>
      </c>
      <c r="H559" s="4" t="str">
        <f>IFERROR(__xludf.DUMMYFUNCTION("""COMPUTED_VALUE"""),"🙂 Feliz")</f>
        <v>🙂 Feliz</v>
      </c>
      <c r="I559" s="6" t="str">
        <f>IFERROR(__xludf.DUMMYFUNCTION("""COMPUTED_VALUE"""),"En general se encuentra bien, aunque su proyecto en este momento le está demandando bastante tiempo, hace parte de varias iniciativas en Patagonian también por lo que siente que en general tiene la agenda bastante llena. Pudo avanzar con el tema del caree"&amp;"r path y hacer la entrega respectiva. ")</f>
        <v>En general se encuentra bien, aunque su proyecto en este momento le está demandando bastante tiempo, hace parte de varias iniciativas en Patagonian también por lo que siente que en general tiene la agenda bastante llena. Pudo avanzar con el tema del career path y hacer la entrega respectiva. </v>
      </c>
      <c r="J559" s="4" t="str">
        <f>IFERROR(__xludf.DUMMYFUNCTION("""COMPUTED_VALUE"""),"PX|Referents|RRHH")</f>
        <v>PX|Referents|RRHH</v>
      </c>
    </row>
    <row r="560" hidden="1">
      <c r="A560" s="4">
        <f>IFERROR(__xludf.DUMMYFUNCTION("""COMPUTED_VALUE"""),146.0)</f>
        <v>146</v>
      </c>
      <c r="B560" s="4" t="str">
        <f>IFERROR(__xludf.DUMMYFUNCTION("""COMPUTED_VALUE"""),"juan.martinezrios")</f>
        <v>juan.martinezrios</v>
      </c>
      <c r="C560" s="5">
        <f>IFERROR(__xludf.DUMMYFUNCTION("""COMPUTED_VALUE"""),45189.55321837963)</f>
        <v>45189.55322</v>
      </c>
      <c r="D560" s="5">
        <f>IFERROR(__xludf.DUMMYFUNCTION("""COMPUTED_VALUE"""),45183.0)</f>
        <v>45183</v>
      </c>
      <c r="E560" s="4" t="str">
        <f>IFERROR(__xludf.DUMMYFUNCTION("""COMPUTED_VALUE"""),"daniela.morales@patagoniansys.com")</f>
        <v>daniela.morales@patagoniansys.com</v>
      </c>
      <c r="F560" s="4" t="str">
        <f>IFERROR(__xludf.DUMMYFUNCTION("""COMPUTED_VALUE"""),"juan.martinezrios@patagoniansys.com")</f>
        <v>juan.martinezrios@patagoniansys.com</v>
      </c>
      <c r="G560" s="4" t="str">
        <f>IFERROR(__xludf.DUMMYFUNCTION("""COMPUTED_VALUE"""),"⏱ One on One")</f>
        <v>⏱ One on One</v>
      </c>
      <c r="H560" s="4" t="str">
        <f>IFERROR(__xludf.DUMMYFUNCTION("""COMPUTED_VALUE"""),"🙂 Feliz")</f>
        <v>🙂 Feliz</v>
      </c>
      <c r="I560" s="6" t="str">
        <f>IFERROR(__xludf.DUMMYFUNCTION("""COMPUTED_VALUE"""),"En este momento está tranquilo, está esperando proyecto y está al tanto de cualquier noticia que puedan tener para él con respecto a proyectos. En general está feliz, le ha gustado el trabajo y el manejo de bench. ")</f>
        <v>En este momento está tranquilo, está esperando proyecto y está al tanto de cualquier noticia que puedan tener para él con respecto a proyectos. En general está feliz, le ha gustado el trabajo y el manejo de bench. </v>
      </c>
      <c r="J560" s="4" t="str">
        <f>IFERROR(__xludf.DUMMYFUNCTION("""COMPUTED_VALUE"""),"PX|Referents|RRHH")</f>
        <v>PX|Referents|RRHH</v>
      </c>
    </row>
    <row r="561" hidden="1">
      <c r="A561" s="4">
        <f>IFERROR(__xludf.DUMMYFUNCTION("""COMPUTED_VALUE"""),203.0)</f>
        <v>203</v>
      </c>
      <c r="B561" s="4" t="str">
        <f>IFERROR(__xludf.DUMMYFUNCTION("""COMPUTED_VALUE"""),"duverney.hernandez")</f>
        <v>duverney.hernandez</v>
      </c>
      <c r="C561" s="5">
        <f>IFERROR(__xludf.DUMMYFUNCTION("""COMPUTED_VALUE"""),45189.59174990741)</f>
        <v>45189.59175</v>
      </c>
      <c r="D561" s="5">
        <f>IFERROR(__xludf.DUMMYFUNCTION("""COMPUTED_VALUE"""),45183.0)</f>
        <v>45183</v>
      </c>
      <c r="E561" s="4" t="str">
        <f>IFERROR(__xludf.DUMMYFUNCTION("""COMPUTED_VALUE"""),"daniela.morales@patagoniansys.com")</f>
        <v>daniela.morales@patagoniansys.com</v>
      </c>
      <c r="F561" s="4" t="str">
        <f>IFERROR(__xludf.DUMMYFUNCTION("""COMPUTED_VALUE"""),"duverney.hernandez@patagoniansys.com")</f>
        <v>duverney.hernandez@patagoniansys.com</v>
      </c>
      <c r="G561" s="4" t="str">
        <f>IFERROR(__xludf.DUMMYFUNCTION("""COMPUTED_VALUE"""),"⏱ One on One")</f>
        <v>⏱ One on One</v>
      </c>
      <c r="H561" s="4" t="str">
        <f>IFERROR(__xludf.DUMMYFUNCTION("""COMPUTED_VALUE"""),"🙂 Feliz")</f>
        <v>🙂 Feliz</v>
      </c>
      <c r="I561" s="6" t="str">
        <f>IFERROR(__xludf.DUMMYFUNCTION("""COMPUTED_VALUE"""),"Se encuentra bastante bien, está contento con las clases de inglés, ha aprendido mucho de su nuevo equipo y de su nuevo proyecto, le gusta mucho más que el anterior y siente que puede aprender mucho. Me consultó por el tema de patapréstamo y por unos días"&amp;" de vacaciones. ")</f>
        <v>Se encuentra bastante bien, está contento con las clases de inglés, ha aprendido mucho de su nuevo equipo y de su nuevo proyecto, le gusta mucho más que el anterior y siente que puede aprender mucho. Me consultó por el tema de patapréstamo y por unos días de vacaciones. </v>
      </c>
      <c r="J561" s="4" t="str">
        <f>IFERROR(__xludf.DUMMYFUNCTION("""COMPUTED_VALUE"""),"PX|Referents|RRHH")</f>
        <v>PX|Referents|RRHH</v>
      </c>
    </row>
    <row r="562">
      <c r="A562" s="4">
        <f>IFERROR(__xludf.DUMMYFUNCTION("""COMPUTED_VALUE"""),197.0)</f>
        <v>197</v>
      </c>
      <c r="B562" s="4" t="str">
        <f>IFERROR(__xludf.DUMMYFUNCTION("""COMPUTED_VALUE"""),"gianfranco.fois")</f>
        <v>gianfranco.fois</v>
      </c>
      <c r="C562" s="5">
        <f>IFERROR(__xludf.DUMMYFUNCTION("""COMPUTED_VALUE"""),45203.75216512732)</f>
        <v>45203.75217</v>
      </c>
      <c r="D562" s="5">
        <f>IFERROR(__xludf.DUMMYFUNCTION("""COMPUTED_VALUE"""),45183.0)</f>
        <v>45183</v>
      </c>
      <c r="E562" s="4" t="str">
        <f>IFERROR(__xludf.DUMMYFUNCTION("""COMPUTED_VALUE"""),"jmartinez@patagoniansys.com")</f>
        <v>jmartinez@patagoniansys.com</v>
      </c>
      <c r="F562" s="4" t="str">
        <f>IFERROR(__xludf.DUMMYFUNCTION("""COMPUTED_VALUE"""),"gianfranco.fois@patagonian.com")</f>
        <v>gianfranco.fois@patagonian.com</v>
      </c>
      <c r="G562" s="4" t="str">
        <f>IFERROR(__xludf.DUMMYFUNCTION("""COMPUTED_VALUE"""),"Referent One on One")</f>
        <v>Referent One on One</v>
      </c>
      <c r="H562" s="4"/>
      <c r="I562" s="6" t="str">
        <f>IFERROR(__xludf.DUMMYFUNCTION("""COMPUTED_VALUE"""),"- Interviewee e-Mail: gianfranco.fois@patagonian.com
- Project Status Check: Continúa trabajando en Santa App, el proyecto esta próximo a terminar.
- Project Changes | Notes: Hubo problemas con el cliente, relacionados a los requerimientos y objetivos. Ta"&amp;"mbién cambiaron la tecnología de las apps mobile, pasaron de usar FlutterFlow a desarrollar exclusivamente con Flutter.
- Project Role | Feeling: 3
- Extra Work Hours | Amount: 0 (Ningúna)
- Techs | Research: Está interesado en dedicar tiempo al plan de c"&amp;"arrera Mobile.
- Collaborator | Seniority: 👍 No, es correcto
- Project Techs | Learning: 0
- Project Techs | Difficulty: 3
- Project Changes | Reasons: 🏁 Cambios en los objetivos, 💻 Cambios en la manera de desarrollar
- Project Changes | Personal Impac"&amp;"t: 3
- Project Role | Value: 3
- Project role | Notes: Está cómodo con las tecnologías que están usando, no las considera desafiantes.")</f>
        <v>- Interviewee e-Mail: gianfranco.fois@patagonian.com
- Project Status Check: Continúa trabajando en Santa App, el proyecto esta próximo a terminar.
- Project Changes | Notes: Hubo problemas con el cliente, relacionados a los requerimientos y objetivos. También cambiaron la tecnología de las apps mobile, pasaron de usar FlutterFlow a desarrollar exclusivamente con Flutter.
- Project Role | Feeling: 3
- Extra Work Hours | Amount: 0 (Ningúna)
- Techs | Research: Está interesado en dedicar tiempo al plan de carrera Mobile.
- Collaborator | Seniority: 👍 No, es correcto
- Project Techs | Learning: 0
- Project Techs | Difficulty: 3
- Project Changes | Reasons: 🏁 Cambios en los objetivos, 💻 Cambios en la manera de desarrollar
- Project Changes | Personal Impact: 3
- Project Role | Value: 3
- Project role | Notes: Está cómodo con las tecnologías que están usando, no las considera desafiantes.</v>
      </c>
      <c r="J562" s="4" t="str">
        <f>IFERROR(__xludf.DUMMYFUNCTION("""COMPUTED_VALUE"""),"Tech Referent - OneOnOne")</f>
        <v>Tech Referent - OneOnOne</v>
      </c>
    </row>
    <row r="563">
      <c r="A563" s="4">
        <f>IFERROR(__xludf.DUMMYFUNCTION("""COMPUTED_VALUE"""),243.0)</f>
        <v>243</v>
      </c>
      <c r="B563" s="4" t="str">
        <f>IFERROR(__xludf.DUMMYFUNCTION("""COMPUTED_VALUE"""),"fernando.estevez")</f>
        <v>fernando.estevez</v>
      </c>
      <c r="C563" s="5">
        <f>IFERROR(__xludf.DUMMYFUNCTION("""COMPUTED_VALUE"""),45184.512704409724)</f>
        <v>45184.5127</v>
      </c>
      <c r="D563" s="5">
        <f>IFERROR(__xludf.DUMMYFUNCTION("""COMPUTED_VALUE"""),45184.0)</f>
        <v>45184</v>
      </c>
      <c r="E563" s="4" t="str">
        <f>IFERROR(__xludf.DUMMYFUNCTION("""COMPUTED_VALUE"""),"juan.calou@patagoniansys.com")</f>
        <v>juan.calou@patagoniansys.com</v>
      </c>
      <c r="F563" s="4" t="str">
        <f>IFERROR(__xludf.DUMMYFUNCTION("""COMPUTED_VALUE"""),"fernando.estevez@patagoniansys.com")</f>
        <v>fernando.estevez@patagoniansys.com</v>
      </c>
      <c r="G563" s="4" t="str">
        <f>IFERROR(__xludf.DUMMYFUNCTION("""COMPUTED_VALUE"""),"Referent One on One")</f>
        <v>Referent One on One</v>
      </c>
      <c r="H563" s="4"/>
      <c r="I563" s="6" t="str">
        <f>IFERROR(__xludf.DUMMYFUNCTION("""COMPUTED_VALUE"""),"- Interviewee e-Mail: fernando.estevez@patagoniansys.com
- Project Status Check: momento de transicion. Esta saliendo Jorge Contreras. Entra Omar.
- Project Changes | Notes: ni bueno ni malo. Tiene confianza con Omar
- Project Role | Feeling: 4
- Extra Wo"&amp;"rk Hours | Amount: 0 (Ningúna)
- Techs | Research: -
- Techs | Recomendations: tengo ganas de ver NEST o NEXT
- Collaborator | Seniority: 👍 No, es correcto
- Alerts: Lo veo bien, con bastante trabajo. Esta escribiendo un articulo. Pero siempre anda con p"&amp;"oco tiempo. Esta con cambios en el proyecto y los enfrenta de forma muy positiva/
- Project Needs / Oportunities: -
- Final notes: Lo veo bien, contento con su proyecto. Con algunos cambios en el proyecto pero que lo impactan de forma positiva. Tuvo un po"&amp;"rblemita con un workation que le rechazaron, pero ya esta.
- Project Techs | Learning: 5
- Project Techs | Difficulty: 3
- Project Changes | Reasons: 🔀 Cambio de roles dentro del equipo
- Project Changes | Personal Impact: 3
- Project Role | Value: 4
- P"&amp;"roject role | Notes: esta contento. Le encanta contacto con cliente. El cliente abe de programacion")</f>
        <v>- Interviewee e-Mail: fernando.estevez@patagoniansys.com
- Project Status Check: momento de transicion. Esta saliendo Jorge Contreras. Entra Omar.
- Project Changes | Notes: ni bueno ni malo. Tiene confianza con Omar
- Project Role | Feeling: 4
- Extra Work Hours | Amount: 0 (Ningúna)
- Techs | Research: -
- Techs | Recomendations: tengo ganas de ver NEST o NEXT
- Collaborator | Seniority: 👍 No, es correcto
- Alerts: Lo veo bien, con bastante trabajo. Esta escribiendo un articulo. Pero siempre anda con poco tiempo. Esta con cambios en el proyecto y los enfrenta de forma muy positiva/
- Project Needs / Oportunities: -
- Final notes: Lo veo bien, contento con su proyecto. Con algunos cambios en el proyecto pero que lo impactan de forma positiva. Tuvo un porblemita con un workation que le rechazaron, pero ya esta.
- Project Techs | Learning: 5
- Project Techs | Difficulty: 3
- Project Changes | Reasons: 🔀 Cambio de roles dentro del equipo
- Project Changes | Personal Impact: 3
- Project Role | Value: 4
- Project role | Notes: esta contento. Le encanta contacto con cliente. El cliente abe de programacion</v>
      </c>
      <c r="J563" s="4" t="str">
        <f>IFERROR(__xludf.DUMMYFUNCTION("""COMPUTED_VALUE"""),"Tech Referent - OneOnOne")</f>
        <v>Tech Referent - OneOnOne</v>
      </c>
    </row>
    <row r="564" hidden="1">
      <c r="A564" s="4">
        <f>IFERROR(__xludf.DUMMYFUNCTION("""COMPUTED_VALUE"""),201.0)</f>
        <v>201</v>
      </c>
      <c r="B564" s="4" t="str">
        <f>IFERROR(__xludf.DUMMYFUNCTION("""COMPUTED_VALUE"""),"daniel.cardenas")</f>
        <v>daniel.cardenas</v>
      </c>
      <c r="C564" s="5">
        <f>IFERROR(__xludf.DUMMYFUNCTION("""COMPUTED_VALUE"""),45189.57336957176)</f>
        <v>45189.57337</v>
      </c>
      <c r="D564" s="5">
        <f>IFERROR(__xludf.DUMMYFUNCTION("""COMPUTED_VALUE"""),45184.0)</f>
        <v>45184</v>
      </c>
      <c r="E564" s="4" t="str">
        <f>IFERROR(__xludf.DUMMYFUNCTION("""COMPUTED_VALUE"""),"daniela.morales@patagoniansys.com")</f>
        <v>daniela.morales@patagoniansys.com</v>
      </c>
      <c r="F564" s="4" t="str">
        <f>IFERROR(__xludf.DUMMYFUNCTION("""COMPUTED_VALUE"""),"daniel.cardenas@patagoniansys.com")</f>
        <v>daniel.cardenas@patagoniansys.com</v>
      </c>
      <c r="G564" s="4" t="str">
        <f>IFERROR(__xludf.DUMMYFUNCTION("""COMPUTED_VALUE"""),"⏱ One on One")</f>
        <v>⏱ One on One</v>
      </c>
      <c r="H564" s="4" t="str">
        <f>IFERROR(__xludf.DUMMYFUNCTION("""COMPUTED_VALUE"""),"🙂 Feliz")</f>
        <v>🙂 Feliz</v>
      </c>
      <c r="I564" s="6" t="str">
        <f>IFERROR(__xludf.DUMMYFUNCTION("""COMPUTED_VALUE"""),"Está muy contento con los proyectos internos a los que ha sido asignado, le gustan mucho las iniciativas de digital transformation y siente que puede explotar más sus capacidades en ese tipo de proyectos. En general se encuentra muy a gusto con el equipo "&amp;"y con sus labores. Me sugirió la idea de hacer una serie de eventos deportivos en la empresa para incentivar la vida saludable y el deporte. ")</f>
        <v>Está muy contento con los proyectos internos a los que ha sido asignado, le gustan mucho las iniciativas de digital transformation y siente que puede explotar más sus capacidades en ese tipo de proyectos. En general se encuentra muy a gusto con el equipo y con sus labores. Me sugirió la idea de hacer una serie de eventos deportivos en la empresa para incentivar la vida saludable y el deporte. </v>
      </c>
      <c r="J564" s="4" t="str">
        <f>IFERROR(__xludf.DUMMYFUNCTION("""COMPUTED_VALUE"""),"PX|Referents|RRHH")</f>
        <v>PX|Referents|RRHH</v>
      </c>
    </row>
    <row r="565" hidden="1">
      <c r="A565" s="4">
        <f>IFERROR(__xludf.DUMMYFUNCTION("""COMPUTED_VALUE"""),241.0)</f>
        <v>241</v>
      </c>
      <c r="B565" s="4" t="str">
        <f>IFERROR(__xludf.DUMMYFUNCTION("""COMPUTED_VALUE"""),"stuard.romero")</f>
        <v>stuard.romero</v>
      </c>
      <c r="C565" s="5">
        <f>IFERROR(__xludf.DUMMYFUNCTION("""COMPUTED_VALUE"""),45189.59377310185)</f>
        <v>45189.59377</v>
      </c>
      <c r="D565" s="5">
        <f>IFERROR(__xludf.DUMMYFUNCTION("""COMPUTED_VALUE"""),45184.0)</f>
        <v>45184</v>
      </c>
      <c r="E565" s="4" t="str">
        <f>IFERROR(__xludf.DUMMYFUNCTION("""COMPUTED_VALUE"""),"daniela.morales@patagoniansys.com")</f>
        <v>daniela.morales@patagoniansys.com</v>
      </c>
      <c r="F565" s="4" t="str">
        <f>IFERROR(__xludf.DUMMYFUNCTION("""COMPUTED_VALUE"""),"stuard.romero@patagoniansys.com")</f>
        <v>stuard.romero@patagoniansys.com</v>
      </c>
      <c r="G565" s="4" t="str">
        <f>IFERROR(__xludf.DUMMYFUNCTION("""COMPUTED_VALUE"""),"⏱ One on One")</f>
        <v>⏱ One on One</v>
      </c>
      <c r="H565" s="4" t="str">
        <f>IFERROR(__xludf.DUMMYFUNCTION("""COMPUTED_VALUE"""),"🙂 Feliz")</f>
        <v>🙂 Feliz</v>
      </c>
      <c r="I565" s="6" t="str">
        <f>IFERROR(__xludf.DUMMYFUNCTION("""COMPUTED_VALUE"""),"Siente que el proyecto ha mejorado poco a poco, en este momento no es tan demandante como hace un par de semanas. Está bien en general,  me consultó por el tema de afiliación de su esposa a la prepagada y otros temas generales. Está contento con su equipo"&amp;" y siente que su PM es de bastante apoyo en estos momentos. ")</f>
        <v>Siente que el proyecto ha mejorado poco a poco, en este momento no es tan demandante como hace un par de semanas. Está bien en general,  me consultó por el tema de afiliación de su esposa a la prepagada y otros temas generales. Está contento con su equipo y siente que su PM es de bastante apoyo en estos momentos. </v>
      </c>
      <c r="J565" s="4" t="str">
        <f>IFERROR(__xludf.DUMMYFUNCTION("""COMPUTED_VALUE"""),"PX|Referents|RRHH")</f>
        <v>PX|Referents|RRHH</v>
      </c>
    </row>
    <row r="566">
      <c r="A566" s="4">
        <f>IFERROR(__xludf.DUMMYFUNCTION("""COMPUTED_VALUE"""),316.0)</f>
        <v>316</v>
      </c>
      <c r="B566" s="4" t="str">
        <f>IFERROR(__xludf.DUMMYFUNCTION("""COMPUTED_VALUE"""),"eddie.brenes")</f>
        <v>eddie.brenes</v>
      </c>
      <c r="C566" s="5">
        <f>IFERROR(__xludf.DUMMYFUNCTION("""COMPUTED_VALUE"""),45187.631884849536)</f>
        <v>45187.63188</v>
      </c>
      <c r="D566" s="5">
        <f>IFERROR(__xludf.DUMMYFUNCTION("""COMPUTED_VALUE"""),45187.0)</f>
        <v>45187</v>
      </c>
      <c r="E566" s="4" t="str">
        <f>IFERROR(__xludf.DUMMYFUNCTION("""COMPUTED_VALUE"""),"martin.infante@patagoniansys.com")</f>
        <v>martin.infante@patagoniansys.com</v>
      </c>
      <c r="F566" s="4" t="str">
        <f>IFERROR(__xludf.DUMMYFUNCTION("""COMPUTED_VALUE"""),"eddie.brenes@patagoniansys.com")</f>
        <v>eddie.brenes@patagoniansys.com</v>
      </c>
      <c r="G566" s="4" t="str">
        <f>IFERROR(__xludf.DUMMYFUNCTION("""COMPUTED_VALUE"""),"Referent One on One")</f>
        <v>Referent One on One</v>
      </c>
      <c r="H566" s="4"/>
      <c r="I566" s="6" t="str">
        <f>IFERROR(__xludf.DUMMYFUNCTION("""COMPUTED_VALUE"""),"- Interviewee e-Mail: eddie.brenes@patagoniansys.com
- Project Status Check: Estuvo trabajando mas con la parte de AWS y se ha sentido bien con el tema. Siente que ha agarrado mejor la mano en eso.
- Project Role | Feeling: 4
- Extra Work Hours | Amount: "&amp;"0 (Ningúna)
- Techs | Research: Airflow.
- Collaborator | Seniority: 👍 No, es correcto
- Final notes: Hay un poco de inquietud con un recorte sorpresivo en uno de los recursos del equipo. Intente transmitirle tranquilidad pero seria bueno aclararle este "&amp;"tema.
- Project Techs | Learning: 1
- Techs | Research: 1
- Project Techs | Difficulty: 3
- Project Changes | Reasons: 🟰 No hubo cambios
- Project Role | Value: 4
- Project role | Notes: Esta contento con su rol pero le molesta un poco los bloqueos exter"&amp;"nos que tardan en resolverse.")</f>
        <v>- Interviewee e-Mail: eddie.brenes@patagoniansys.com
- Project Status Check: Estuvo trabajando mas con la parte de AWS y se ha sentido bien con el tema. Siente que ha agarrado mejor la mano en eso.
- Project Role | Feeling: 4
- Extra Work Hours | Amount: 0 (Ningúna)
- Techs | Research: Airflow.
- Collaborator | Seniority: 👍 No, es correcto
- Final notes: Hay un poco de inquietud con un recorte sorpresivo en uno de los recursos del equipo. Intente transmitirle tranquilidad pero seria bueno aclararle este tema.
- Project Techs | Learning: 1
- Techs | Research: 1
- Project Techs | Difficulty: 3
- Project Changes | Reasons: 🟰 No hubo cambios
- Project Role | Value: 4
- Project role | Notes: Esta contento con su rol pero le molesta un poco los bloqueos externos que tardan en resolverse.</v>
      </c>
      <c r="J566" s="4" t="str">
        <f>IFERROR(__xludf.DUMMYFUNCTION("""COMPUTED_VALUE"""),"Tech Referent - OneOnOne")</f>
        <v>Tech Referent - OneOnOne</v>
      </c>
    </row>
    <row r="567">
      <c r="A567" s="4">
        <f>IFERROR(__xludf.DUMMYFUNCTION("""COMPUTED_VALUE"""),241.0)</f>
        <v>241</v>
      </c>
      <c r="B567" s="4" t="str">
        <f>IFERROR(__xludf.DUMMYFUNCTION("""COMPUTED_VALUE"""),"stuard.romero")</f>
        <v>stuard.romero</v>
      </c>
      <c r="C567" s="5">
        <f>IFERROR(__xludf.DUMMYFUNCTION("""COMPUTED_VALUE"""),45187.72073003473)</f>
        <v>45187.72073</v>
      </c>
      <c r="D567" s="5">
        <f>IFERROR(__xludf.DUMMYFUNCTION("""COMPUTED_VALUE"""),45187.0)</f>
        <v>45187</v>
      </c>
      <c r="E567" s="4" t="str">
        <f>IFERROR(__xludf.DUMMYFUNCTION("""COMPUTED_VALUE"""),"bruno.molina@patagoniansys.com")</f>
        <v>bruno.molina@patagoniansys.com</v>
      </c>
      <c r="F567" s="4" t="str">
        <f>IFERROR(__xludf.DUMMYFUNCTION("""COMPUTED_VALUE"""),"stuard.romero@patagonian.com")</f>
        <v>stuard.romero@patagonian.com</v>
      </c>
      <c r="G567" s="4" t="str">
        <f>IFERROR(__xludf.DUMMYFUNCTION("""COMPUTED_VALUE"""),"Referent One on One")</f>
        <v>Referent One on One</v>
      </c>
      <c r="H567" s="4"/>
      <c r="I567" s="6" t="str">
        <f>IFERROR(__xludf.DUMMYFUNCTION("""COMPUTED_VALUE"""),"- Interviewee e-Mail: stuard.romero@patagonian.com
- Project Status Check: ConnectAmericas - Toolkit
- Project Role | Feeling: 2
- Extra Work Hours | Amount: 10+ (Más de 10)
- Extra Work Hours | Reason: 💁‍♂️ Pedido del PM, cliente o proyecto
- Techs | Re"&amp;"search: No sin tiempo para ello
- Techs | Recomendations check: Si , pero no ha tenido tiempo
- Collaborator | Seniority: 👆 Si, es mayor al establecido
- Alerts: Motivacion , burn out (trabajaron bajo mucha presion los ultimos meses) y pedido de recatego"&amp;"rizacion!! Creo que habria que hablar con Stuard para aclarar un poco su panorama. Miedo de caer a Bench por recientes despedidos de algunos compañeros!
- Project Needs / Oportunities: Es un analisis mas complejo el que hay que hacer sobre este punto , ya"&amp;" que el proyecto se encuentra en crisis y los participantes estan con mucho stress.
- Final notes: Por favor revisar situacion con PM y ver si se le puede dar algun tipo de respuesta! Gracias
- Project Techs | Learning: 0
- Project Techs | Difficulty: 4
-"&amp;" Project Changes | Reasons: 🟰 No hubo cambios
- Project Role | Value: 2
- Project role | Notes: Mucha carga de trabajo y stress en los ultimos meses , seria ideal revisar su situacion para evitar un burn out.")</f>
        <v>- Interviewee e-Mail: stuard.romero@patagonian.com
- Project Status Check: ConnectAmericas - Toolkit
- Project Role | Feeling: 2
- Extra Work Hours | Amount: 10+ (Más de 10)
- Extra Work Hours | Reason: 💁‍♂️ Pedido del PM, cliente o proyecto
- Techs | Research: No sin tiempo para ello
- Techs | Recomendations check: Si , pero no ha tenido tiempo
- Collaborator | Seniority: 👆 Si, es mayor al establecido
- Alerts: Motivacion , burn out (trabajaron bajo mucha presion los ultimos meses) y pedido de recategorizacion!! Creo que habria que hablar con Stuard para aclarar un poco su panorama. Miedo de caer a Bench por recientes despedidos de algunos compañeros!
- Project Needs / Oportunities: Es un analisis mas complejo el que hay que hacer sobre este punto , ya que el proyecto se encuentra en crisis y los participantes estan con mucho stress.
- Final notes: Por favor revisar situacion con PM y ver si se le puede dar algun tipo de respuesta! Gracias
- Project Techs | Learning: 0
- Project Techs | Difficulty: 4
- Project Changes | Reasons: 🟰 No hubo cambios
- Project Role | Value: 2
- Project role | Notes: Mucha carga de trabajo y stress en los ultimos meses , seria ideal revisar su situacion para evitar un burn out.</v>
      </c>
      <c r="J567" s="4" t="str">
        <f>IFERROR(__xludf.DUMMYFUNCTION("""COMPUTED_VALUE"""),"Tech Referent - OneOnOne")</f>
        <v>Tech Referent - OneOnOne</v>
      </c>
    </row>
    <row r="568" hidden="1">
      <c r="A568" s="4">
        <f>IFERROR(__xludf.DUMMYFUNCTION("""COMPUTED_VALUE"""),315.0)</f>
        <v>315</v>
      </c>
      <c r="B568" s="4" t="str">
        <f>IFERROR(__xludf.DUMMYFUNCTION("""COMPUTED_VALUE"""),"juan.lara")</f>
        <v>juan.lara</v>
      </c>
      <c r="C568" s="5">
        <f>IFERROR(__xludf.DUMMYFUNCTION("""COMPUTED_VALUE"""),45187.74167)</f>
        <v>45187.74167</v>
      </c>
      <c r="D568" s="5">
        <f>IFERROR(__xludf.DUMMYFUNCTION("""COMPUTED_VALUE"""),45187.0)</f>
        <v>45187</v>
      </c>
      <c r="E568" s="4" t="str">
        <f>IFERROR(__xludf.DUMMYFUNCTION("""COMPUTED_VALUE"""),"daniela.morales@patagoniansys.com")</f>
        <v>daniela.morales@patagoniansys.com</v>
      </c>
      <c r="F568" s="4" t="str">
        <f>IFERROR(__xludf.DUMMYFUNCTION("""COMPUTED_VALUE"""),"juan.lara@patagoniansys.com")</f>
        <v>juan.lara@patagoniansys.com</v>
      </c>
      <c r="G568" s="4" t="str">
        <f>IFERROR(__xludf.DUMMYFUNCTION("""COMPUTED_VALUE"""),"⏱ One on One")</f>
        <v>⏱ One on One</v>
      </c>
      <c r="H568" s="4" t="str">
        <f>IFERROR(__xludf.DUMMYFUNCTION("""COMPUTED_VALUE"""),"🙂 Feliz")</f>
        <v>🙂 Feliz</v>
      </c>
      <c r="I568" s="6" t="str">
        <f>IFERROR(__xludf.DUMMYFUNCTION("""COMPUTED_VALUE"""),"Se encuentra bastante contento con el proyecto y con el equipo, en general todo marcha bastante bien. ")</f>
        <v>Se encuentra bastante contento con el proyecto y con el equipo, en general todo marcha bastante bien. </v>
      </c>
      <c r="J568" s="4" t="str">
        <f>IFERROR(__xludf.DUMMYFUNCTION("""COMPUTED_VALUE"""),"PX|Referents|RRHH")</f>
        <v>PX|Referents|RRHH</v>
      </c>
    </row>
    <row r="569" hidden="1">
      <c r="A569" s="4">
        <f>IFERROR(__xludf.DUMMYFUNCTION("""COMPUTED_VALUE"""),254.0)</f>
        <v>254</v>
      </c>
      <c r="B569" s="4" t="str">
        <f>IFERROR(__xludf.DUMMYFUNCTION("""COMPUTED_VALUE"""),"ismael.cespedes")</f>
        <v>ismael.cespedes</v>
      </c>
      <c r="C569" s="5">
        <f>IFERROR(__xludf.DUMMYFUNCTION("""COMPUTED_VALUE"""),45187.74250215278)</f>
        <v>45187.7425</v>
      </c>
      <c r="D569" s="5">
        <f>IFERROR(__xludf.DUMMYFUNCTION("""COMPUTED_VALUE"""),45187.0)</f>
        <v>45187</v>
      </c>
      <c r="E569" s="4" t="str">
        <f>IFERROR(__xludf.DUMMYFUNCTION("""COMPUTED_VALUE"""),"daniela.morales@patagoniansys.com")</f>
        <v>daniela.morales@patagoniansys.com</v>
      </c>
      <c r="F569" s="4" t="str">
        <f>IFERROR(__xludf.DUMMYFUNCTION("""COMPUTED_VALUE"""),"ismael.cespedes@patagoniansys.com")</f>
        <v>ismael.cespedes@patagoniansys.com</v>
      </c>
      <c r="G569" s="4" t="str">
        <f>IFERROR(__xludf.DUMMYFUNCTION("""COMPUTED_VALUE"""),"⏱ One on One")</f>
        <v>⏱ One on One</v>
      </c>
      <c r="H569" s="4" t="str">
        <f>IFERROR(__xludf.DUMMYFUNCTION("""COMPUTED_VALUE"""),"🙂 Feliz")</f>
        <v>🙂 Feliz</v>
      </c>
      <c r="I569" s="6" t="str">
        <f>IFERROR(__xludf.DUMMYFUNCTION("""COMPUTED_VALUE"""),"Está bastante contento con la empresa y con el equipo, se ha sentido mucho más integrado ahora que está con proyectos más internos. En general está bastante bien. ")</f>
        <v>Está bastante contento con la empresa y con el equipo, se ha sentido mucho más integrado ahora que está con proyectos más internos. En general está bastante bien. </v>
      </c>
      <c r="J569" s="4" t="str">
        <f>IFERROR(__xludf.DUMMYFUNCTION("""COMPUTED_VALUE"""),"PX|Referents|RRHH")</f>
        <v>PX|Referents|RRHH</v>
      </c>
    </row>
    <row r="570" hidden="1">
      <c r="A570" s="4">
        <f>IFERROR(__xludf.DUMMYFUNCTION("""COMPUTED_VALUE"""),311.0)</f>
        <v>311</v>
      </c>
      <c r="B570" s="4" t="str">
        <f>IFERROR(__xludf.DUMMYFUNCTION("""COMPUTED_VALUE"""),"andres.murillo")</f>
        <v>andres.murillo</v>
      </c>
      <c r="C570" s="5">
        <f>IFERROR(__xludf.DUMMYFUNCTION("""COMPUTED_VALUE"""),45187.74368854167)</f>
        <v>45187.74369</v>
      </c>
      <c r="D570" s="5">
        <f>IFERROR(__xludf.DUMMYFUNCTION("""COMPUTED_VALUE"""),45187.0)</f>
        <v>45187</v>
      </c>
      <c r="E570" s="4" t="str">
        <f>IFERROR(__xludf.DUMMYFUNCTION("""COMPUTED_VALUE"""),"daniela.morales@patagoniansys.com")</f>
        <v>daniela.morales@patagoniansys.com</v>
      </c>
      <c r="F570" s="4" t="str">
        <f>IFERROR(__xludf.DUMMYFUNCTION("""COMPUTED_VALUE"""),"andres.murillo@patagoniansys.com")</f>
        <v>andres.murillo@patagoniansys.com</v>
      </c>
      <c r="G570" s="4" t="str">
        <f>IFERROR(__xludf.DUMMYFUNCTION("""COMPUTED_VALUE"""),"⏱ One on One")</f>
        <v>⏱ One on One</v>
      </c>
      <c r="H570" s="4" t="str">
        <f>IFERROR(__xludf.DUMMYFUNCTION("""COMPUTED_VALUE"""),"🙂 Feliz")</f>
        <v>🙂 Feliz</v>
      </c>
      <c r="I570" s="6" t="str">
        <f>IFERROR(__xludf.DUMMYFUNCTION("""COMPUTED_VALUE"""),"En general se encuentra bastante bien, le ha gustado mucho que no se siente estresado por el proyecto ni nada por el estilo, se siente tranquilo en Patagonian, su equipo y su proyecto le gustan bastante.  ")</f>
        <v>En general se encuentra bastante bien, le ha gustado mucho que no se siente estresado por el proyecto ni nada por el estilo, se siente tranquilo en Patagonian, su equipo y su proyecto le gustan bastante.  </v>
      </c>
      <c r="J570" s="4" t="str">
        <f>IFERROR(__xludf.DUMMYFUNCTION("""COMPUTED_VALUE"""),"PX|Referents|RRHH")</f>
        <v>PX|Referents|RRHH</v>
      </c>
    </row>
    <row r="571" hidden="1">
      <c r="A571" s="4">
        <f>IFERROR(__xludf.DUMMYFUNCTION("""COMPUTED_VALUE"""),319.0)</f>
        <v>319</v>
      </c>
      <c r="B571" s="4" t="str">
        <f>IFERROR(__xludf.DUMMYFUNCTION("""COMPUTED_VALUE"""),"kharoly.cordova")</f>
        <v>kharoly.cordova</v>
      </c>
      <c r="C571" s="5">
        <f>IFERROR(__xludf.DUMMYFUNCTION("""COMPUTED_VALUE"""),45187.744854537035)</f>
        <v>45187.74485</v>
      </c>
      <c r="D571" s="5">
        <f>IFERROR(__xludf.DUMMYFUNCTION("""COMPUTED_VALUE"""),45187.0)</f>
        <v>45187</v>
      </c>
      <c r="E571" s="4" t="str">
        <f>IFERROR(__xludf.DUMMYFUNCTION("""COMPUTED_VALUE"""),"daniela.morales@patagoniansys.com")</f>
        <v>daniela.morales@patagoniansys.com</v>
      </c>
      <c r="F571" s="4" t="str">
        <f>IFERROR(__xludf.DUMMYFUNCTION("""COMPUTED_VALUE"""),"kharoly.cordova@patagoniansys.com")</f>
        <v>kharoly.cordova@patagoniansys.com</v>
      </c>
      <c r="G571" s="4" t="str">
        <f>IFERROR(__xludf.DUMMYFUNCTION("""COMPUTED_VALUE"""),"⏱ One on One")</f>
        <v>⏱ One on One</v>
      </c>
      <c r="H571" s="4" t="str">
        <f>IFERROR(__xludf.DUMMYFUNCTION("""COMPUTED_VALUE"""),"🙂 Feliz")</f>
        <v>🙂 Feliz</v>
      </c>
      <c r="I571" s="6" t="str">
        <f>IFERROR(__xludf.DUMMYFUNCTION("""COMPUTED_VALUE"""),"Se encuentra bastante bien con su proyecto actual, el cual termina este mes, tenía algunas dudas frente a acceso a beneficios las cuales fueron resultas en la call. ")</f>
        <v>Se encuentra bastante bien con su proyecto actual, el cual termina este mes, tenía algunas dudas frente a acceso a beneficios las cuales fueron resultas en la call. </v>
      </c>
      <c r="J571" s="4" t="str">
        <f>IFERROR(__xludf.DUMMYFUNCTION("""COMPUTED_VALUE"""),"PX|Referents|RRHH")</f>
        <v>PX|Referents|RRHH</v>
      </c>
    </row>
    <row r="572">
      <c r="A572" s="4">
        <f>IFERROR(__xludf.DUMMYFUNCTION("""COMPUTED_VALUE"""),284.0)</f>
        <v>284</v>
      </c>
      <c r="B572" s="4" t="str">
        <f>IFERROR(__xludf.DUMMYFUNCTION("""COMPUTED_VALUE"""),"emmanuel.trassani")</f>
        <v>emmanuel.trassani</v>
      </c>
      <c r="C572" s="5">
        <f>IFERROR(__xludf.DUMMYFUNCTION("""COMPUTED_VALUE"""),45188.461798310185)</f>
        <v>45188.4618</v>
      </c>
      <c r="D572" s="5">
        <f>IFERROR(__xludf.DUMMYFUNCTION("""COMPUTED_VALUE"""),45188.0)</f>
        <v>45188</v>
      </c>
      <c r="E572" s="4" t="str">
        <f>IFERROR(__xludf.DUMMYFUNCTION("""COMPUTED_VALUE"""),"juan.calou@patagoniansys.com")</f>
        <v>juan.calou@patagoniansys.com</v>
      </c>
      <c r="F572" s="4" t="str">
        <f>IFERROR(__xludf.DUMMYFUNCTION("""COMPUTED_VALUE"""),"emmanuel.trassani@patagoniansys.com")</f>
        <v>emmanuel.trassani@patagoniansys.com</v>
      </c>
      <c r="G572" s="4" t="str">
        <f>IFERROR(__xludf.DUMMYFUNCTION("""COMPUTED_VALUE"""),"Referent One on One")</f>
        <v>Referent One on One</v>
      </c>
      <c r="H572" s="4"/>
      <c r="I572" s="6" t="str">
        <f>IFERROR(__xludf.DUMMYFUNCTION("""COMPUTED_VALUE"""),"- Interviewee e-Mail: emmanuel.trassani@patagoniansys.com
- Project Status Check: Bien, Esta bueno. Varios cambios. Volviendo a tocar cosas de front
- Project Changes | Notes: recien ahora se aprueban los cambios
- Project Role | Feeling: 4
- Extra Work H"&amp;"ours | Amount: 0 (Ningúna)
- Techs | Research: Trabajando un poco con node.
- Collaborator | Seniority: 👍 No, es correcto
- Alerts: Lo veo bien. Motivado. Le gusta el proyecto y siente que hay desafios nuevos. Esta contento con Pata. Estuvimos hablando s"&amp;"obre el career path y me dijo que le cuesta porque siempre que tiene tiempo libre esta como cansado, y que ver solo teoria no es tan bueno, que el aprende mas con la practica.
- Final notes: Lo veo muy bien. En su proyecto hace frontend, cosas que le gust"&amp;"an, features nuevos que lo van desafiando. Tambien aprende algo de backend. Siempre es agradable hablar con el, se siente muy contento con Pata y es siempre positivo.
- Project Techs | Learning: 1
- Project Techs | Difficulty: 3
- Project Changes | Reason"&amp;"s: cambios en el producto
- Project Changes | Personal Impact: 4
- Project Role | Value: 4
- Project role | Notes: esta contento")</f>
        <v>- Interviewee e-Mail: emmanuel.trassani@patagoniansys.com
- Project Status Check: Bien, Esta bueno. Varios cambios. Volviendo a tocar cosas de front
- Project Changes | Notes: recien ahora se aprueban los cambios
- Project Role | Feeling: 4
- Extra Work Hours | Amount: 0 (Ningúna)
- Techs | Research: Trabajando un poco con node.
- Collaborator | Seniority: 👍 No, es correcto
- Alerts: Lo veo bien. Motivado. Le gusta el proyecto y siente que hay desafios nuevos. Esta contento con Pata. Estuvimos hablando sobre el career path y me dijo que le cuesta porque siempre que tiene tiempo libre esta como cansado, y que ver solo teoria no es tan bueno, que el aprende mas con la practica.
- Final notes: Lo veo muy bien. En su proyecto hace frontend, cosas que le gustan, features nuevos que lo van desafiando. Tambien aprende algo de backend. Siempre es agradable hablar con el, se siente muy contento con Pata y es siempre positivo.
- Project Techs | Learning: 1
- Project Techs | Difficulty: 3
- Project Changes | Reasons: cambios en el producto
- Project Changes | Personal Impact: 4
- Project Role | Value: 4
- Project role | Notes: esta contento</v>
      </c>
      <c r="J572" s="4" t="str">
        <f>IFERROR(__xludf.DUMMYFUNCTION("""COMPUTED_VALUE"""),"Tech Referent - OneOnOne")</f>
        <v>Tech Referent - OneOnOne</v>
      </c>
    </row>
    <row r="573">
      <c r="A573" s="4">
        <f>IFERROR(__xludf.DUMMYFUNCTION("""COMPUTED_VALUE"""),22.0)</f>
        <v>22</v>
      </c>
      <c r="B573" s="4" t="str">
        <f>IFERROR(__xludf.DUMMYFUNCTION("""COMPUTED_VALUE"""),"jmartinez")</f>
        <v>jmartinez</v>
      </c>
      <c r="C573" s="5">
        <f>IFERROR(__xludf.DUMMYFUNCTION("""COMPUTED_VALUE"""),45188.479921886574)</f>
        <v>45188.47992</v>
      </c>
      <c r="D573" s="5">
        <f>IFERROR(__xludf.DUMMYFUNCTION("""COMPUTED_VALUE"""),45188.0)</f>
        <v>45188</v>
      </c>
      <c r="E573" s="4" t="str">
        <f>IFERROR(__xludf.DUMMYFUNCTION("""COMPUTED_VALUE"""),"brayan.barrios@patagoniansys.com")</f>
        <v>brayan.barrios@patagoniansys.com</v>
      </c>
      <c r="F573" s="4" t="str">
        <f>IFERROR(__xludf.DUMMYFUNCTION("""COMPUTED_VALUE"""),"jmartinez@patagonian.com")</f>
        <v>jmartinez@patagonian.com</v>
      </c>
      <c r="G573" s="4" t="str">
        <f>IFERROR(__xludf.DUMMYFUNCTION("""COMPUTED_VALUE"""),"Referent One on One")</f>
        <v>Referent One on One</v>
      </c>
      <c r="H573" s="4"/>
      <c r="I573" s="6" t="str">
        <f>IFERROR(__xludf.DUMMYFUNCTION("""COMPUTED_VALUE"""),"- Interviewee e-Mail: jmartinez@patagonian.com
- Project Status Check: Han estado trabajando en el Game Maker y solucionar deuda tecnica.
- Project Changes | Notes: Hay seguridad en que no es algo que Dan piensa nada mas, sino que fue validado en Shark Ta"&amp;"nk. Ahora van a implementar un tutorial v7.
- Project Role | Feeling: 4
- Extra Work Hours | Amount: 5+ (Más de 5)
- Extra Work Hours | Reason: 🙋Decisión propia, Sales Support
- Techs | Recomendations: Vamos a seguir trabajando en la certificacion de AWS"&amp;"
- Collaborator | Seniority: 👍 No, es correcto
- Alerts: Tal vez algo de motivacion, los cambios constantes son un desafio.
- Project Needs / Oportunities: Patagonian consiguio personas que no rendian, hay que estar atentos para sumar personas cuando hay"&amp;"a presupuesto, porque quieren sumar a alguien ios y otro android. El problema es que Dan identifico falta de performance y esto lo desanimo de buscar personas en la empresa. Por lo cual otra oportunidad es implementar metricas de rendimiento que permitan "&amp;"saber el rendimiento de los colaboradores.
- Project Techs | Learning: 10
- Project Techs | Difficulty: 3
- Project Changes | Reasons: 🏁 Cambios en los objetivos
- Project Changes | Personal Impact: 5
- Project Role | Value: 5
- Project role | Notes: Le "&amp;"gusta el rol, sin embargo, ocasionalmente tener otras actividades le ayuda a despejar la mente. El rol de TL le gusta mucho.")</f>
        <v>- Interviewee e-Mail: jmartinez@patagonian.com
- Project Status Check: Han estado trabajando en el Game Maker y solucionar deuda tecnica.
- Project Changes | Notes: Hay seguridad en que no es algo que Dan piensa nada mas, sino que fue validado en Shark Tank. Ahora van a implementar un tutorial v7.
- Project Role | Feeling: 4
- Extra Work Hours | Amount: 5+ (Más de 5)
- Extra Work Hours | Reason: 🙋Decisión propia, Sales Support
- Techs | Recomendations: Vamos a seguir trabajando en la certificacion de AWS
- Collaborator | Seniority: 👍 No, es correcto
- Alerts: Tal vez algo de motivacion, los cambios constantes son un desafio.
- Project Needs / Oportunities: Patagonian consiguio personas que no rendian, hay que estar atentos para sumar personas cuando haya presupuesto, porque quieren sumar a alguien ios y otro android. El problema es que Dan identifico falta de performance y esto lo desanimo de buscar personas en la empresa. Por lo cual otra oportunidad es implementar metricas de rendimiento que permitan saber el rendimiento de los colaboradores.
- Project Techs | Learning: 10
- Project Techs | Difficulty: 3
- Project Changes | Reasons: 🏁 Cambios en los objetivos
- Project Changes | Personal Impact: 5
- Project Role | Value: 5
- Project role | Notes: Le gusta el rol, sin embargo, ocasionalmente tener otras actividades le ayuda a despejar la mente. El rol de TL le gusta mucho.</v>
      </c>
      <c r="J573" s="4" t="str">
        <f>IFERROR(__xludf.DUMMYFUNCTION("""COMPUTED_VALUE"""),"Tech Referent - OneOnOne")</f>
        <v>Tech Referent - OneOnOne</v>
      </c>
    </row>
    <row r="574">
      <c r="A574" s="4">
        <f>IFERROR(__xludf.DUMMYFUNCTION("""COMPUTED_VALUE"""),283.0)</f>
        <v>283</v>
      </c>
      <c r="B574" s="4" t="str">
        <f>IFERROR(__xludf.DUMMYFUNCTION("""COMPUTED_VALUE"""),"benjamin.bascary")</f>
        <v>benjamin.bascary</v>
      </c>
      <c r="C574" s="5">
        <f>IFERROR(__xludf.DUMMYFUNCTION("""COMPUTED_VALUE"""),45188.60004369213)</f>
        <v>45188.60004</v>
      </c>
      <c r="D574" s="5">
        <f>IFERROR(__xludf.DUMMYFUNCTION("""COMPUTED_VALUE"""),45188.0)</f>
        <v>45188</v>
      </c>
      <c r="E574" s="4" t="str">
        <f>IFERROR(__xludf.DUMMYFUNCTION("""COMPUTED_VALUE"""),"daniel.mansilla@patagoniansys.com")</f>
        <v>daniel.mansilla@patagoniansys.com</v>
      </c>
      <c r="F574" s="4" t="str">
        <f>IFERROR(__xludf.DUMMYFUNCTION("""COMPUTED_VALUE"""),"benjamin.bascary@patagonian.com")</f>
        <v>benjamin.bascary@patagonian.com</v>
      </c>
      <c r="G574" s="4" t="str">
        <f>IFERROR(__xludf.DUMMYFUNCTION("""COMPUTED_VALUE"""),"Referent One on One")</f>
        <v>Referent One on One</v>
      </c>
      <c r="H574" s="4"/>
      <c r="I574" s="6" t="str">
        <f>IFERROR(__xludf.DUMMYFUNCTION("""COMPUTED_VALUE"""),"- Interviewee e-Mail: benjamin.bascary@patagonian.com
- Project Status Check: En el último tiempo ha dedicado la mayor parte del tiempo en algo nuevo que tiene que ver con Data por lo que está cómodo con las tareas actuales en el proyecto.
- Project Role "&amp;"| Feeling: 4
- Extra Work Hours | Amount: 0 (Ningúna)
- Techs | Research: AI, Machine Learning. NextJS.
- Collaborator | Seniority: 👍 No, es correcto
- Alerts: Nada para destacar.
- Project Techs | Learning: 10
- Project Techs | Difficulty: 3
- Project C"&amp;"hanges | Reasons: 🟰 No hubo cambios
- Project Role | Value: 4
- Project role | Notes: Como ahora se ha orientado el trabajo a cuestiones de recolección de datos para posteriormente procesarlos (Data), se siente muy cómodo porque es un tema que le interes"&amp;"a mucho.")</f>
        <v>- Interviewee e-Mail: benjamin.bascary@patagonian.com
- Project Status Check: En el último tiempo ha dedicado la mayor parte del tiempo en algo nuevo que tiene que ver con Data por lo que está cómodo con las tareas actuales en el proyecto.
- Project Role | Feeling: 4
- Extra Work Hours | Amount: 0 (Ningúna)
- Techs | Research: AI, Machine Learning. NextJS.
- Collaborator | Seniority: 👍 No, es correcto
- Alerts: Nada para destacar.
- Project Techs | Learning: 10
- Project Techs | Difficulty: 3
- Project Changes | Reasons: 🟰 No hubo cambios
- Project Role | Value: 4
- Project role | Notes: Como ahora se ha orientado el trabajo a cuestiones de recolección de datos para posteriormente procesarlos (Data), se siente muy cómodo porque es un tema que le interesa mucho.</v>
      </c>
      <c r="J574" s="4" t="str">
        <f>IFERROR(__xludf.DUMMYFUNCTION("""COMPUTED_VALUE"""),"Tech Referent - OneOnOne")</f>
        <v>Tech Referent - OneOnOne</v>
      </c>
    </row>
    <row r="575">
      <c r="A575" s="4">
        <f>IFERROR(__xludf.DUMMYFUNCTION("""COMPUTED_VALUE"""),234.0)</f>
        <v>234</v>
      </c>
      <c r="B575" s="4" t="str">
        <f>IFERROR(__xludf.DUMMYFUNCTION("""COMPUTED_VALUE"""),"matias.gudar")</f>
        <v>matias.gudar</v>
      </c>
      <c r="C575" s="5">
        <f>IFERROR(__xludf.DUMMYFUNCTION("""COMPUTED_VALUE"""),45188.60405628472)</f>
        <v>45188.60406</v>
      </c>
      <c r="D575" s="5">
        <f>IFERROR(__xludf.DUMMYFUNCTION("""COMPUTED_VALUE"""),45188.0)</f>
        <v>45188</v>
      </c>
      <c r="E575" s="4" t="str">
        <f>IFERROR(__xludf.DUMMYFUNCTION("""COMPUTED_VALUE"""),"martin.infante@patagoniansys.com")</f>
        <v>martin.infante@patagoniansys.com</v>
      </c>
      <c r="F575" s="4" t="str">
        <f>IFERROR(__xludf.DUMMYFUNCTION("""COMPUTED_VALUE"""),"matias.gudar@patagoniansys.com")</f>
        <v>matias.gudar@patagoniansys.com</v>
      </c>
      <c r="G575" s="4" t="str">
        <f>IFERROR(__xludf.DUMMYFUNCTION("""COMPUTED_VALUE"""),"Referent One on One")</f>
        <v>Referent One on One</v>
      </c>
      <c r="H575" s="4"/>
      <c r="I575" s="6" t="str">
        <f>IFERROR(__xludf.DUMMYFUNCTION("""COMPUTED_VALUE"""),"- Interviewee e-Mail: matias.gudar@patagoniansys.com
- Project Status Check: Refactors, un pequenio proyecto lateral para generar algunos datasets para marketing. No ha necesitado ayuda por fuera de algunas charlas diarias.
- Project Role | Feeling: 4
- E"&amp;"xtra Work Hours | Amount: 0 (Ningúna)
- Collaborator | Seniority: 👍 No, es correcto
- Final notes: El demostro interes en el Patagonian BI y quedo en que lo iban a contactar cuando estuvieran sus credenciales pero eso nunca sucedio.
- Project Techs | Lea"&amp;"rning: 2
- Project Techs | Difficulty: 3
- Project Changes | Reasons: 🟰 No hubo cambios
- Project Role | Value: 4
- Project role | Notes: Por momentos es un poco repetitivo. Le gustaria probar algunas tools nuevas.")</f>
        <v>- Interviewee e-Mail: matias.gudar@patagoniansys.com
- Project Status Check: Refactors, un pequenio proyecto lateral para generar algunos datasets para marketing. No ha necesitado ayuda por fuera de algunas charlas diarias.
- Project Role | Feeling: 4
- Extra Work Hours | Amount: 0 (Ningúna)
- Collaborator | Seniority: 👍 No, es correcto
- Final notes: El demostro interes en el Patagonian BI y quedo en que lo iban a contactar cuando estuvieran sus credenciales pero eso nunca sucedio.
- Project Techs | Learning: 2
- Project Techs | Difficulty: 3
- Project Changes | Reasons: 🟰 No hubo cambios
- Project Role | Value: 4
- Project role | Notes: Por momentos es un poco repetitivo. Le gustaria probar algunas tools nuevas.</v>
      </c>
      <c r="J575" s="4" t="str">
        <f>IFERROR(__xludf.DUMMYFUNCTION("""COMPUTED_VALUE"""),"Tech Referent - OneOnOne")</f>
        <v>Tech Referent - OneOnOne</v>
      </c>
    </row>
    <row r="576">
      <c r="A576" s="4">
        <f>IFERROR(__xludf.DUMMYFUNCTION("""COMPUTED_VALUE"""),5.0)</f>
        <v>5</v>
      </c>
      <c r="B576" s="4" t="str">
        <f>IFERROR(__xludf.DUMMYFUNCTION("""COMPUTED_VALUE"""),"bruno.molina")</f>
        <v>bruno.molina</v>
      </c>
      <c r="C576" s="5">
        <f>IFERROR(__xludf.DUMMYFUNCTION("""COMPUTED_VALUE"""),45188.642133877314)</f>
        <v>45188.64213</v>
      </c>
      <c r="D576" s="5">
        <f>IFERROR(__xludf.DUMMYFUNCTION("""COMPUTED_VALUE"""),45188.0)</f>
        <v>45188</v>
      </c>
      <c r="E576" s="4" t="str">
        <f>IFERROR(__xludf.DUMMYFUNCTION("""COMPUTED_VALUE"""),"brayan.barrios@patagoniansys.com")</f>
        <v>brayan.barrios@patagoniansys.com</v>
      </c>
      <c r="F576" s="4" t="str">
        <f>IFERROR(__xludf.DUMMYFUNCTION("""COMPUTED_VALUE"""),"bruno.molina@patagonian.com")</f>
        <v>bruno.molina@patagonian.com</v>
      </c>
      <c r="G576" s="4" t="str">
        <f>IFERROR(__xludf.DUMMYFUNCTION("""COMPUTED_VALUE"""),"Referent One on One")</f>
        <v>Referent One on One</v>
      </c>
      <c r="H576" s="4"/>
      <c r="I576" s="6" t="str">
        <f>IFERROR(__xludf.DUMMYFUNCTION("""COMPUTED_VALUE"""),"- Interviewee e-Mail: bruno.molina@patagonian.com
- Project Status Check: En muchos proyectos, Eyethena, Mbody, Sinarame, Connect Americas, BID WebTools.
- Project Role | Feeling: 2
- Extra Work Hours | Amount: 5+ (Más de 5)
- Extra Work Hours | Reason: T"&amp;"iene muchos proyectos en su ownership.
- Techs | Research: No ha tenido tiempo para investigar cosas del interes propio.
- Collaborator | Seniority: 👍 No, es correcto
- Alerts: Tiempo y organizacion pero no por parte del colaborador sino de los managers "&amp;"de los proyectos en los que participa.
- Project Needs / Oportunities: Necesitamos ampliar el equipo de arquitectura con roles y disponibilidad como el de Bruno
- Project Techs | Learning: 0
- Techs | Research: 0
- Project Techs | Difficulty: 3
- Project "&amp;"Changes | Reasons: Hay nuevos proyectos, sin disminuir la carga de los anteriores.
- Project Changes | Personal Impact: 3
- Project Role | Value: 5
- Project role | Notes: El rol esta bueno, pero la responsabilidad lo que nos va a llevar es a que se queme"&amp;".")</f>
        <v>- Interviewee e-Mail: bruno.molina@patagonian.com
- Project Status Check: En muchos proyectos, Eyethena, Mbody, Sinarame, Connect Americas, BID WebTools.
- Project Role | Feeling: 2
- Extra Work Hours | Amount: 5+ (Más de 5)
- Extra Work Hours | Reason: Tiene muchos proyectos en su ownership.
- Techs | Research: No ha tenido tiempo para investigar cosas del interes propio.
- Collaborator | Seniority: 👍 No, es correcto
- Alerts: Tiempo y organizacion pero no por parte del colaborador sino de los managers de los proyectos en los que participa.
- Project Needs / Oportunities: Necesitamos ampliar el equipo de arquitectura con roles y disponibilidad como el de Bruno
- Project Techs | Learning: 0
- Techs | Research: 0
- Project Techs | Difficulty: 3
- Project Changes | Reasons: Hay nuevos proyectos, sin disminuir la carga de los anteriores.
- Project Changes | Personal Impact: 3
- Project Role | Value: 5
- Project role | Notes: El rol esta bueno, pero la responsabilidad lo que nos va a llevar es a que se queme.</v>
      </c>
      <c r="J576" s="4" t="str">
        <f>IFERROR(__xludf.DUMMYFUNCTION("""COMPUTED_VALUE"""),"Tech Referent - OneOnOne")</f>
        <v>Tech Referent - OneOnOne</v>
      </c>
    </row>
    <row r="577" hidden="1">
      <c r="A577" s="4">
        <f>IFERROR(__xludf.DUMMYFUNCTION("""COMPUTED_VALUE"""),162.0)</f>
        <v>162</v>
      </c>
      <c r="B577" s="4" t="str">
        <f>IFERROR(__xludf.DUMMYFUNCTION("""COMPUTED_VALUE"""),"cristian.cortes")</f>
        <v>cristian.cortes</v>
      </c>
      <c r="C577" s="5">
        <f>IFERROR(__xludf.DUMMYFUNCTION("""COMPUTED_VALUE"""),45189.566207662036)</f>
        <v>45189.56621</v>
      </c>
      <c r="D577" s="5">
        <f>IFERROR(__xludf.DUMMYFUNCTION("""COMPUTED_VALUE"""),45188.0)</f>
        <v>45188</v>
      </c>
      <c r="E577" s="4" t="str">
        <f>IFERROR(__xludf.DUMMYFUNCTION("""COMPUTED_VALUE"""),"daniela.morales@patagoniansys.com")</f>
        <v>daniela.morales@patagoniansys.com</v>
      </c>
      <c r="F577" s="4" t="str">
        <f>IFERROR(__xludf.DUMMYFUNCTION("""COMPUTED_VALUE"""),"cristian.cortes@patagoniansys.com")</f>
        <v>cristian.cortes@patagoniansys.com</v>
      </c>
      <c r="G577" s="4" t="str">
        <f>IFERROR(__xludf.DUMMYFUNCTION("""COMPUTED_VALUE"""),"⏱ One on One")</f>
        <v>⏱ One on One</v>
      </c>
      <c r="H577" s="4" t="str">
        <f>IFERROR(__xludf.DUMMYFUNCTION("""COMPUTED_VALUE"""),"🙂 Feliz")</f>
        <v>🙂 Feliz</v>
      </c>
      <c r="I577" s="6" t="str">
        <f>IFERROR(__xludf.DUMMYFUNCTION("""COMPUTED_VALUE"""),"Está bastante bien, está contento, aunque un poco preocupado por el tema de bench. Ha estado colaborando en diferentes proyectos y esperando a que lo asignen a algún proyecto fijo. ")</f>
        <v>Está bastante bien, está contento, aunque un poco preocupado por el tema de bench. Ha estado colaborando en diferentes proyectos y esperando a que lo asignen a algún proyecto fijo. </v>
      </c>
      <c r="J577" s="4" t="str">
        <f>IFERROR(__xludf.DUMMYFUNCTION("""COMPUTED_VALUE"""),"PX|Referents|RRHH")</f>
        <v>PX|Referents|RRHH</v>
      </c>
    </row>
    <row r="578" hidden="1">
      <c r="A578" s="4">
        <f>IFERROR(__xludf.DUMMYFUNCTION("""COMPUTED_VALUE"""),169.0)</f>
        <v>169</v>
      </c>
      <c r="B578" s="4" t="str">
        <f>IFERROR(__xludf.DUMMYFUNCTION("""COMPUTED_VALUE"""),"brayan.barrios")</f>
        <v>brayan.barrios</v>
      </c>
      <c r="C578" s="5">
        <f>IFERROR(__xludf.DUMMYFUNCTION("""COMPUTED_VALUE"""),45189.57039517361)</f>
        <v>45189.5704</v>
      </c>
      <c r="D578" s="5">
        <f>IFERROR(__xludf.DUMMYFUNCTION("""COMPUTED_VALUE"""),45188.0)</f>
        <v>45188</v>
      </c>
      <c r="E578" s="4" t="str">
        <f>IFERROR(__xludf.DUMMYFUNCTION("""COMPUTED_VALUE"""),"daniela.morales@patagoniansys.com")</f>
        <v>daniela.morales@patagoniansys.com</v>
      </c>
      <c r="F578" s="4" t="str">
        <f>IFERROR(__xludf.DUMMYFUNCTION("""COMPUTED_VALUE"""),"brayan.barrios@patagoniansys.com")</f>
        <v>brayan.barrios@patagoniansys.com</v>
      </c>
      <c r="G578" s="4" t="str">
        <f>IFERROR(__xludf.DUMMYFUNCTION("""COMPUTED_VALUE"""),"⏱ One on One")</f>
        <v>⏱ One on One</v>
      </c>
      <c r="H578" s="4" t="str">
        <f>IFERROR(__xludf.DUMMYFUNCTION("""COMPUTED_VALUE"""),"🙂 Feliz")</f>
        <v>🙂 Feliz</v>
      </c>
      <c r="I578" s="6" t="str">
        <f>IFERROR(__xludf.DUMMYFUNCTION("""COMPUTED_VALUE"""),"Se encuentra más calmado con respecto a la cantidad de tareas que tiene asignadas, hace poco estuvo dudando sobre la relevancia del trabajo que realiza pero pudo recuperar el foco y continuar con un propósito más definido. Se encuentra bastante bien en ge"&amp;"neral, me consultó sobre el tema de evaluación de desempeño y la posibilidad de hacer una evaluación más integral para el área de arquitectura. ")</f>
        <v>Se encuentra más calmado con respecto a la cantidad de tareas que tiene asignadas, hace poco estuvo dudando sobre la relevancia del trabajo que realiza pero pudo recuperar el foco y continuar con un propósito más definido. Se encuentra bastante bien en general, me consultó sobre el tema de evaluación de desempeño y la posibilidad de hacer una evaluación más integral para el área de arquitectura. </v>
      </c>
      <c r="J578" s="4" t="str">
        <f>IFERROR(__xludf.DUMMYFUNCTION("""COMPUTED_VALUE"""),"PX|Referents|RRHH")</f>
        <v>PX|Referents|RRHH</v>
      </c>
    </row>
    <row r="579" hidden="1">
      <c r="A579" s="4">
        <f>IFERROR(__xludf.DUMMYFUNCTION("""COMPUTED_VALUE"""),316.0)</f>
        <v>316</v>
      </c>
      <c r="B579" s="4" t="str">
        <f>IFERROR(__xludf.DUMMYFUNCTION("""COMPUTED_VALUE"""),"eddie.brenes")</f>
        <v>eddie.brenes</v>
      </c>
      <c r="C579" s="5">
        <f>IFERROR(__xludf.DUMMYFUNCTION("""COMPUTED_VALUE"""),45189.596179791675)</f>
        <v>45189.59618</v>
      </c>
      <c r="D579" s="5">
        <f>IFERROR(__xludf.DUMMYFUNCTION("""COMPUTED_VALUE"""),45188.0)</f>
        <v>45188</v>
      </c>
      <c r="E579" s="4" t="str">
        <f>IFERROR(__xludf.DUMMYFUNCTION("""COMPUTED_VALUE"""),"daniela.morales@patagoniansys.com")</f>
        <v>daniela.morales@patagoniansys.com</v>
      </c>
      <c r="F579" s="4" t="str">
        <f>IFERROR(__xludf.DUMMYFUNCTION("""COMPUTED_VALUE"""),"eddie.brenes@patagoniansys.com")</f>
        <v>eddie.brenes@patagoniansys.com</v>
      </c>
      <c r="G579" s="4" t="str">
        <f>IFERROR(__xludf.DUMMYFUNCTION("""COMPUTED_VALUE"""),"⏱ One on One")</f>
        <v>⏱ One on One</v>
      </c>
      <c r="H579" s="4" t="str">
        <f>IFERROR(__xludf.DUMMYFUNCTION("""COMPUTED_VALUE"""),"🙂 Feliz")</f>
        <v>🙂 Feliz</v>
      </c>
      <c r="I579" s="6" t="str">
        <f>IFERROR(__xludf.DUMMYFUNCTION("""COMPUTED_VALUE"""),"Está muy contento con su proyecto, está aprendiendo bastante. Está contento con la empresa y con los beneficios que tienen. Me consultó por el tema de días de vacaciones. ")</f>
        <v>Está muy contento con su proyecto, está aprendiendo bastante. Está contento con la empresa y con los beneficios que tienen. Me consultó por el tema de días de vacaciones. </v>
      </c>
      <c r="J579" s="4" t="str">
        <f>IFERROR(__xludf.DUMMYFUNCTION("""COMPUTED_VALUE"""),"PX|Referents|RRHH")</f>
        <v>PX|Referents|RRHH</v>
      </c>
    </row>
    <row r="580" hidden="1">
      <c r="A580" s="4">
        <f>IFERROR(__xludf.DUMMYFUNCTION("""COMPUTED_VALUE"""),73.0)</f>
        <v>73</v>
      </c>
      <c r="B580" s="4" t="str">
        <f>IFERROR(__xludf.DUMMYFUNCTION("""COMPUTED_VALUE"""),"andres.attwell")</f>
        <v>andres.attwell</v>
      </c>
      <c r="C580" s="5">
        <f>IFERROR(__xludf.DUMMYFUNCTION("""COMPUTED_VALUE"""),45191.66689627316)</f>
        <v>45191.6669</v>
      </c>
      <c r="D580" s="5">
        <f>IFERROR(__xludf.DUMMYFUNCTION("""COMPUTED_VALUE"""),45189.0)</f>
        <v>45189</v>
      </c>
      <c r="E580" s="4" t="str">
        <f>IFERROR(__xludf.DUMMYFUNCTION("""COMPUTED_VALUE"""),"micaela.zorzetto@patagoniansys.com")</f>
        <v>micaela.zorzetto@patagoniansys.com</v>
      </c>
      <c r="F580" s="4" t="str">
        <f>IFERROR(__xludf.DUMMYFUNCTION("""COMPUTED_VALUE"""),"andres.attwell@patagoniansys.com")</f>
        <v>andres.attwell@patagoniansys.com</v>
      </c>
      <c r="G580" s="4" t="str">
        <f>IFERROR(__xludf.DUMMYFUNCTION("""COMPUTED_VALUE"""),"⏱ One on One")</f>
        <v>⏱ One on One</v>
      </c>
      <c r="H580" s="4" t="str">
        <f>IFERROR(__xludf.DUMMYFUNCTION("""COMPUTED_VALUE"""),"🙁 Poco Feliz")</f>
        <v>🙁 Poco Feliz</v>
      </c>
      <c r="I580" s="6" t="str">
        <f>IFERROR(__xludf.DUMMYFUNCTION("""COMPUTED_VALUE"""),"Me contó que el workation estuvo muy bueno, que le sirvió mucho al equipo.
Hoy el proyecto esta un poco más tranquilo, ya no tanta la exigencia como hace unos meses.")</f>
        <v>Me contó que el workation estuvo muy bueno, que le sirvió mucho al equipo.
Hoy el proyecto esta un poco más tranquilo, ya no tanta la exigencia como hace unos meses.</v>
      </c>
      <c r="J580" s="4" t="str">
        <f>IFERROR(__xludf.DUMMYFUNCTION("""COMPUTED_VALUE"""),"PX|Referents|RRHH")</f>
        <v>PX|Referents|RRHH</v>
      </c>
    </row>
    <row r="581" hidden="1">
      <c r="A581" s="4">
        <f>IFERROR(__xludf.DUMMYFUNCTION("""COMPUTED_VALUE"""),145.0)</f>
        <v>145</v>
      </c>
      <c r="B581" s="4" t="str">
        <f>IFERROR(__xludf.DUMMYFUNCTION("""COMPUTED_VALUE"""),"victor.abitu")</f>
        <v>victor.abitu</v>
      </c>
      <c r="C581" s="5">
        <f>IFERROR(__xludf.DUMMYFUNCTION("""COMPUTED_VALUE"""),45208.482758645834)</f>
        <v>45208.48276</v>
      </c>
      <c r="D581" s="5">
        <f>IFERROR(__xludf.DUMMYFUNCTION("""COMPUTED_VALUE"""),45189.0)</f>
        <v>45189</v>
      </c>
      <c r="E581" s="4" t="str">
        <f>IFERROR(__xludf.DUMMYFUNCTION("""COMPUTED_VALUE"""),"micaela.zorzetto@patagoniansys.com")</f>
        <v>micaela.zorzetto@patagoniansys.com</v>
      </c>
      <c r="F581" s="4" t="str">
        <f>IFERROR(__xludf.DUMMYFUNCTION("""COMPUTED_VALUE"""),"victor.abitu@patagoniansys.com")</f>
        <v>victor.abitu@patagoniansys.com</v>
      </c>
      <c r="G581" s="4" t="str">
        <f>IFERROR(__xludf.DUMMYFUNCTION("""COMPUTED_VALUE"""),"⏱ One on One")</f>
        <v>⏱ One on One</v>
      </c>
      <c r="H581" s="4" t="str">
        <f>IFERROR(__xludf.DUMMYFUNCTION("""COMPUTED_VALUE"""),"🙂 Feliz")</f>
        <v>🙂 Feliz</v>
      </c>
      <c r="I581" s="6" t="str">
        <f>IFERROR(__xludf.DUMMYFUNCTION("""COMPUTED_VALUE"""),"No me comentó nada como para hacer seguimiento. Se encuentra muy contento con el proyecto y  en la empresa")</f>
        <v>No me comentó nada como para hacer seguimiento. Se encuentra muy contento con el proyecto y  en la empresa</v>
      </c>
      <c r="J581" s="4" t="str">
        <f>IFERROR(__xludf.DUMMYFUNCTION("""COMPUTED_VALUE"""),"PX|Referents|RRHH")</f>
        <v>PX|Referents|RRHH</v>
      </c>
    </row>
    <row r="582" hidden="1">
      <c r="A582" s="4">
        <f>IFERROR(__xludf.DUMMYFUNCTION("""COMPUTED_VALUE"""),203.0)</f>
        <v>203</v>
      </c>
      <c r="B582" s="4" t="str">
        <f>IFERROR(__xludf.DUMMYFUNCTION("""COMPUTED_VALUE"""),"duverney.hernandez")</f>
        <v>duverney.hernandez</v>
      </c>
      <c r="C582" s="5">
        <f>IFERROR(__xludf.DUMMYFUNCTION("""COMPUTED_VALUE"""),45190.51892001157)</f>
        <v>45190.51892</v>
      </c>
      <c r="D582" s="5">
        <f>IFERROR(__xludf.DUMMYFUNCTION("""COMPUTED_VALUE"""),45190.0)</f>
        <v>45190</v>
      </c>
      <c r="E582" s="4" t="str">
        <f>IFERROR(__xludf.DUMMYFUNCTION("""COMPUTED_VALUE"""),"jesica.petrauskas@patagoniansys.com")</f>
        <v>jesica.petrauskas@patagoniansys.com</v>
      </c>
      <c r="F582" s="4" t="str">
        <f>IFERROR(__xludf.DUMMYFUNCTION("""COMPUTED_VALUE"""),"duverney.hernandez@patagoniansys.com")</f>
        <v>duverney.hernandez@patagoniansys.com</v>
      </c>
      <c r="G582" s="4" t="str">
        <f>IFERROR(__xludf.DUMMYFUNCTION("""COMPUTED_VALUE"""),"⏱ One on One")</f>
        <v>⏱ One on One</v>
      </c>
      <c r="H582" s="4" t="str">
        <f>IFERROR(__xludf.DUMMYFUNCTION("""COMPUTED_VALUE"""),"🙂 Feliz")</f>
        <v>🙂 Feliz</v>
      </c>
      <c r="I582" s="6" t="str">
        <f>IFERROR(__xludf.DUMMYFUNCTION("""COMPUTED_VALUE"""),"Está conforme con el proyecto, refiere que le gusta y está mejor que en el anterior. Algunas de las tecnologías que usa ahora las conocía lo que le da más confianza. Con el equipo también está conforme. Le ofrecí capacitaciones si acaso necesita reforzar "&amp;"algún tema y dejé esa puerta abierta.")</f>
        <v>Está conforme con el proyecto, refiere que le gusta y está mejor que en el anterior. Algunas de las tecnologías que usa ahora las conocía lo que le da más confianza. Con el equipo también está conforme. Le ofrecí capacitaciones si acaso necesita reforzar algún tema y dejé esa puerta abierta.</v>
      </c>
      <c r="J582" s="4" t="str">
        <f>IFERROR(__xludf.DUMMYFUNCTION("""COMPUTED_VALUE"""),"PX|Referents|RRHH")</f>
        <v>PX|Referents|RRHH</v>
      </c>
    </row>
    <row r="583">
      <c r="A583" s="4">
        <f>IFERROR(__xludf.DUMMYFUNCTION("""COMPUTED_VALUE"""),153.0)</f>
        <v>153</v>
      </c>
      <c r="B583" s="4" t="str">
        <f>IFERROR(__xludf.DUMMYFUNCTION("""COMPUTED_VALUE"""),"david.zuluaga")</f>
        <v>david.zuluaga</v>
      </c>
      <c r="C583" s="5">
        <f>IFERROR(__xludf.DUMMYFUNCTION("""COMPUTED_VALUE"""),45190.67849501157)</f>
        <v>45190.6785</v>
      </c>
      <c r="D583" s="5">
        <f>IFERROR(__xludf.DUMMYFUNCTION("""COMPUTED_VALUE"""),45190.0)</f>
        <v>45190</v>
      </c>
      <c r="E583" s="4" t="str">
        <f>IFERROR(__xludf.DUMMYFUNCTION("""COMPUTED_VALUE"""),"martin.castro@patagoniansys.com")</f>
        <v>martin.castro@patagoniansys.com</v>
      </c>
      <c r="F583" s="4" t="str">
        <f>IFERROR(__xludf.DUMMYFUNCTION("""COMPUTED_VALUE"""),"david.zuluaga@patagonian.com")</f>
        <v>david.zuluaga@patagonian.com</v>
      </c>
      <c r="G583" s="4" t="str">
        <f>IFERROR(__xludf.DUMMYFUNCTION("""COMPUTED_VALUE"""),"Referent One on One")</f>
        <v>Referent One on One</v>
      </c>
      <c r="H583" s="4"/>
      <c r="I583" s="6" t="str">
        <f>IFERROR(__xludf.DUMMYFUNCTION("""COMPUTED_VALUE"""),"- Interviewee e-Mail: david.zuluaga@patagonian.com
- Project Status Check: Empezó a usar ""yalc"". Esta trabajando en conjunto con un equipo externo. Se siente comodo en el proyecto
- Project Role | Feeling: 5
- Extra Work Hours | Amount: 0 (Ningúna)
- Te"&amp;"chs | Research: No
- Techs | Recomendations: JS Conf Colombia 17 y 18 de Noviembre
- Collaborator | Seniority: 👍 No, es correcto
- Project Techs | Learning: 0
- Project Techs | Difficulty: 4
- Project Changes | Reasons: 🟰 No hubo cambios
- Project Role "&amp;"| Value: 5
- Project role | Notes: Se siente comodo con el equipo. Siente que es escuchado.")</f>
        <v>- Interviewee e-Mail: david.zuluaga@patagonian.com
- Project Status Check: Empezó a usar "yalc". Esta trabajando en conjunto con un equipo externo. Se siente comodo en el proyecto
- Project Role | Feeling: 5
- Extra Work Hours | Amount: 0 (Ningúna)
- Techs | Research: No
- Techs | Recomendations: JS Conf Colombia 17 y 18 de Noviembre
- Collaborator | Seniority: 👍 No, es correcto
- Project Techs | Learning: 0
- Project Techs | Difficulty: 4
- Project Changes | Reasons: 🟰 No hubo cambios
- Project Role | Value: 5
- Project role | Notes: Se siente comodo con el equipo. Siente que es escuchado.</v>
      </c>
      <c r="J583" s="4" t="str">
        <f>IFERROR(__xludf.DUMMYFUNCTION("""COMPUTED_VALUE"""),"Tech Referent - OneOnOne")</f>
        <v>Tech Referent - OneOnOne</v>
      </c>
    </row>
    <row r="584" hidden="1">
      <c r="A584" s="4">
        <f>IFERROR(__xludf.DUMMYFUNCTION("""COMPUTED_VALUE"""),82.0)</f>
        <v>82</v>
      </c>
      <c r="B584" s="4" t="str">
        <f>IFERROR(__xludf.DUMMYFUNCTION("""COMPUTED_VALUE"""),"juan.calou")</f>
        <v>juan.calou</v>
      </c>
      <c r="C584" s="5">
        <f>IFERROR(__xludf.DUMMYFUNCTION("""COMPUTED_VALUE"""),45208.49037233797)</f>
        <v>45208.49037</v>
      </c>
      <c r="D584" s="5">
        <f>IFERROR(__xludf.DUMMYFUNCTION("""COMPUTED_VALUE"""),45190.0)</f>
        <v>45190</v>
      </c>
      <c r="E584" s="4" t="str">
        <f>IFERROR(__xludf.DUMMYFUNCTION("""COMPUTED_VALUE"""),"micaela.zorzetto@patagoniansys.com")</f>
        <v>micaela.zorzetto@patagoniansys.com</v>
      </c>
      <c r="F584" s="4" t="str">
        <f>IFERROR(__xludf.DUMMYFUNCTION("""COMPUTED_VALUE"""),"juan.calou@patagoniansys.com")</f>
        <v>juan.calou@patagoniansys.com</v>
      </c>
      <c r="G584" s="4" t="str">
        <f>IFERROR(__xludf.DUMMYFUNCTION("""COMPUTED_VALUE"""),"⏱ One on One")</f>
        <v>⏱ One on One</v>
      </c>
      <c r="H584" s="4" t="str">
        <f>IFERROR(__xludf.DUMMYFUNCTION("""COMPUTED_VALUE"""),"🙂 Feliz")</f>
        <v>🙂 Feliz</v>
      </c>
      <c r="I584" s="6" t="str">
        <f>IFERROR(__xludf.DUMMYFUNCTION("""COMPUTED_VALUE"""),"Juan esta cómodo en el proyecto. También esta ayudando en lo del plan de carrera, le gusta participar de esas actividades dentro de la empresa. 
Me comentó que estaban buscando la manera de que haya más participación en la plataforma del plan, ya que no t"&amp;"uvo el impacto que pensaron. ")</f>
        <v>Juan esta cómodo en el proyecto. También esta ayudando en lo del plan de carrera, le gusta participar de esas actividades dentro de la empresa. 
Me comentó que estaban buscando la manera de que haya más participación en la plataforma del plan, ya que no tuvo el impacto que pensaron. </v>
      </c>
      <c r="J584" s="4" t="str">
        <f>IFERROR(__xludf.DUMMYFUNCTION("""COMPUTED_VALUE"""),"PX|Referents|RRHH")</f>
        <v>PX|Referents|RRHH</v>
      </c>
    </row>
    <row r="585" hidden="1">
      <c r="A585" s="4">
        <f>IFERROR(__xludf.DUMMYFUNCTION("""COMPUTED_VALUE"""),247.0)</f>
        <v>247</v>
      </c>
      <c r="B585" s="4" t="str">
        <f>IFERROR(__xludf.DUMMYFUNCTION("""COMPUTED_VALUE"""),"isabel.yepes")</f>
        <v>isabel.yepes</v>
      </c>
      <c r="C585" s="5">
        <f>IFERROR(__xludf.DUMMYFUNCTION("""COMPUTED_VALUE"""),45191.43227931713)</f>
        <v>45191.43228</v>
      </c>
      <c r="D585" s="5">
        <f>IFERROR(__xludf.DUMMYFUNCTION("""COMPUTED_VALUE"""),45191.0)</f>
        <v>45191</v>
      </c>
      <c r="E585" s="4" t="str">
        <f>IFERROR(__xludf.DUMMYFUNCTION("""COMPUTED_VALUE"""),"juan.villamizar@patagoniansys.com")</f>
        <v>juan.villamizar@patagoniansys.com</v>
      </c>
      <c r="F585" s="4" t="str">
        <f>IFERROR(__xludf.DUMMYFUNCTION("""COMPUTED_VALUE"""),"isabel.yepes@patagoniansys.com")</f>
        <v>isabel.yepes@patagoniansys.com</v>
      </c>
      <c r="G585" s="4" t="str">
        <f>IFERROR(__xludf.DUMMYFUNCTION("""COMPUTED_VALUE"""),"⏱ One on One")</f>
        <v>⏱ One on One</v>
      </c>
      <c r="H585" s="4" t="str">
        <f>IFERROR(__xludf.DUMMYFUNCTION("""COMPUTED_VALUE"""),"😀 Sumamente Feliz")</f>
        <v>😀 Sumamente Feliz</v>
      </c>
      <c r="I585" s="6" t="str">
        <f>IFERROR(__xludf.DUMMYFUNCTION("""COMPUTED_VALUE"""),"Siente que el proyecto va mejor, hemos mejorado en el seguimiento, los tiempos y nos hace falta mejorar en comunicación en dentro del equipo y del cliente, en los compromisos. Faltaron muchas cosas que el equipo de QA no se enteró desde el principio de lo"&amp;"s requerimientos. Muchos puntos de comunicación pero no se puede tener claridad del producto, ejemplo Toolkit. Podemos ser más productivos en las reuniones. Con el equipo bien, le gusto mucho haber ido al workation para conocerlos más, sobre sus gustos e "&amp;"intereses. Con Cristian no ha tenido una comunicación muy fluida porque le cuesta decir que no sabe las cosas y se pierde tiempo. Con respecto a Patagonian, se nota que hemos hecho un esfuerzo para ponernos herramientas y estemos bien. No le gusta el Redi"&amp;"me porque cree que no aporta ningún valor. ")</f>
        <v>Siente que el proyecto va mejor, hemos mejorado en el seguimiento, los tiempos y nos hace falta mejorar en comunicación en dentro del equipo y del cliente, en los compromisos. Faltaron muchas cosas que el equipo de QA no se enteró desde el principio de los requerimientos. Muchos puntos de comunicación pero no se puede tener claridad del producto, ejemplo Toolkit. Podemos ser más productivos en las reuniones. Con el equipo bien, le gusto mucho haber ido al workation para conocerlos más, sobre sus gustos e intereses. Con Cristian no ha tenido una comunicación muy fluida porque le cuesta decir que no sabe las cosas y se pierde tiempo. Con respecto a Patagonian, se nota que hemos hecho un esfuerzo para ponernos herramientas y estemos bien. No le gusta el Redime porque cree que no aporta ningún valor. </v>
      </c>
      <c r="J585" s="4" t="str">
        <f>IFERROR(__xludf.DUMMYFUNCTION("""COMPUTED_VALUE"""),"PX|Referents|RRHH")</f>
        <v>PX|Referents|RRHH</v>
      </c>
    </row>
    <row r="586">
      <c r="A586" s="4">
        <f>IFERROR(__xludf.DUMMYFUNCTION("""COMPUTED_VALUE"""),162.0)</f>
        <v>162</v>
      </c>
      <c r="B586" s="4" t="str">
        <f>IFERROR(__xludf.DUMMYFUNCTION("""COMPUTED_VALUE"""),"cristian.cortes")</f>
        <v>cristian.cortes</v>
      </c>
      <c r="C586" s="5">
        <f>IFERROR(__xludf.DUMMYFUNCTION("""COMPUTED_VALUE"""),45191.812297534714)</f>
        <v>45191.8123</v>
      </c>
      <c r="D586" s="5">
        <f>IFERROR(__xludf.DUMMYFUNCTION("""COMPUTED_VALUE"""),45191.0)</f>
        <v>45191</v>
      </c>
      <c r="E586" s="4" t="str">
        <f>IFERROR(__xludf.DUMMYFUNCTION("""COMPUTED_VALUE"""),"edgar.bonilla@patagoniansys.com")</f>
        <v>edgar.bonilla@patagoniansys.com</v>
      </c>
      <c r="F586" s="4" t="str">
        <f>IFERROR(__xludf.DUMMYFUNCTION("""COMPUTED_VALUE"""),"cristian.cortes@patagoniansys.com")</f>
        <v>cristian.cortes@patagoniansys.com</v>
      </c>
      <c r="G586" s="4" t="str">
        <f>IFERROR(__xludf.DUMMYFUNCTION("""COMPUTED_VALUE"""),"Referent One on One")</f>
        <v>Referent One on One</v>
      </c>
      <c r="H586" s="4"/>
      <c r="I586" s="6" t="str">
        <f>IFERROR(__xludf.DUMMYFUNCTION("""COMPUTED_VALUE"""),"- Interviewee e-Mail: cristian.cortes@patagoniansys.com
- Project Status Check: Viene bien trabajando en el proyecto. Se siente a gusto.
- Project Role | Feeling: 4
- Extra Work Hours | Amount: 0 (Ningúna)
- Techs | Research: Le ha interesado varios temas"&amp;" de front-end y back-end web. De hecho, escogió también el Career Track de Full-Stack en lugar del de Mobile.
- Collaborator | Seniority: 👍 No, es correcto
- Final notes: Cristian eligió el Career Track de Full-Stack ya que le parece más interesante y so"&amp;"bre todo ve más oportunidades hacia el futuro por ese enfoque. También esta decisión va muy guiada por el tipo de proyectos que generalmente entran a Patagonian.
De igual manera el tema Mobile le sigue apasionando y piensa seguir participando del Mobile D"&amp;"EC y otras iniciativas.
- Project Techs | Learning: 2
- Techs | Research: 2
- Project Techs | Difficulty: 4
- Project Changes | Reasons: 🟰 No hubo cambios
- Project Role | Value: 4
- Project role | Notes: A veces por el hecho de que se trabaja con un ban"&amp;"co, los procesos tienden a ser muy particulares en cuando a burocracia y procesos, pero en general el trabajo fluye lo suficiente para sentirse a gusto.")</f>
        <v>- Interviewee e-Mail: cristian.cortes@patagoniansys.com
- Project Status Check: Viene bien trabajando en el proyecto. Se siente a gusto.
- Project Role | Feeling: 4
- Extra Work Hours | Amount: 0 (Ningúna)
- Techs | Research: Le ha interesado varios temas de front-end y back-end web. De hecho, escogió también el Career Track de Full-Stack en lugar del de Mobile.
- Collaborator | Seniority: 👍 No, es correcto
- Final notes: Cristian eligió el Career Track de Full-Stack ya que le parece más interesante y sobre todo ve más oportunidades hacia el futuro por ese enfoque. También esta decisión va muy guiada por el tipo de proyectos que generalmente entran a Patagonian.
De igual manera el tema Mobile le sigue apasionando y piensa seguir participando del Mobile DEC y otras iniciativas.
- Project Techs | Learning: 2
- Techs | Research: 2
- Project Techs | Difficulty: 4
- Project Changes | Reasons: 🟰 No hubo cambios
- Project Role | Value: 4
- Project role | Notes: A veces por el hecho de que se trabaja con un banco, los procesos tienden a ser muy particulares en cuando a burocracia y procesos, pero en general el trabajo fluye lo suficiente para sentirse a gusto.</v>
      </c>
      <c r="J586" s="4" t="str">
        <f>IFERROR(__xludf.DUMMYFUNCTION("""COMPUTED_VALUE"""),"Tech Referent - OneOnOne")</f>
        <v>Tech Referent - OneOnOne</v>
      </c>
    </row>
    <row r="587" hidden="1">
      <c r="A587" s="4">
        <f>IFERROR(__xludf.DUMMYFUNCTION("""COMPUTED_VALUE"""),279.0)</f>
        <v>279</v>
      </c>
      <c r="B587" s="4" t="str">
        <f>IFERROR(__xludf.DUMMYFUNCTION("""COMPUTED_VALUE"""),"emerson.pereira")</f>
        <v>emerson.pereira</v>
      </c>
      <c r="C587" s="5">
        <f>IFERROR(__xludf.DUMMYFUNCTION("""COMPUTED_VALUE"""),45194.70915208333)</f>
        <v>45194.70915</v>
      </c>
      <c r="D587" s="5">
        <f>IFERROR(__xludf.DUMMYFUNCTION("""COMPUTED_VALUE"""),45194.0)</f>
        <v>45194</v>
      </c>
      <c r="E587" s="4" t="str">
        <f>IFERROR(__xludf.DUMMYFUNCTION("""COMPUTED_VALUE"""),"marcela.benavides@patagoniansys.com")</f>
        <v>marcela.benavides@patagoniansys.com</v>
      </c>
      <c r="F587" s="4" t="str">
        <f>IFERROR(__xludf.DUMMYFUNCTION("""COMPUTED_VALUE"""),"emerson.pereira@patagoniansys.com")</f>
        <v>emerson.pereira@patagoniansys.com</v>
      </c>
      <c r="G587" s="4" t="str">
        <f>IFERROR(__xludf.DUMMYFUNCTION("""COMPUTED_VALUE"""),"⏱ One on One")</f>
        <v>⏱ One on One</v>
      </c>
      <c r="H587" s="4" t="str">
        <f>IFERROR(__xludf.DUMMYFUNCTION("""COMPUTED_VALUE"""),"🙂 Feliz")</f>
        <v>🙂 Feliz</v>
      </c>
      <c r="I587" s="6" t="str">
        <f>IFERROR(__xludf.DUMMYFUNCTION("""COMPUTED_VALUE"""),"Se siento tranquilo en el proyecto. Siente que no esta aprendiendo algo nuevo pero si va avanzando el proyecto, esto le preocupa un poco, por su cuenta esta aprendiendo automation y Phyton. ")</f>
        <v>Se siento tranquilo en el proyecto. Siente que no esta aprendiendo algo nuevo pero si va avanzando el proyecto, esto le preocupa un poco, por su cuenta esta aprendiendo automation y Phyton. </v>
      </c>
      <c r="J587" s="4" t="str">
        <f>IFERROR(__xludf.DUMMYFUNCTION("""COMPUTED_VALUE"""),"PX|Referents|RRHH")</f>
        <v>PX|Referents|RRHH</v>
      </c>
    </row>
    <row r="588" hidden="1">
      <c r="A588" s="4">
        <f>IFERROR(__xludf.DUMMYFUNCTION("""COMPUTED_VALUE"""),227.0)</f>
        <v>227</v>
      </c>
      <c r="B588" s="4" t="str">
        <f>IFERROR(__xludf.DUMMYFUNCTION("""COMPUTED_VALUE"""),"martin.infante")</f>
        <v>martin.infante</v>
      </c>
      <c r="C588" s="5">
        <f>IFERROR(__xludf.DUMMYFUNCTION("""COMPUTED_VALUE"""),45208.51330748843)</f>
        <v>45208.51331</v>
      </c>
      <c r="D588" s="5">
        <f>IFERROR(__xludf.DUMMYFUNCTION("""COMPUTED_VALUE"""),45194.0)</f>
        <v>45194</v>
      </c>
      <c r="E588" s="4" t="str">
        <f>IFERROR(__xludf.DUMMYFUNCTION("""COMPUTED_VALUE"""),"micaela.zorzetto@patagoniansys.com")</f>
        <v>micaela.zorzetto@patagoniansys.com</v>
      </c>
      <c r="F588" s="4" t="str">
        <f>IFERROR(__xludf.DUMMYFUNCTION("""COMPUTED_VALUE"""),"martin.infante@patagoniansys.com")</f>
        <v>martin.infante@patagoniansys.com</v>
      </c>
      <c r="G588" s="4" t="str">
        <f>IFERROR(__xludf.DUMMYFUNCTION("""COMPUTED_VALUE"""),"⏱ One on One")</f>
        <v>⏱ One on One</v>
      </c>
      <c r="H588" s="4" t="str">
        <f>IFERROR(__xludf.DUMMYFUNCTION("""COMPUTED_VALUE"""),"🙂 Feliz")</f>
        <v>🙂 Feliz</v>
      </c>
      <c r="I588" s="6" t="str">
        <f>IFERROR(__xludf.DUMMYFUNCTION("""COMPUTED_VALUE"""),"Martin me cuenta que dentro del proyecto esta aprendiendo decir que No ya que muchas veces no sabia separar lo que era urgente y lo que no. 
En forge terminando siendo TL, y siente que le falta mucho para llegar a eso, le gustaría que desde el cliente hay"&amp;"a una recomposición y poder trabajar con alguien más SR, para seguir creciendo y aprendiendo.")</f>
        <v>Martin me cuenta que dentro del proyecto esta aprendiendo decir que No ya que muchas veces no sabia separar lo que era urgente y lo que no. 
En forge terminando siendo TL, y siente que le falta mucho para llegar a eso, le gustaría que desde el cliente haya una recomposición y poder trabajar con alguien más SR, para seguir creciendo y aprendiendo.</v>
      </c>
      <c r="J588" s="4" t="str">
        <f>IFERROR(__xludf.DUMMYFUNCTION("""COMPUTED_VALUE"""),"PX|Referents|RRHH")</f>
        <v>PX|Referents|RRHH</v>
      </c>
    </row>
    <row r="589" hidden="1">
      <c r="A589" s="4">
        <f>IFERROR(__xludf.DUMMYFUNCTION("""COMPUTED_VALUE"""),26.0)</f>
        <v>26</v>
      </c>
      <c r="B589" s="4" t="str">
        <f>IFERROR(__xludf.DUMMYFUNCTION("""COMPUTED_VALUE"""),"mariano.sckerl")</f>
        <v>mariano.sckerl</v>
      </c>
      <c r="C589" s="5">
        <f>IFERROR(__xludf.DUMMYFUNCTION("""COMPUTED_VALUE"""),45208.517650092595)</f>
        <v>45208.51765</v>
      </c>
      <c r="D589" s="5">
        <f>IFERROR(__xludf.DUMMYFUNCTION("""COMPUTED_VALUE"""),45194.0)</f>
        <v>45194</v>
      </c>
      <c r="E589" s="4" t="str">
        <f>IFERROR(__xludf.DUMMYFUNCTION("""COMPUTED_VALUE"""),"micaela.zorzetto@patagoniansys.com")</f>
        <v>micaela.zorzetto@patagoniansys.com</v>
      </c>
      <c r="F589" s="4" t="str">
        <f>IFERROR(__xludf.DUMMYFUNCTION("""COMPUTED_VALUE"""),"mariano.sckerl@patagoniansys.com")</f>
        <v>mariano.sckerl@patagoniansys.com</v>
      </c>
      <c r="G589" s="4" t="str">
        <f>IFERROR(__xludf.DUMMYFUNCTION("""COMPUTED_VALUE"""),"⏱ One on One")</f>
        <v>⏱ One on One</v>
      </c>
      <c r="H589" s="4" t="str">
        <f>IFERROR(__xludf.DUMMYFUNCTION("""COMPUTED_VALUE"""),"🙂 Feliz")</f>
        <v>🙂 Feliz</v>
      </c>
      <c r="I589" s="6" t="str">
        <f>IFERROR(__xludf.DUMMYFUNCTION("""COMPUTED_VALUE"""),"Marian inició en un nuevo proyecto, asi que acomodandose con el equipo y las nuevas tareas. 
Le pareció bien el cambio del Lider de QA, cree que es muy positivo ya que conoce del tema y los puede ayudar desde otro lugar. ")</f>
        <v>Marian inició en un nuevo proyecto, asi que acomodandose con el equipo y las nuevas tareas. 
Le pareció bien el cambio del Lider de QA, cree que es muy positivo ya que conoce del tema y los puede ayudar desde otro lugar. </v>
      </c>
      <c r="J589" s="4" t="str">
        <f>IFERROR(__xludf.DUMMYFUNCTION("""COMPUTED_VALUE"""),"PX|Referents|RRHH")</f>
        <v>PX|Referents|RRHH</v>
      </c>
    </row>
    <row r="590">
      <c r="A590" s="4">
        <f>IFERROR(__xludf.DUMMYFUNCTION("""COMPUTED_VALUE"""),193.0)</f>
        <v>193</v>
      </c>
      <c r="B590" s="4" t="str">
        <f>IFERROR(__xludf.DUMMYFUNCTION("""COMPUTED_VALUE"""),"joan.romero")</f>
        <v>joan.romero</v>
      </c>
      <c r="C590" s="5">
        <f>IFERROR(__xludf.DUMMYFUNCTION("""COMPUTED_VALUE"""),45195.4544500463)</f>
        <v>45195.45445</v>
      </c>
      <c r="D590" s="5">
        <f>IFERROR(__xludf.DUMMYFUNCTION("""COMPUTED_VALUE"""),45195.0)</f>
        <v>45195</v>
      </c>
      <c r="E590" s="4" t="str">
        <f>IFERROR(__xludf.DUMMYFUNCTION("""COMPUTED_VALUE"""),"andres.bolocco@patagoniansys.com")</f>
        <v>andres.bolocco@patagoniansys.com</v>
      </c>
      <c r="F590" s="4" t="str">
        <f>IFERROR(__xludf.DUMMYFUNCTION("""COMPUTED_VALUE"""),"joan.romero@patagoniansys.com")</f>
        <v>joan.romero@patagoniansys.com</v>
      </c>
      <c r="G590" s="4" t="str">
        <f>IFERROR(__xludf.DUMMYFUNCTION("""COMPUTED_VALUE"""),"Referent One on One")</f>
        <v>Referent One on One</v>
      </c>
      <c r="H590" s="4"/>
      <c r="I590" s="6" t="str">
        <f>IFERROR(__xludf.DUMMYFUNCTION("""COMPUTED_VALUE"""),"- Interviewee e-Mail: joan.romero@patagoniansys.com
- Project Status Check: investigacion y desarrollo. con Brayan como referente. un marco mas formal, con tiempos y planificacion.
- Project Changes | Notes: comienza el DEC, se siente escuchado por Brayan"&amp;" y le ordena el trabajo.
- Project Role | Feeling: 5
- Extra Work Hours | Amount: 5+ (Más de 5)
- Extra Work Hours | Reason: 🙋Decisión propia
- Techs | Recomendations: había comenzado pero le gustaría retomar la capacitación de la certificacion Azure AI "&amp;"Fundamentals AI 900
- Collaborator | Seniority: 👍 No, es correcto
- Final notes: esta motivado!
- Project Techs | Learning: 3
- Techs | Research: 20
- Project Techs | Difficulty: 4
- Project Changes | Reasons: 🟰 No hubo cambios
- Project Changes | Perso"&amp;"nal Impact: 4
- Project Role | Value: 5
- Project role | Notes: preparando workshops para las distintas áreas, hizo uno para el c-level y le gustó sentir q está haciendo algo q es importante estratégicamente para la empresa.")</f>
        <v>- Interviewee e-Mail: joan.romero@patagoniansys.com
- Project Status Check: investigacion y desarrollo. con Brayan como referente. un marco mas formal, con tiempos y planificacion.
- Project Changes | Notes: comienza el DEC, se siente escuchado por Brayan y le ordena el trabajo.
- Project Role | Feeling: 5
- Extra Work Hours | Amount: 5+ (Más de 5)
- Extra Work Hours | Reason: 🙋Decisión propia
- Techs | Recomendations: había comenzado pero le gustaría retomar la capacitación de la certificacion Azure AI Fundamentals AI 900
- Collaborator | Seniority: 👍 No, es correcto
- Final notes: esta motivado!
- Project Techs | Learning: 3
- Techs | Research: 20
- Project Techs | Difficulty: 4
- Project Changes | Reasons: 🟰 No hubo cambios
- Project Changes | Personal Impact: 4
- Project Role | Value: 5
- Project role | Notes: preparando workshops para las distintas áreas, hizo uno para el c-level y le gustó sentir q está haciendo algo q es importante estratégicamente para la empresa.</v>
      </c>
      <c r="J590" s="4" t="str">
        <f>IFERROR(__xludf.DUMMYFUNCTION("""COMPUTED_VALUE"""),"Tech Referent - OneOnOne")</f>
        <v>Tech Referent - OneOnOne</v>
      </c>
    </row>
    <row r="591" hidden="1">
      <c r="A591" s="4">
        <f>IFERROR(__xludf.DUMMYFUNCTION("""COMPUTED_VALUE"""),336.0)</f>
        <v>336</v>
      </c>
      <c r="B591" s="4" t="str">
        <f>IFERROR(__xludf.DUMMYFUNCTION("""COMPUTED_VALUE"""),"juan.sanhueza")</f>
        <v>juan.sanhueza</v>
      </c>
      <c r="C591" s="5">
        <f>IFERROR(__xludf.DUMMYFUNCTION("""COMPUTED_VALUE"""),45195.565757673605)</f>
        <v>45195.56576</v>
      </c>
      <c r="D591" s="5">
        <f>IFERROR(__xludf.DUMMYFUNCTION("""COMPUTED_VALUE"""),45195.0)</f>
        <v>45195</v>
      </c>
      <c r="E591" s="4" t="str">
        <f>IFERROR(__xludf.DUMMYFUNCTION("""COMPUTED_VALUE"""),"marcela.benavides@patagoniansys.com")</f>
        <v>marcela.benavides@patagoniansys.com</v>
      </c>
      <c r="F591" s="4" t="str">
        <f>IFERROR(__xludf.DUMMYFUNCTION("""COMPUTED_VALUE"""),"juan.sanhueza@patagoniansys.com")</f>
        <v>juan.sanhueza@patagoniansys.com</v>
      </c>
      <c r="G591" s="4" t="str">
        <f>IFERROR(__xludf.DUMMYFUNCTION("""COMPUTED_VALUE"""),"⏱ One on One")</f>
        <v>⏱ One on One</v>
      </c>
      <c r="H591" s="4" t="str">
        <f>IFERROR(__xludf.DUMMYFUNCTION("""COMPUTED_VALUE"""),"🙂 Feliz")</f>
        <v>🙂 Feliz</v>
      </c>
      <c r="I591" s="6" t="str">
        <f>IFERROR(__xludf.DUMMYFUNCTION("""COMPUTED_VALUE"""),"En cuánto al proyecto siente que cada vez se esta poniendo más interesante. Siente que se involucraría más con Patagonian si hubiera un team de ciberseguridad o ethical hackers con los que pudiera conversar o compartir. ")</f>
        <v>En cuánto al proyecto siente que cada vez se esta poniendo más interesante. Siente que se involucraría más con Patagonian si hubiera un team de ciberseguridad o ethical hackers con los que pudiera conversar o compartir. </v>
      </c>
      <c r="J591" s="4" t="str">
        <f>IFERROR(__xludf.DUMMYFUNCTION("""COMPUTED_VALUE"""),"PX|Referents|RRHH")</f>
        <v>PX|Referents|RRHH</v>
      </c>
    </row>
    <row r="592" hidden="1">
      <c r="A592" s="4">
        <f>IFERROR(__xludf.DUMMYFUNCTION("""COMPUTED_VALUE"""),265.0)</f>
        <v>265</v>
      </c>
      <c r="B592" s="4" t="str">
        <f>IFERROR(__xludf.DUMMYFUNCTION("""COMPUTED_VALUE"""),"pablo.gomez")</f>
        <v>pablo.gomez</v>
      </c>
      <c r="C592" s="5">
        <f>IFERROR(__xludf.DUMMYFUNCTION("""COMPUTED_VALUE"""),45195.5774493287)</f>
        <v>45195.57745</v>
      </c>
      <c r="D592" s="5">
        <f>IFERROR(__xludf.DUMMYFUNCTION("""COMPUTED_VALUE"""),45195.0)</f>
        <v>45195</v>
      </c>
      <c r="E592" s="4" t="str">
        <f>IFERROR(__xludf.DUMMYFUNCTION("""COMPUTED_VALUE"""),"marcela.benavides@patagoniansys.com")</f>
        <v>marcela.benavides@patagoniansys.com</v>
      </c>
      <c r="F592" s="4" t="str">
        <f>IFERROR(__xludf.DUMMYFUNCTION("""COMPUTED_VALUE"""),"pablo.gomez@patagoniansys.com")</f>
        <v>pablo.gomez@patagoniansys.com</v>
      </c>
      <c r="G592" s="4" t="str">
        <f>IFERROR(__xludf.DUMMYFUNCTION("""COMPUTED_VALUE"""),"⏱ One on One")</f>
        <v>⏱ One on One</v>
      </c>
      <c r="H592" s="4" t="str">
        <f>IFERROR(__xludf.DUMMYFUNCTION("""COMPUTED_VALUE"""),"🙂 Feliz")</f>
        <v>🙂 Feliz</v>
      </c>
      <c r="I592" s="6" t="str">
        <f>IFERROR(__xludf.DUMMYFUNCTION("""COMPUTED_VALUE"""),"El proyecto va bastante mejor, ya cuentan con un backlog. Faltaría tener un PO o alguien que defina un poco más las tareas que se tienen que hacer. Como sugerencia en la parte de QA sugirío que su proyecto tuviera un ambiente de prueba por tarea, que sea "&amp;"descartable al finalizar la prueba. ")</f>
        <v>El proyecto va bastante mejor, ya cuentan con un backlog. Faltaría tener un PO o alguien que defina un poco más las tareas que se tienen que hacer. Como sugerencia en la parte de QA sugirío que su proyecto tuviera un ambiente de prueba por tarea, que sea descartable al finalizar la prueba. </v>
      </c>
      <c r="J592" s="4" t="str">
        <f>IFERROR(__xludf.DUMMYFUNCTION("""COMPUTED_VALUE"""),"PX|Referents|RRHH")</f>
        <v>PX|Referents|RRHH</v>
      </c>
    </row>
    <row r="593" hidden="1">
      <c r="A593" s="4">
        <f>IFERROR(__xludf.DUMMYFUNCTION("""COMPUTED_VALUE"""),88.0)</f>
        <v>88</v>
      </c>
      <c r="B593" s="4" t="str">
        <f>IFERROR(__xludf.DUMMYFUNCTION("""COMPUTED_VALUE"""),"andres.bolocco")</f>
        <v>andres.bolocco</v>
      </c>
      <c r="C593" s="5">
        <f>IFERROR(__xludf.DUMMYFUNCTION("""COMPUTED_VALUE"""),45209.6010528588)</f>
        <v>45209.60105</v>
      </c>
      <c r="D593" s="5">
        <f>IFERROR(__xludf.DUMMYFUNCTION("""COMPUTED_VALUE"""),45195.0)</f>
        <v>45195</v>
      </c>
      <c r="E593" s="4" t="str">
        <f>IFERROR(__xludf.DUMMYFUNCTION("""COMPUTED_VALUE"""),"micaela.zorzetto@patagoniansys.com")</f>
        <v>micaela.zorzetto@patagoniansys.com</v>
      </c>
      <c r="F593" s="4" t="str">
        <f>IFERROR(__xludf.DUMMYFUNCTION("""COMPUTED_VALUE"""),"andres.bolocco@patagoniansys.com")</f>
        <v>andres.bolocco@patagoniansys.com</v>
      </c>
      <c r="G593" s="4" t="str">
        <f>IFERROR(__xludf.DUMMYFUNCTION("""COMPUTED_VALUE"""),"⏱ One on One")</f>
        <v>⏱ One on One</v>
      </c>
      <c r="H593" s="4" t="str">
        <f>IFERROR(__xludf.DUMMYFUNCTION("""COMPUTED_VALUE"""),"🙂 Feliz")</f>
        <v>🙂 Feliz</v>
      </c>
      <c r="I593" s="6" t="str">
        <f>IFERROR(__xludf.DUMMYFUNCTION("""COMPUTED_VALUE"""),"Actualmente esta desarrollando un rol de lider en el proyecto a pedido del cliente, ya que el anterior lider se fue. 
Decidió dejar por un tiempo de tomar tareas que se le asignaban del euqipo de arquitectos, dado que no le estaría dando el tiempo para ha"&amp;"cer todo. 
Quiere continuar con el dex, ya que le gusta, pero esta pensando en tener un acompañante que lo ayude cuando él no tenga tiempo de preparar algo para el encuentro.")</f>
        <v>Actualmente esta desarrollando un rol de lider en el proyecto a pedido del cliente, ya que el anterior lider se fue. 
Decidió dejar por un tiempo de tomar tareas que se le asignaban del euqipo de arquitectos, dado que no le estaría dando el tiempo para hacer todo. 
Quiere continuar con el dex, ya que le gusta, pero esta pensando en tener un acompañante que lo ayude cuando él no tenga tiempo de preparar algo para el encuentro.</v>
      </c>
      <c r="J593" s="4" t="str">
        <f>IFERROR(__xludf.DUMMYFUNCTION("""COMPUTED_VALUE"""),"PX|Referents|RRHH")</f>
        <v>PX|Referents|RRHH</v>
      </c>
    </row>
    <row r="594">
      <c r="A594" s="4">
        <f>IFERROR(__xludf.DUMMYFUNCTION("""COMPUTED_VALUE"""),188.0)</f>
        <v>188</v>
      </c>
      <c r="B594" s="4" t="str">
        <f>IFERROR(__xludf.DUMMYFUNCTION("""COMPUTED_VALUE"""),"mauricio.lahitte")</f>
        <v>mauricio.lahitte</v>
      </c>
      <c r="C594" s="5">
        <f>IFERROR(__xludf.DUMMYFUNCTION("""COMPUTED_VALUE"""),45196.635473055554)</f>
        <v>45196.63547</v>
      </c>
      <c r="D594" s="5">
        <f>IFERROR(__xludf.DUMMYFUNCTION("""COMPUTED_VALUE"""),45196.0)</f>
        <v>45196</v>
      </c>
      <c r="E594" s="4" t="str">
        <f>IFERROR(__xludf.DUMMYFUNCTION("""COMPUTED_VALUE"""),"jorge.contreras@patagoniansys.com")</f>
        <v>jorge.contreras@patagoniansys.com</v>
      </c>
      <c r="F594" s="4" t="str">
        <f>IFERROR(__xludf.DUMMYFUNCTION("""COMPUTED_VALUE"""),"mauricio.lahitte@patagonian.com")</f>
        <v>mauricio.lahitte@patagonian.com</v>
      </c>
      <c r="G594" s="4" t="str">
        <f>IFERROR(__xludf.DUMMYFUNCTION("""COMPUTED_VALUE"""),"Referent One on One")</f>
        <v>Referent One on One</v>
      </c>
      <c r="H594" s="4"/>
      <c r="I594" s="6" t="str">
        <f>IFERROR(__xludf.DUMMYFUNCTION("""COMPUTED_VALUE"""),"- Interviewee e-Mail: mauricio.lahitte@patagonian.com
- Project Changes | Notes: El cliente añadió un nuevo equipo para los android tv y ellos toman parte de nuestra información para implementarlo en lo suyo. Todo bien por acá.
- Project Role | Feeling: 5"&amp;"
- Extra Work Hours | Amount: 0 (Ningúna)
- Techs | Research: Estoy aprendiendo React.js. TypeScript.
- Techs | Recomendations: react query y react hook form
- Techs | Recomendations check: No
- Collaborator | Seniority: 👍 No, es correcto
- Alerts: No, t"&amp;"odo bien
- Project Needs / Oportunities: Por ahora todo bien
- Final notes: Todo bien
- Project Techs | Learning: 0
- Techs | Research: 2
- Project Techs | Difficulty: 5
- Project Changes | Reasons: ⬆️ Aumento del equipo
- Project Changes | Personal Impac"&amp;"t: 5
- Project Role | Value: 5
- Project role | Notes: Continúo trabajando normal")</f>
        <v>- Interviewee e-Mail: mauricio.lahitte@patagonian.com
- Project Changes | Notes: El cliente añadió un nuevo equipo para los android tv y ellos toman parte de nuestra información para implementarlo en lo suyo. Todo bien por acá.
- Project Role | Feeling: 5
- Extra Work Hours | Amount: 0 (Ningúna)
- Techs | Research: Estoy aprendiendo React.js. TypeScript.
- Techs | Recomendations: react query y react hook form
- Techs | Recomendations check: No
- Collaborator | Seniority: 👍 No, es correcto
- Alerts: No, todo bien
- Project Needs / Oportunities: Por ahora todo bien
- Final notes: Todo bien
- Project Techs | Learning: 0
- Techs | Research: 2
- Project Techs | Difficulty: 5
- Project Changes | Reasons: ⬆️ Aumento del equipo
- Project Changes | Personal Impact: 5
- Project Role | Value: 5
- Project role | Notes: Continúo trabajando normal</v>
      </c>
      <c r="J594" s="4" t="str">
        <f>IFERROR(__xludf.DUMMYFUNCTION("""COMPUTED_VALUE"""),"Tech Referent - OneOnOne")</f>
        <v>Tech Referent - OneOnOne</v>
      </c>
    </row>
    <row r="595">
      <c r="A595" s="4">
        <f>IFERROR(__xludf.DUMMYFUNCTION("""COMPUTED_VALUE"""),11.0)</f>
        <v>11</v>
      </c>
      <c r="B595" s="4" t="str">
        <f>IFERROR(__xludf.DUMMYFUNCTION("""COMPUTED_VALUE"""),"ernesto.parada")</f>
        <v>ernesto.parada</v>
      </c>
      <c r="C595" s="5">
        <f>IFERROR(__xludf.DUMMYFUNCTION("""COMPUTED_VALUE"""),45201.58194416666)</f>
        <v>45201.58194</v>
      </c>
      <c r="D595" s="5">
        <f>IFERROR(__xludf.DUMMYFUNCTION("""COMPUTED_VALUE"""),45196.0)</f>
        <v>45196</v>
      </c>
      <c r="E595" s="4" t="str">
        <f>IFERROR(__xludf.DUMMYFUNCTION("""COMPUTED_VALUE"""),"edgar.bonilla@patagoniansys.com")</f>
        <v>edgar.bonilla@patagoniansys.com</v>
      </c>
      <c r="F595" s="4" t="str">
        <f>IFERROR(__xludf.DUMMYFUNCTION("""COMPUTED_VALUE"""),"ernesto.parada@patagoniansys.com")</f>
        <v>ernesto.parada@patagoniansys.com</v>
      </c>
      <c r="G595" s="4" t="str">
        <f>IFERROR(__xludf.DUMMYFUNCTION("""COMPUTED_VALUE"""),"Referent One on One")</f>
        <v>Referent One on One</v>
      </c>
      <c r="H595" s="4"/>
      <c r="I595" s="6" t="str">
        <f>IFERROR(__xludf.DUMMYFUNCTION("""COMPUTED_VALUE"""),"- Interviewee e-Mail: ernesto.parada@patagoniansys.com
- Project Status Check: En Eyethena casi no mete código, lo mismo con MBody. Está en un rol de tech lead. En Eyethena tiene a dos devs. Duverney Hernandez y David zuluaga.
Duverney hace React Native."&amp;" Duver habla poco, falta comunicar más y mejor su status. Levantar la mano cuando se bloquee. Duver es más abierto que Cristian Cortes y la cosa ha mejorado bastante. Con Cristian la experiencia no fue tan buena.
David Zuluaga está en el Back-end (Node.j"&amp;"s)
Está en un nuevo mundo para él. Se ha ido adaptando bien.
Le gustaría que Tito tuviera más independencia, que intente hacer las cosas sólo y ya luego cuando no pueda, levante la mano. Pero en general hace muy bien su trabajo. Algo a destacar es que sie"&amp;"mpre recibe el feedback muy positivamente.
En cuanto al proyecto con el cliente, la diferencia de horario se complica en un momento, pero se han ido adaptando bien los dos. 
-- Se complica el desarrollo por el lado del cliente y también la demora en las"&amp;" respuestas. Y también por el equipo de la india.
MBody está haciendo una transición de cliente.
Eugenio Fioriti metió mano un momento mientras estaba en bench.
- Project Changes | Notes: Los cambios y su impacto están descritos en la sección de Project"&amp;" Status Check. Los dejo ahí para no duplicar info.
- Project Role | Feeling: 4
- Extra Work Hours | Amount: 0 (Ningúna)
- Techs | Research: Había arrancado en el grupo de arquitectura que dirigía Brayan, pero luego eligió la track de Back-end.
No ha teni"&amp;"do tiempo para las misiones, por las prioridades del negocio y la situación actual.
Le gusta aprender y está abierto a cosas nuevas.
Le parece una herramienta super útil para adquirir conocimiento.
Muy útil para los de bench.
Idea: Meter contenido enfo"&amp;"cado a donde quiera ir la empresa, ejemplo: energy y healthcare.
Compliance, patrones comunes para guardar y administrar datos en ese tipo de contextos.
Idea: Tener un profile por cada dev (en la plataforma de career track), que sea un punto centralizado"&amp;" con los skills de cada dev y sea accesible por ciertas personas de la compañía.
- Collaborator | Seniority: 👍 No, es correcto
- Project Techs | Learning: 2
- Techs | Research: 1
- Project Techs | Difficulty: 5
- Project Changes | Reasons: 🔀 Cambio de "&amp;"roles dentro del equipo, ⏱ Cambios en la forma de planificar las tareas y tiempos
- Project Changes | Personal Impact: 4
- Project Role | Value: 4
- Project role | Notes: Siente que la experiencia como líder técnico le suma. Pero también quisiera poder te"&amp;"ner tiempo para empezar a dedicarse a otras cosas y/o apoyar otras iniciativas internas en Patagonian que estaba apoyando previamente. O también capacitarse en otros temas como AWS.")</f>
        <v>- Interviewee e-Mail: ernesto.parada@patagoniansys.com
- Project Status Check: En Eyethena casi no mete código, lo mismo con MBody. Está en un rol de tech lead. En Eyethena tiene a dos devs. Duverney Hernandez y David zuluaga.
Duverney hace React Native. Duver habla poco, falta comunicar más y mejor su status. Levantar la mano cuando se bloquee. Duver es más abierto que Cristian Cortes y la cosa ha mejorado bastante. Con Cristian la experiencia no fue tan buena.
David Zuluaga está en el Back-end (Node.js)
Está en un nuevo mundo para él. Se ha ido adaptando bien.
Le gustaría que Tito tuviera más independencia, que intente hacer las cosas sólo y ya luego cuando no pueda, levante la mano. Pero en general hace muy bien su trabajo. Algo a destacar es que siempre recibe el feedback muy positivamente.
En cuanto al proyecto con el cliente, la diferencia de horario se complica en un momento, pero se han ido adaptando bien los dos. 
-- Se complica el desarrollo por el lado del cliente y también la demora en las respuestas. Y también por el equipo de la india.
MBody está haciendo una transición de cliente.
Eugenio Fioriti metió mano un momento mientras estaba en bench.
- Project Changes | Notes: Los cambios y su impacto están descritos en la sección de Project Status Check. Los dejo ahí para no duplicar info.
- Project Role | Feeling: 4
- Extra Work Hours | Amount: 0 (Ningúna)
- Techs | Research: Había arrancado en el grupo de arquitectura que dirigía Brayan, pero luego eligió la track de Back-end.
No ha tenido tiempo para las misiones, por las prioridades del negocio y la situación actual.
Le gusta aprender y está abierto a cosas nuevas.
Le parece una herramienta super útil para adquirir conocimiento.
Muy útil para los de bench.
Idea: Meter contenido enfocado a donde quiera ir la empresa, ejemplo: energy y healthcare.
Compliance, patrones comunes para guardar y administrar datos en ese tipo de contextos.
Idea: Tener un profile por cada dev (en la plataforma de career track), que sea un punto centralizado con los skills de cada dev y sea accesible por ciertas personas de la compañía.
- Collaborator | Seniority: 👍 No, es correcto
- Project Techs | Learning: 2
- Techs | Research: 1
- Project Techs | Difficulty: 5
- Project Changes | Reasons: 🔀 Cambio de roles dentro del equipo, ⏱ Cambios en la forma de planificar las tareas y tiempos
- Project Changes | Personal Impact: 4
- Project Role | Value: 4
- Project role | Notes: Siente que la experiencia como líder técnico le suma. Pero también quisiera poder tener tiempo para empezar a dedicarse a otras cosas y/o apoyar otras iniciativas internas en Patagonian que estaba apoyando previamente. O también capacitarse en otros temas como AWS.</v>
      </c>
      <c r="J595" s="4" t="str">
        <f>IFERROR(__xludf.DUMMYFUNCTION("""COMPUTED_VALUE"""),"Tech Referent - OneOnOne")</f>
        <v>Tech Referent - OneOnOne</v>
      </c>
    </row>
    <row r="596" hidden="1">
      <c r="A596" s="4">
        <f>IFERROR(__xludf.DUMMYFUNCTION("""COMPUTED_VALUE"""),125.0)</f>
        <v>125</v>
      </c>
      <c r="B596" s="4" t="str">
        <f>IFERROR(__xludf.DUMMYFUNCTION("""COMPUTED_VALUE"""),"pablo.triandafilide")</f>
        <v>pablo.triandafilide</v>
      </c>
      <c r="C596" s="5">
        <f>IFERROR(__xludf.DUMMYFUNCTION("""COMPUTED_VALUE"""),45209.60448159722)</f>
        <v>45209.60448</v>
      </c>
      <c r="D596" s="5">
        <f>IFERROR(__xludf.DUMMYFUNCTION("""COMPUTED_VALUE"""),45196.0)</f>
        <v>45196</v>
      </c>
      <c r="E596" s="4" t="str">
        <f>IFERROR(__xludf.DUMMYFUNCTION("""COMPUTED_VALUE"""),"micaela.zorzetto@patagoniansys.com")</f>
        <v>micaela.zorzetto@patagoniansys.com</v>
      </c>
      <c r="F596" s="4" t="str">
        <f>IFERROR(__xludf.DUMMYFUNCTION("""COMPUTED_VALUE"""),"pablo.triandafilide@patagoniansys.com")</f>
        <v>pablo.triandafilide@patagoniansys.com</v>
      </c>
      <c r="G596" s="4" t="str">
        <f>IFERROR(__xludf.DUMMYFUNCTION("""COMPUTED_VALUE"""),"⏱ One on One")</f>
        <v>⏱ One on One</v>
      </c>
      <c r="H596" s="4" t="str">
        <f>IFERROR(__xludf.DUMMYFUNCTION("""COMPUTED_VALUE"""),"🙂 Feliz")</f>
        <v>🙂 Feliz</v>
      </c>
      <c r="I596" s="6" t="str">
        <f>IFERROR(__xludf.DUMMYFUNCTION("""COMPUTED_VALUE"""),"El proyecto se encuentra en parte de Rediseño, se siente cómodo trabajando y ahora tiene un rol más activo ya que Euge (que daba una mano) dejo el proyecto. 
")</f>
        <v>El proyecto se encuentra en parte de Rediseño, se siente cómodo trabajando y ahora tiene un rol más activo ya que Euge (que daba una mano) dejo el proyecto. 
</v>
      </c>
      <c r="J596" s="4" t="str">
        <f>IFERROR(__xludf.DUMMYFUNCTION("""COMPUTED_VALUE"""),"PX|Referents|RRHH")</f>
        <v>PX|Referents|RRHH</v>
      </c>
    </row>
    <row r="597" hidden="1">
      <c r="A597" s="4">
        <f>IFERROR(__xludf.DUMMYFUNCTION("""COMPUTED_VALUE"""),243.0)</f>
        <v>243</v>
      </c>
      <c r="B597" s="4" t="str">
        <f>IFERROR(__xludf.DUMMYFUNCTION("""COMPUTED_VALUE"""),"fernando.estevez")</f>
        <v>fernando.estevez</v>
      </c>
      <c r="C597" s="5">
        <f>IFERROR(__xludf.DUMMYFUNCTION("""COMPUTED_VALUE"""),45209.60827431713)</f>
        <v>45209.60827</v>
      </c>
      <c r="D597" s="5">
        <f>IFERROR(__xludf.DUMMYFUNCTION("""COMPUTED_VALUE"""),45196.0)</f>
        <v>45196</v>
      </c>
      <c r="E597" s="4" t="str">
        <f>IFERROR(__xludf.DUMMYFUNCTION("""COMPUTED_VALUE"""),"micaela.zorzetto@patagoniansys.com")</f>
        <v>micaela.zorzetto@patagoniansys.com</v>
      </c>
      <c r="F597" s="4" t="str">
        <f>IFERROR(__xludf.DUMMYFUNCTION("""COMPUTED_VALUE"""),"fernando.estevez@patagoniansys.com")</f>
        <v>fernando.estevez@patagoniansys.com</v>
      </c>
      <c r="G597" s="4" t="str">
        <f>IFERROR(__xludf.DUMMYFUNCTION("""COMPUTED_VALUE"""),"⏱ One on One")</f>
        <v>⏱ One on One</v>
      </c>
      <c r="H597" s="4" t="str">
        <f>IFERROR(__xludf.DUMMYFUNCTION("""COMPUTED_VALUE"""),"🙂 Feliz")</f>
        <v>🙂 Feliz</v>
      </c>
      <c r="I597" s="6" t="str">
        <f>IFERROR(__xludf.DUMMYFUNCTION("""COMPUTED_VALUE"""),"Fer me comentó lo contengo que esta en el proyecto, que aprende mucho de Jorge.
Luego nno charlamos nada mas relevante.")</f>
        <v>Fer me comentó lo contengo que esta en el proyecto, que aprende mucho de Jorge.
Luego nno charlamos nada mas relevante.</v>
      </c>
      <c r="J597" s="4" t="str">
        <f>IFERROR(__xludf.DUMMYFUNCTION("""COMPUTED_VALUE"""),"PX|Referents|RRHH")</f>
        <v>PX|Referents|RRHH</v>
      </c>
    </row>
    <row r="598" hidden="1">
      <c r="A598" s="4">
        <f>IFERROR(__xludf.DUMMYFUNCTION("""COMPUTED_VALUE"""),167.0)</f>
        <v>167</v>
      </c>
      <c r="B598" s="4" t="str">
        <f>IFERROR(__xludf.DUMMYFUNCTION("""COMPUTED_VALUE"""),"rodrigo.cibils")</f>
        <v>rodrigo.cibils</v>
      </c>
      <c r="C598" s="5">
        <f>IFERROR(__xludf.DUMMYFUNCTION("""COMPUTED_VALUE"""),45197.553491967585)</f>
        <v>45197.55349</v>
      </c>
      <c r="D598" s="5">
        <f>IFERROR(__xludf.DUMMYFUNCTION("""COMPUTED_VALUE"""),45197.0)</f>
        <v>45197</v>
      </c>
      <c r="E598" s="4" t="str">
        <f>IFERROR(__xludf.DUMMYFUNCTION("""COMPUTED_VALUE"""),"jesica.petrauskas@patagoniansys.com")</f>
        <v>jesica.petrauskas@patagoniansys.com</v>
      </c>
      <c r="F598" s="4" t="str">
        <f>IFERROR(__xludf.DUMMYFUNCTION("""COMPUTED_VALUE"""),"rodrigo.cibils@patagoniansys.com")</f>
        <v>rodrigo.cibils@patagoniansys.com</v>
      </c>
      <c r="G598" s="4" t="str">
        <f>IFERROR(__xludf.DUMMYFUNCTION("""COMPUTED_VALUE"""),"⏱ One on One")</f>
        <v>⏱ One on One</v>
      </c>
      <c r="H598" s="4" t="str">
        <f>IFERROR(__xludf.DUMMYFUNCTION("""COMPUTED_VALUE"""),"🙂 Feliz")</f>
        <v>🙂 Feliz</v>
      </c>
      <c r="I598" s="6" t="str">
        <f>IFERROR(__xludf.DUMMYFUNCTION("""COMPUTED_VALUE"""),"Con el proyecto sigue bien aunque esté un poco más lento todo, le sigue interesando meterse con react native por lo que si necesita vamos a hacer algún espacio para que pueda también ir viendo eso. Además le sirve para hacer las reviews de Eyethena. Tiene"&amp;" como propuesta certificar en iOS pero no para este año y está preparando la charla del DEC de octubre.")</f>
        <v>Con el proyecto sigue bien aunque esté un poco más lento todo, le sigue interesando meterse con react native por lo que si necesita vamos a hacer algún espacio para que pueda también ir viendo eso. Además le sirve para hacer las reviews de Eyethena. Tiene como propuesta certificar en iOS pero no para este año y está preparando la charla del DEC de octubre.</v>
      </c>
      <c r="J598" s="4" t="str">
        <f>IFERROR(__xludf.DUMMYFUNCTION("""COMPUTED_VALUE"""),"PX|Referents|RRHH")</f>
        <v>PX|Referents|RRHH</v>
      </c>
    </row>
    <row r="599">
      <c r="A599" s="4">
        <f>IFERROR(__xludf.DUMMYFUNCTION("""COMPUTED_VALUE"""),146.0)</f>
        <v>146</v>
      </c>
      <c r="B599" s="4" t="str">
        <f>IFERROR(__xludf.DUMMYFUNCTION("""COMPUTED_VALUE"""),"juan.martinezrios")</f>
        <v>juan.martinezrios</v>
      </c>
      <c r="C599" s="5">
        <f>IFERROR(__xludf.DUMMYFUNCTION("""COMPUTED_VALUE"""),45203.72342949074)</f>
        <v>45203.72343</v>
      </c>
      <c r="D599" s="5">
        <f>IFERROR(__xludf.DUMMYFUNCTION("""COMPUTED_VALUE"""),45197.0)</f>
        <v>45197</v>
      </c>
      <c r="E599" s="4" t="str">
        <f>IFERROR(__xludf.DUMMYFUNCTION("""COMPUTED_VALUE"""),"jmartinez@patagoniansys.com")</f>
        <v>jmartinez@patagoniansys.com</v>
      </c>
      <c r="F599" s="4" t="str">
        <f>IFERROR(__xludf.DUMMYFUNCTION("""COMPUTED_VALUE"""),"juan.martinezrios@patagonian.com")</f>
        <v>juan.martinezrios@patagonian.com</v>
      </c>
      <c r="G599" s="4" t="str">
        <f>IFERROR(__xludf.DUMMYFUNCTION("""COMPUTED_VALUE"""),"Referent One on One")</f>
        <v>Referent One on One</v>
      </c>
      <c r="H599" s="4"/>
      <c r="I599" s="6" t="str">
        <f>IFERROR(__xludf.DUMMYFUNCTION("""COMPUTED_VALUE"""),"- Interviewee e-Mail: juan.martinezrios@patagonian.com
- Project Status Check: Desde la ultima reunión Juan David cambió de proyecto, lo reubicaron en Zuka.
- Project Changes | Notes: El proyecto de AlMundo se cayó por motivos relacionados al cliente, seg"&amp;"ún Juan esto lo afectó de forma positiva porque le gusta el proyecto al que lo asignaron.
- Project Role | Feeling: 4
- Extra Work Hours | Amount: 0 (Ningúna)
- Techs | Research: Se ha dedicado a capacitarse en tecnologías que le interesan (JS, Angular, N"&amp;"ode, AWS), ha hecho algunos cursos y está cursando una carrera terciaria. Está interesado en dedicarle tiempo al plan de carrera Mobile.
- Collaborator | Seniority: 👍 No, es correcto
- Project Techs | Learning: 0
- Techs | Research: 20
- Project Techs | "&amp;"Difficulty: 4
- Project Changes | Reasons: ⬇️ Reducción del equipo, El proyecto se cayó por motivos relacionados al cliente
- Project Changes | Personal Impact: 4
- Project Role | Value: 4
- Project role | Notes: Le gusta el nuevo proyecto, se siente cómo"&amp;"do con las tecnologias (Strapi y Angular).")</f>
        <v>- Interviewee e-Mail: juan.martinezrios@patagonian.com
- Project Status Check: Desde la ultima reunión Juan David cambió de proyecto, lo reubicaron en Zuka.
- Project Changes | Notes: El proyecto de AlMundo se cayó por motivos relacionados al cliente, según Juan esto lo afectó de forma positiva porque le gusta el proyecto al que lo asignaron.
- Project Role | Feeling: 4
- Extra Work Hours | Amount: 0 (Ningúna)
- Techs | Research: Se ha dedicado a capacitarse en tecnologías que le interesan (JS, Angular, Node, AWS), ha hecho algunos cursos y está cursando una carrera terciaria. Está interesado en dedicarle tiempo al plan de carrera Mobile.
- Collaborator | Seniority: 👍 No, es correcto
- Project Techs | Learning: 0
- Techs | Research: 20
- Project Techs | Difficulty: 4
- Project Changes | Reasons: ⬇️ Reducción del equipo, El proyecto se cayó por motivos relacionados al cliente
- Project Changes | Personal Impact: 4
- Project Role | Value: 4
- Project role | Notes: Le gusta el nuevo proyecto, se siente cómodo con las tecnologias (Strapi y Angular).</v>
      </c>
      <c r="J599" s="4" t="str">
        <f>IFERROR(__xludf.DUMMYFUNCTION("""COMPUTED_VALUE"""),"Tech Referent - OneOnOne")</f>
        <v>Tech Referent - OneOnOne</v>
      </c>
    </row>
    <row r="600" hidden="1">
      <c r="A600" s="4">
        <f>IFERROR(__xludf.DUMMYFUNCTION("""COMPUTED_VALUE"""),7.0)</f>
        <v>7</v>
      </c>
      <c r="B600" s="4" t="str">
        <f>IFERROR(__xludf.DUMMYFUNCTION("""COMPUTED_VALUE"""),"daniel.mansilla")</f>
        <v>daniel.mansilla</v>
      </c>
      <c r="C600" s="5">
        <f>IFERROR(__xludf.DUMMYFUNCTION("""COMPUTED_VALUE"""),45209.660050590275)</f>
        <v>45209.66005</v>
      </c>
      <c r="D600" s="5">
        <f>IFERROR(__xludf.DUMMYFUNCTION("""COMPUTED_VALUE"""),45197.0)</f>
        <v>45197</v>
      </c>
      <c r="E600" s="4" t="str">
        <f>IFERROR(__xludf.DUMMYFUNCTION("""COMPUTED_VALUE"""),"micaela.zorzetto@patagoniansys.com")</f>
        <v>micaela.zorzetto@patagoniansys.com</v>
      </c>
      <c r="F600" s="4" t="str">
        <f>IFERROR(__xludf.DUMMYFUNCTION("""COMPUTED_VALUE"""),"daniel.mansilla@patagoniansys.com")</f>
        <v>daniel.mansilla@patagoniansys.com</v>
      </c>
      <c r="G600" s="4" t="str">
        <f>IFERROR(__xludf.DUMMYFUNCTION("""COMPUTED_VALUE"""),"⏱ One on One")</f>
        <v>⏱ One on One</v>
      </c>
      <c r="H600" s="4" t="str">
        <f>IFERROR(__xludf.DUMMYFUNCTION("""COMPUTED_VALUE"""),"😐 Indiferente")</f>
        <v>😐 Indiferente</v>
      </c>
      <c r="I600" s="6" t="str">
        <f>IFERROR(__xludf.DUMMYFUNCTION("""COMPUTED_VALUE"""),"Dani se siente estancado en el proyecto, me cuenta que no le genera ningun desafío ya que las tecnologías no son las que a él le gustaría o se siente que se esta alejando de lo que realmente quiere desarrollar para su carrera.
Ahora el proyecto esta un po"&amp;"co desordenado, a él lo enviaron ayudar a otro equipo pero no le dieron muchas directivas de lo que tenia que hacer.")</f>
        <v>Dani se siente estancado en el proyecto, me cuenta que no le genera ningun desafío ya que las tecnologías no son las que a él le gustaría o se siente que se esta alejando de lo que realmente quiere desarrollar para su carrera.
Ahora el proyecto esta un poco desordenado, a él lo enviaron ayudar a otro equipo pero no le dieron muchas directivas de lo que tenia que hacer.</v>
      </c>
      <c r="J600" s="4" t="str">
        <f>IFERROR(__xludf.DUMMYFUNCTION("""COMPUTED_VALUE"""),"PX|Referents|RRHH")</f>
        <v>PX|Referents|RRHH</v>
      </c>
    </row>
    <row r="601" hidden="1">
      <c r="A601" s="4">
        <f>IFERROR(__xludf.DUMMYFUNCTION("""COMPUTED_VALUE"""),131.0)</f>
        <v>131</v>
      </c>
      <c r="B601" s="4" t="str">
        <f>IFERROR(__xludf.DUMMYFUNCTION("""COMPUTED_VALUE"""),"luis.luna")</f>
        <v>luis.luna</v>
      </c>
      <c r="C601" s="5">
        <f>IFERROR(__xludf.DUMMYFUNCTION("""COMPUTED_VALUE"""),45217.6037596412)</f>
        <v>45217.60376</v>
      </c>
      <c r="D601" s="5">
        <f>IFERROR(__xludf.DUMMYFUNCTION("""COMPUTED_VALUE"""),45197.0)</f>
        <v>45197</v>
      </c>
      <c r="E601" s="4" t="str">
        <f>IFERROR(__xludf.DUMMYFUNCTION("""COMPUTED_VALUE"""),"micaela.zorzetto@patagoniansys.com")</f>
        <v>micaela.zorzetto@patagoniansys.com</v>
      </c>
      <c r="F601" s="4" t="str">
        <f>IFERROR(__xludf.DUMMYFUNCTION("""COMPUTED_VALUE"""),"luis.luna@patagoniansys.com")</f>
        <v>luis.luna@patagoniansys.com</v>
      </c>
      <c r="G601" s="4" t="str">
        <f>IFERROR(__xludf.DUMMYFUNCTION("""COMPUTED_VALUE"""),"⏱ One on One")</f>
        <v>⏱ One on One</v>
      </c>
      <c r="H601" s="4" t="str">
        <f>IFERROR(__xludf.DUMMYFUNCTION("""COMPUTED_VALUE"""),"🙂 Feliz")</f>
        <v>🙂 Feliz</v>
      </c>
      <c r="I601" s="6" t="str">
        <f>IFERROR(__xludf.DUMMYFUNCTION("""COMPUTED_VALUE"""),"El cliente felicito al equipo por el trabajo que vienen haciendo, se siente cómodo trabajando.
Ahora estan mas organizados, y tiene varias tarreas por hacer. ")</f>
        <v>El cliente felicito al equipo por el trabajo que vienen haciendo, se siente cómodo trabajando.
Ahora estan mas organizados, y tiene varias tarreas por hacer. </v>
      </c>
      <c r="J601" s="4" t="str">
        <f>IFERROR(__xludf.DUMMYFUNCTION("""COMPUTED_VALUE"""),"PX|Referents|RRHH")</f>
        <v>PX|Referents|RRHH</v>
      </c>
    </row>
    <row r="602" hidden="1">
      <c r="A602" s="4">
        <f>IFERROR(__xludf.DUMMYFUNCTION("""COMPUTED_VALUE"""),345.0)</f>
        <v>345</v>
      </c>
      <c r="B602" s="4" t="str">
        <f>IFERROR(__xludf.DUMMYFUNCTION("""COMPUTED_VALUE"""),"gaston.foyatier")</f>
        <v>gaston.foyatier</v>
      </c>
      <c r="C602" s="5">
        <f>IFERROR(__xludf.DUMMYFUNCTION("""COMPUTED_VALUE"""),45222.45100917824)</f>
        <v>45222.45101</v>
      </c>
      <c r="D602" s="5">
        <f>IFERROR(__xludf.DUMMYFUNCTION("""COMPUTED_VALUE"""),45197.0)</f>
        <v>45197</v>
      </c>
      <c r="E602" s="4" t="str">
        <f>IFERROR(__xludf.DUMMYFUNCTION("""COMPUTED_VALUE"""),"natalia.aguirre@patagoniansys.com")</f>
        <v>natalia.aguirre@patagoniansys.com</v>
      </c>
      <c r="F602" s="4" t="str">
        <f>IFERROR(__xludf.DUMMYFUNCTION("""COMPUTED_VALUE"""),"gaston.foyatier@patagoniansys.com")</f>
        <v>gaston.foyatier@patagoniansys.com</v>
      </c>
      <c r="G602" s="4" t="str">
        <f>IFERROR(__xludf.DUMMYFUNCTION("""COMPUTED_VALUE"""),"⏱ One on One")</f>
        <v>⏱ One on One</v>
      </c>
      <c r="H602" s="4" t="str">
        <f>IFERROR(__xludf.DUMMYFUNCTION("""COMPUTED_VALUE"""),"🙂 Feliz")</f>
        <v>🙂 Feliz</v>
      </c>
      <c r="I602" s="6" t="str">
        <f>IFERROR(__xludf.DUMMYFUNCTION("""COMPUTED_VALUE"""),"Empresa: la situación que pasamos con el cliente no me gustó, fue casi sin motivo, me alegró mucho la reacción de Fede defendiendonos, me siento como que dada la situación de la empresa (mucha gente en bench) y recien inicié en la empresa, queria que mi p"&amp;"rimer proyecto no tuviera mucho kilombo.")</f>
        <v>Empresa: la situación que pasamos con el cliente no me gustó, fue casi sin motivo, me alegró mucho la reacción de Fede defendiendonos, me siento como que dada la situación de la empresa (mucha gente en bench) y recien inicié en la empresa, queria que mi primer proyecto no tuviera mucho kilombo.</v>
      </c>
      <c r="J602" s="4" t="str">
        <f>IFERROR(__xludf.DUMMYFUNCTION("""COMPUTED_VALUE"""),"PX|Referents|RRHH")</f>
        <v>PX|Referents|RRHH</v>
      </c>
    </row>
    <row r="603" hidden="1">
      <c r="A603" s="4">
        <f>IFERROR(__xludf.DUMMYFUNCTION("""COMPUTED_VALUE"""),198.0)</f>
        <v>198</v>
      </c>
      <c r="B603" s="4" t="str">
        <f>IFERROR(__xludf.DUMMYFUNCTION("""COMPUTED_VALUE"""),"valeria.juarez")</f>
        <v>valeria.juarez</v>
      </c>
      <c r="C603" s="5">
        <f>IFERROR(__xludf.DUMMYFUNCTION("""COMPUTED_VALUE"""),45230.60989756944)</f>
        <v>45230.6099</v>
      </c>
      <c r="D603" s="5">
        <f>IFERROR(__xludf.DUMMYFUNCTION("""COMPUTED_VALUE"""),45197.0)</f>
        <v>45197</v>
      </c>
      <c r="E603" s="4" t="str">
        <f>IFERROR(__xludf.DUMMYFUNCTION("""COMPUTED_VALUE"""),"micaela.zorzetto@patagoniansys.com")</f>
        <v>micaela.zorzetto@patagoniansys.com</v>
      </c>
      <c r="F603" s="4" t="str">
        <f>IFERROR(__xludf.DUMMYFUNCTION("""COMPUTED_VALUE"""),"valeria.juarez@patagoniansys.com")</f>
        <v>valeria.juarez@patagoniansys.com</v>
      </c>
      <c r="G603" s="4" t="str">
        <f>IFERROR(__xludf.DUMMYFUNCTION("""COMPUTED_VALUE"""),"⏱ One on One")</f>
        <v>⏱ One on One</v>
      </c>
      <c r="H603" s="4" t="str">
        <f>IFERROR(__xludf.DUMMYFUNCTION("""COMPUTED_VALUE"""),"🙂 Feliz")</f>
        <v>🙂 Feliz</v>
      </c>
      <c r="I603" s="6" t="str">
        <f>IFERROR(__xludf.DUMMYFUNCTION("""COMPUTED_VALUE"""),"Esta muy contenta de estar trabajando en Halli, el equipo la recibió muy bien. 
Al principio tenia miedo de estar con ese cliente ya que no habia tenido muchas referencias pero ahora se siente cómoda. ")</f>
        <v>Esta muy contenta de estar trabajando en Halli, el equipo la recibió muy bien. 
Al principio tenia miedo de estar con ese cliente ya que no habia tenido muchas referencias pero ahora se siente cómoda. </v>
      </c>
      <c r="J603" s="4" t="str">
        <f>IFERROR(__xludf.DUMMYFUNCTION("""COMPUTED_VALUE"""),"PX|Referents|RRHH")</f>
        <v>PX|Referents|RRHH</v>
      </c>
    </row>
    <row r="604">
      <c r="A604" s="4">
        <f>IFERROR(__xludf.DUMMYFUNCTION("""COMPUTED_VALUE"""),248.0)</f>
        <v>248</v>
      </c>
      <c r="B604" s="4" t="str">
        <f>IFERROR(__xludf.DUMMYFUNCTION("""COMPUTED_VALUE"""),"geronimo.cornou")</f>
        <v>geronimo.cornou</v>
      </c>
      <c r="C604" s="5">
        <f>IFERROR(__xludf.DUMMYFUNCTION("""COMPUTED_VALUE"""),45202.444672349535)</f>
        <v>45202.44467</v>
      </c>
      <c r="D604" s="5">
        <f>IFERROR(__xludf.DUMMYFUNCTION("""COMPUTED_VALUE"""),45202.0)</f>
        <v>45202</v>
      </c>
      <c r="E604" s="4" t="str">
        <f>IFERROR(__xludf.DUMMYFUNCTION("""COMPUTED_VALUE"""),"luis.soto@patagoniansys.com")</f>
        <v>luis.soto@patagoniansys.com</v>
      </c>
      <c r="F604" s="4" t="str">
        <f>IFERROR(__xludf.DUMMYFUNCTION("""COMPUTED_VALUE"""),"geronimo.cornou@patagoniansys.com")</f>
        <v>geronimo.cornou@patagoniansys.com</v>
      </c>
      <c r="G604" s="4" t="str">
        <f>IFERROR(__xludf.DUMMYFUNCTION("""COMPUTED_VALUE"""),"Referent One on One")</f>
        <v>Referent One on One</v>
      </c>
      <c r="H604" s="4"/>
      <c r="I604" s="6" t="str">
        <f>IFERROR(__xludf.DUMMYFUNCTION("""COMPUTED_VALUE"""),"- Interviewee e-Mail: geronimo.cornou@patagoniansys.com
- Project Role | Feeling: 5
- Extra Work Hours | Amount: 0 (Ningúna)
- Techs | Research: De momento mostro bastante interes por unirse a Career Path de Pata
- Techs | Recomendations: un tutorial sobr"&amp;"e APIs de YouTube
- Collaborator | Seniority: 👍 No, es correcto
- Alerts: Ninguna alerta mas que sentirse motivado a formar parte del career path, probablemente actualmente siente que puede expandir mas sus conocimientos hacia areas mas ""tecnicas""
- Pr"&amp;"oject Needs / Oportunities: n/a
- Final notes: Buena actitud, se siente motivado, talvez muy levemenete preocupado y/o interesado por ir mas alla del testing manual que esta haciendo actualmente que es un poco basico en el sentido de que no maneja tools o"&amp;" tecnologias que talvez se manejan en la actualidad (de ahi la motivacion por el career path)
- Project Techs | Learning: 5
- Techs | Research: 0
- Project Techs | Difficulty: 4
- Project Changes | Reasons: 🟰 No hubo cambios
- Project Role | Value: 4
- P"&amp;"roject role | Notes: Esta en etapas finales de los proyectos y se siente a gusto")</f>
        <v>- Interviewee e-Mail: geronimo.cornou@patagoniansys.com
- Project Role | Feeling: 5
- Extra Work Hours | Amount: 0 (Ningúna)
- Techs | Research: De momento mostro bastante interes por unirse a Career Path de Pata
- Techs | Recomendations: un tutorial sobre APIs de YouTube
- Collaborator | Seniority: 👍 No, es correcto
- Alerts: Ninguna alerta mas que sentirse motivado a formar parte del career path, probablemente actualmente siente que puede expandir mas sus conocimientos hacia areas mas "tecnicas"
- Project Needs / Oportunities: n/a
- Final notes: Buena actitud, se siente motivado, talvez muy levemenete preocupado y/o interesado por ir mas alla del testing manual que esta haciendo actualmente que es un poco basico en el sentido de que no maneja tools o tecnologias que talvez se manejan en la actualidad (de ahi la motivacion por el career path)
- Project Techs | Learning: 5
- Techs | Research: 0
- Project Techs | Difficulty: 4
- Project Changes | Reasons: 🟰 No hubo cambios
- Project Role | Value: 4
- Project role | Notes: Esta en etapas finales de los proyectos y se siente a gusto</v>
      </c>
      <c r="J604" s="4" t="str">
        <f>IFERROR(__xludf.DUMMYFUNCTION("""COMPUTED_VALUE"""),"Tech Referent - OneOnOne")</f>
        <v>Tech Referent - OneOnOne</v>
      </c>
    </row>
    <row r="605">
      <c r="A605" s="4">
        <f>IFERROR(__xludf.DUMMYFUNCTION("""COMPUTED_VALUE"""),298.0)</f>
        <v>298</v>
      </c>
      <c r="B605" s="4" t="str">
        <f>IFERROR(__xludf.DUMMYFUNCTION("""COMPUTED_VALUE"""),"manuel.ortega")</f>
        <v>manuel.ortega</v>
      </c>
      <c r="C605" s="5">
        <f>IFERROR(__xludf.DUMMYFUNCTION("""COMPUTED_VALUE"""),45202.71558966435)</f>
        <v>45202.71559</v>
      </c>
      <c r="D605" s="5">
        <f>IFERROR(__xludf.DUMMYFUNCTION("""COMPUTED_VALUE"""),45202.0)</f>
        <v>45202</v>
      </c>
      <c r="E605" s="4" t="str">
        <f>IFERROR(__xludf.DUMMYFUNCTION("""COMPUTED_VALUE"""),"luciano.fuentes@patagoniansys.com")</f>
        <v>luciano.fuentes@patagoniansys.com</v>
      </c>
      <c r="F605" s="4" t="str">
        <f>IFERROR(__xludf.DUMMYFUNCTION("""COMPUTED_VALUE"""),"manuel.ortega@patagonian.com")</f>
        <v>manuel.ortega@patagonian.com</v>
      </c>
      <c r="G605" s="4" t="str">
        <f>IFERROR(__xludf.DUMMYFUNCTION("""COMPUTED_VALUE"""),"Referent One on One")</f>
        <v>Referent One on One</v>
      </c>
      <c r="H605" s="4"/>
      <c r="I605" s="6" t="str">
        <f>IFERROR(__xludf.DUMMYFUNCTION("""COMPUTED_VALUE"""),"- Interviewee e-Mail: manuel.ortega@patagonian.com
- Project Status Check: Finalizo un curso de ReactJS en udemy. Finalizo un curso de Typescript.
Ayudo en la creacion de una landing page con wix en santa app
- Project Role | Feeling: 5
- Extra Work Hours"&amp;" | Amount: 0 (Ningúna)
- Techs | Certifications: Obtuvo dos certificaciones Udemy
- Techs | Recomendations: https://v0.dev/
https://medium.com/@siddhatechsoftwares/next-js-best-practices-tips-for-clean-and-efficient-code-99dd31a14797
- Techs | Recomendati"&amp;"ons check: Si le pareció bastante interesante.
- Collaborator | Seniority: 👍 No, es correcto
- Alerts: Esta muy interesado en capacitarse y con el career path.
Se encuentra en bench. 
- Project Techs | Learning: 8
- Techs | Research: 8
- Project Techs | "&amp;"Difficulty: 5
- Project Changes | Reasons: 🟰 No hubo cambios
- Project Changes | Personal Impact: 5
- Project Role | Value: 5
- Project role | Notes: Se encuentra en Bench")</f>
        <v>- Interviewee e-Mail: manuel.ortega@patagonian.com
- Project Status Check: Finalizo un curso de ReactJS en udemy. Finalizo un curso de Typescript.
Ayudo en la creacion de una landing page con wix en santa app
- Project Role | Feeling: 5
- Extra Work Hours | Amount: 0 (Ningúna)
- Techs | Certifications: Obtuvo dos certificaciones Udemy
- Techs | Recomendations: https://v0.dev/
https://medium.com/@siddhatechsoftwares/next-js-best-practices-tips-for-clean-and-efficient-code-99dd31a14797
- Techs | Recomendations check: Si le pareció bastante interesante.
- Collaborator | Seniority: 👍 No, es correcto
- Alerts: Esta muy interesado en capacitarse y con el career path.
Se encuentra en bench. 
- Project Techs | Learning: 8
- Techs | Research: 8
- Project Techs | Difficulty: 5
- Project Changes | Reasons: 🟰 No hubo cambios
- Project Changes | Personal Impact: 5
- Project Role | Value: 5
- Project role | Notes: Se encuentra en Bench</v>
      </c>
      <c r="J605" s="4" t="str">
        <f>IFERROR(__xludf.DUMMYFUNCTION("""COMPUTED_VALUE"""),"Tech Referent - OneOnOne")</f>
        <v>Tech Referent - OneOnOne</v>
      </c>
    </row>
    <row r="606">
      <c r="A606" s="4">
        <f>IFERROR(__xludf.DUMMYFUNCTION("""COMPUTED_VALUE"""),230.0)</f>
        <v>230</v>
      </c>
      <c r="B606" s="4" t="str">
        <f>IFERROR(__xludf.DUMMYFUNCTION("""COMPUTED_VALUE"""),"jorge.contreras")</f>
        <v>jorge.contreras</v>
      </c>
      <c r="C606" s="5">
        <f>IFERROR(__xludf.DUMMYFUNCTION("""COMPUTED_VALUE"""),45203.487567025455)</f>
        <v>45203.48757</v>
      </c>
      <c r="D606" s="5">
        <f>IFERROR(__xludf.DUMMYFUNCTION("""COMPUTED_VALUE"""),45203.0)</f>
        <v>45203</v>
      </c>
      <c r="E606" s="4" t="str">
        <f>IFERROR(__xludf.DUMMYFUNCTION("""COMPUTED_VALUE"""),"brayan.barrios@patagoniansys.com")</f>
        <v>brayan.barrios@patagoniansys.com</v>
      </c>
      <c r="F606" s="4" t="str">
        <f>IFERROR(__xludf.DUMMYFUNCTION("""COMPUTED_VALUE"""),"jorge.contreras@patagonian.com")</f>
        <v>jorge.contreras@patagonian.com</v>
      </c>
      <c r="G606" s="4" t="str">
        <f>IFERROR(__xludf.DUMMYFUNCTION("""COMPUTED_VALUE"""),"Referent One on One")</f>
        <v>Referent One on One</v>
      </c>
      <c r="H606" s="4"/>
      <c r="I606" s="6" t="str">
        <f>IFERROR(__xludf.DUMMYFUNCTION("""COMPUTED_VALUE"""),"- Interviewee e-Mail: jorge.contreras@patagonian.com
- Project Status Check: En un ready build, entregó y Omar Fandiño. Luego estuvo colaborando con career path (full stack) y asi mismo capacitandose como arquitecto. Ahora entra a trabajar con Egg Live y "&amp;"Invap.
- Project Changes | Notes: La expectativa sobre lo que se viene a veces lo afecta un poco, pero una vez se inician las cosas todo sigue normal.
- Project Role | Feeling: 4
- Extra Work Hours | Amount: 0 (Ningúna)
- Techs | Recomendations: Seguir co"&amp;"n el path de arquitectura y la certificacion de aws cloud practitioneer
- Collaborator | Seniority: 👍 No, es correcto
- Alerts: La incertidumbre es dificil para el, cuando no hay actividades claras debemos acompañarlo de cerca.
- Project Needs / Oportuni"&amp;"ties: El proyecto de Egg tiene el potencial de requerir mas desarrolladores una vez se termine el assessment de arquitectura.
- Project Techs | Learning: 10
- Project Techs | Difficulty: 4
- Project Changes | Reasons: Ha cambiado de proyectos y por lo tan"&amp;"to cada proyecto tiene sus particularidades.
- Project Changes | Personal Impact: 4
- Project Role | Value: 5
- Project role | Notes: Le gusta el rol de arquitecto y consultor. Así que un rol mixto entre arquitecto y desarrollador tipo TL o Research estar"&amp;"ía muy interesante.")</f>
        <v>- Interviewee e-Mail: jorge.contreras@patagonian.com
- Project Status Check: En un ready build, entregó y Omar Fandiño. Luego estuvo colaborando con career path (full stack) y asi mismo capacitandose como arquitecto. Ahora entra a trabajar con Egg Live y Invap.
- Project Changes | Notes: La expectativa sobre lo que se viene a veces lo afecta un poco, pero una vez se inician las cosas todo sigue normal.
- Project Role | Feeling: 4
- Extra Work Hours | Amount: 0 (Ningúna)
- Techs | Recomendations: Seguir con el path de arquitectura y la certificacion de aws cloud practitioneer
- Collaborator | Seniority: 👍 No, es correcto
- Alerts: La incertidumbre es dificil para el, cuando no hay actividades claras debemos acompañarlo de cerca.
- Project Needs / Oportunities: El proyecto de Egg tiene el potencial de requerir mas desarrolladores una vez se termine el assessment de arquitectura.
- Project Techs | Learning: 10
- Project Techs | Difficulty: 4
- Project Changes | Reasons: Ha cambiado de proyectos y por lo tanto cada proyecto tiene sus particularidades.
- Project Changes | Personal Impact: 4
- Project Role | Value: 5
- Project role | Notes: Le gusta el rol de arquitecto y consultor. Así que un rol mixto entre arquitecto y desarrollador tipo TL o Research estaría muy interesante.</v>
      </c>
      <c r="J606" s="4" t="str">
        <f>IFERROR(__xludf.DUMMYFUNCTION("""COMPUTED_VALUE"""),"Tech Referent - OneOnOne")</f>
        <v>Tech Referent - OneOnOne</v>
      </c>
    </row>
    <row r="607">
      <c r="A607" s="4">
        <f>IFERROR(__xludf.DUMMYFUNCTION("""COMPUTED_VALUE"""),298.0)</f>
        <v>298</v>
      </c>
      <c r="B607" s="4" t="str">
        <f>IFERROR(__xludf.DUMMYFUNCTION("""COMPUTED_VALUE"""),"manuel.ortega")</f>
        <v>manuel.ortega</v>
      </c>
      <c r="C607" s="5">
        <f>IFERROR(__xludf.DUMMYFUNCTION("""COMPUTED_VALUE"""),45203.530859085644)</f>
        <v>45203.53086</v>
      </c>
      <c r="D607" s="5">
        <f>IFERROR(__xludf.DUMMYFUNCTION("""COMPUTED_VALUE"""),45203.0)</f>
        <v>45203</v>
      </c>
      <c r="E607" s="4" t="str">
        <f>IFERROR(__xludf.DUMMYFUNCTION("""COMPUTED_VALUE"""),"luciano.fuentes@patagoniansys.com")</f>
        <v>luciano.fuentes@patagoniansys.com</v>
      </c>
      <c r="F607" s="4" t="str">
        <f>IFERROR(__xludf.DUMMYFUNCTION("""COMPUTED_VALUE"""),"manuel.ortega@patagonian.com")</f>
        <v>manuel.ortega@patagonian.com</v>
      </c>
      <c r="G607" s="4" t="str">
        <f>IFERROR(__xludf.DUMMYFUNCTION("""COMPUTED_VALUE"""),"Referent One on One")</f>
        <v>Referent One on One</v>
      </c>
      <c r="H607" s="4"/>
      <c r="I607" s="6" t="str">
        <f>IFERROR(__xludf.DUMMYFUNCTION("""COMPUTED_VALUE"""),"- Interviewee e-Mail: manuel.ortega@patagonian.com
- Project Status Check: Power Apps con Vista Energy.
- Project Role | Feeling: 5
- Extra Work Hours | Amount: 0 (Ningúna)
- Techs | Research: Power Platforms 
- Techs | Recomendations: https://medium.com/"&amp;"@Acuvate.Software/5-best-microsoft-powerapps-use-cases-with-examples-ab55d850dbf9
- Collaborator | Seniority: 👍 No, es correcto
- Final notes: Lo veo con ganas de seguir capacitandose en Power Platforms de Microsoft. 
No tiene un proyecto fijo ya que don"&amp;"de estaba (VISTA) termino el proyecto y esta haciendo una tarea de CentriPly
- Project Techs | Learning: 2
- Techs | Research: 2
- Project Techs | Difficulty: 4
- Project Changes | Reasons: 🟰 No hubo cambios
- Project Role | Value: 5
- Project role | Not"&amp;"es: Esta buscando especializarse en la plataforma de power apps de microsoft")</f>
        <v>- Interviewee e-Mail: manuel.ortega@patagonian.com
- Project Status Check: Power Apps con Vista Energy.
- Project Role | Feeling: 5
- Extra Work Hours | Amount: 0 (Ningúna)
- Techs | Research: Power Platforms 
- Techs | Recomendations: https://medium.com/@Acuvate.Software/5-best-microsoft-powerapps-use-cases-with-examples-ab55d850dbf9
- Collaborator | Seniority: 👍 No, es correcto
- Final notes: Lo veo con ganas de seguir capacitandose en Power Platforms de Microsoft. 
No tiene un proyecto fijo ya que donde estaba (VISTA) termino el proyecto y esta haciendo una tarea de CentriPly
- Project Techs | Learning: 2
- Techs | Research: 2
- Project Techs | Difficulty: 4
- Project Changes | Reasons: 🟰 No hubo cambios
- Project Role | Value: 5
- Project role | Notes: Esta buscando especializarse en la plataforma de power apps de microsoft</v>
      </c>
      <c r="J607" s="4" t="str">
        <f>IFERROR(__xludf.DUMMYFUNCTION("""COMPUTED_VALUE"""),"Tech Referent - OneOnOne")</f>
        <v>Tech Referent - OneOnOne</v>
      </c>
    </row>
    <row r="608">
      <c r="A608" s="4">
        <f>IFERROR(__xludf.DUMMYFUNCTION("""COMPUTED_VALUE"""),247.0)</f>
        <v>247</v>
      </c>
      <c r="B608" s="4" t="str">
        <f>IFERROR(__xludf.DUMMYFUNCTION("""COMPUTED_VALUE"""),"isabel.yepes")</f>
        <v>isabel.yepes</v>
      </c>
      <c r="C608" s="5">
        <f>IFERROR(__xludf.DUMMYFUNCTION("""COMPUTED_VALUE"""),45204.45710016204)</f>
        <v>45204.4571</v>
      </c>
      <c r="D608" s="5">
        <f>IFERROR(__xludf.DUMMYFUNCTION("""COMPUTED_VALUE"""),45204.0)</f>
        <v>45204</v>
      </c>
      <c r="E608" s="4" t="str">
        <f>IFERROR(__xludf.DUMMYFUNCTION("""COMPUTED_VALUE"""),"luis.soto@patagoniansys.com")</f>
        <v>luis.soto@patagoniansys.com</v>
      </c>
      <c r="F608" s="4" t="str">
        <f>IFERROR(__xludf.DUMMYFUNCTION("""COMPUTED_VALUE"""),"isabel.yepes@patagoniansys.com")</f>
        <v>isabel.yepes@patagoniansys.com</v>
      </c>
      <c r="G608" s="4" t="str">
        <f>IFERROR(__xludf.DUMMYFUNCTION("""COMPUTED_VALUE"""),"Referent One on One")</f>
        <v>Referent One on One</v>
      </c>
      <c r="H608" s="4"/>
      <c r="I608" s="6" t="str">
        <f>IFERROR(__xludf.DUMMYFUNCTION("""COMPUTED_VALUE"""),"- Interviewee e-Mail: isabel.yepes@patagoniansys.com
- Project Status Check: Ahora esta 50/50 con INVAP y connect America
- Project Changes | Notes: Se siente motivada
- Project Role | Feeling: 5
- Extra Work Hours | Amount: 0 (Ningúna)
- Techs | Research"&amp;": Le gustaria un proyecto relacionado a Salud
- Techs | Recomendations: De momento esta muy full con varios proyectos en la cabeza, entonces la recomendacion fue enfocarse en eso y aprender todo lo nuevo
- Collaborator | Seniority: 👍 No, es correcto
- Al"&amp;"erts: Ninguno, solo se cuestiona que va a pasar con ella laboralmente dentro de Pata una vez en diciembre terminen los proyectos en los que esta.
- Project Techs | Learning: 8
- Techs | Research: 6
- Project Techs | Difficulty: 3
- Project Changes | Reaso"&amp;"ns: la agregaron a otro proyecto (INVAP)
- Project Changes | Personal Impact: 5
- Project Role | Value: 5
- Project role | Notes: Le gusta el ambiente dinamico, se siente motivada y se le nota genuinamente lo conforme y feliz que esta")</f>
        <v>- Interviewee e-Mail: isabel.yepes@patagoniansys.com
- Project Status Check: Ahora esta 50/50 con INVAP y connect America
- Project Changes | Notes: Se siente motivada
- Project Role | Feeling: 5
- Extra Work Hours | Amount: 0 (Ningúna)
- Techs | Research: Le gustaria un proyecto relacionado a Salud
- Techs | Recomendations: De momento esta muy full con varios proyectos en la cabeza, entonces la recomendacion fue enfocarse en eso y aprender todo lo nuevo
- Collaborator | Seniority: 👍 No, es correcto
- Alerts: Ninguno, solo se cuestiona que va a pasar con ella laboralmente dentro de Pata una vez en diciembre terminen los proyectos en los que esta.
- Project Techs | Learning: 8
- Techs | Research: 6
- Project Techs | Difficulty: 3
- Project Changes | Reasons: la agregaron a otro proyecto (INVAP)
- Project Changes | Personal Impact: 5
- Project Role | Value: 5
- Project role | Notes: Le gusta el ambiente dinamico, se siente motivada y se le nota genuinamente lo conforme y feliz que esta</v>
      </c>
      <c r="J608" s="4" t="str">
        <f>IFERROR(__xludf.DUMMYFUNCTION("""COMPUTED_VALUE"""),"Tech Referent - OneOnOne")</f>
        <v>Tech Referent - OneOnOne</v>
      </c>
    </row>
    <row r="609" hidden="1">
      <c r="A609" s="4">
        <f>IFERROR(__xludf.DUMMYFUNCTION("""COMPUTED_VALUE"""),346.0)</f>
        <v>346</v>
      </c>
      <c r="B609" s="4" t="str">
        <f>IFERROR(__xludf.DUMMYFUNCTION("""COMPUTED_VALUE"""),"daniel.almeida")</f>
        <v>daniel.almeida</v>
      </c>
      <c r="C609" s="5">
        <f>IFERROR(__xludf.DUMMYFUNCTION("""COMPUTED_VALUE"""),45204.47326675926)</f>
        <v>45204.47327</v>
      </c>
      <c r="D609" s="5">
        <f>IFERROR(__xludf.DUMMYFUNCTION("""COMPUTED_VALUE"""),45204.0)</f>
        <v>45204</v>
      </c>
      <c r="E609" s="4" t="str">
        <f>IFERROR(__xludf.DUMMYFUNCTION("""COMPUTED_VALUE"""),"marcela.benavides@patagoniansys.com")</f>
        <v>marcela.benavides@patagoniansys.com</v>
      </c>
      <c r="F609" s="4" t="str">
        <f>IFERROR(__xludf.DUMMYFUNCTION("""COMPUTED_VALUE"""),"daniel.almeida@patagoniansys.com")</f>
        <v>daniel.almeida@patagoniansys.com</v>
      </c>
      <c r="G609" s="4" t="str">
        <f>IFERROR(__xludf.DUMMYFUNCTION("""COMPUTED_VALUE"""),"⏱ One on One")</f>
        <v>⏱ One on One</v>
      </c>
      <c r="H609" s="4" t="str">
        <f>IFERROR(__xludf.DUMMYFUNCTION("""COMPUTED_VALUE"""),"😐 Indiferente")</f>
        <v>😐 Indiferente</v>
      </c>
      <c r="I609" s="6" t="str">
        <f>IFERROR(__xludf.DUMMYFUNCTION("""COMPUTED_VALUE"""),"Se esta sumando a las llamadas de QA que le parecen interesantes. A nivel proyecto esta un poco más movido, lo están moviendo a otro proyecto en Intuitive y apenas se encuentra recibiendo información. Con expectactiva de que llegue más info, de lo que se "&amp;"espera y sus responsabilidades. ")</f>
        <v>Se esta sumando a las llamadas de QA que le parecen interesantes. A nivel proyecto esta un poco más movido, lo están moviendo a otro proyecto en Intuitive y apenas se encuentra recibiendo información. Con expectactiva de que llegue más info, de lo que se espera y sus responsabilidades. </v>
      </c>
      <c r="J609" s="4" t="str">
        <f>IFERROR(__xludf.DUMMYFUNCTION("""COMPUTED_VALUE"""),"PX|Referents|RRHH")</f>
        <v>PX|Referents|RRHH</v>
      </c>
    </row>
    <row r="610" hidden="1">
      <c r="A610" s="4">
        <f>IFERROR(__xludf.DUMMYFUNCTION("""COMPUTED_VALUE"""),347.0)</f>
        <v>347</v>
      </c>
      <c r="B610" s="4" t="str">
        <f>IFERROR(__xludf.DUMMYFUNCTION("""COMPUTED_VALUE"""),"nicolas.netcoff")</f>
        <v>nicolas.netcoff</v>
      </c>
      <c r="C610" s="5">
        <f>IFERROR(__xludf.DUMMYFUNCTION("""COMPUTED_VALUE"""),45204.50698625)</f>
        <v>45204.50699</v>
      </c>
      <c r="D610" s="5">
        <f>IFERROR(__xludf.DUMMYFUNCTION("""COMPUTED_VALUE"""),45204.0)</f>
        <v>45204</v>
      </c>
      <c r="E610" s="4" t="str">
        <f>IFERROR(__xludf.DUMMYFUNCTION("""COMPUTED_VALUE"""),"marcela.benavides@patagoniansys.com")</f>
        <v>marcela.benavides@patagoniansys.com</v>
      </c>
      <c r="F610" s="4" t="str">
        <f>IFERROR(__xludf.DUMMYFUNCTION("""COMPUTED_VALUE"""),"nicolas.netcoff@patagoniansys.com")</f>
        <v>nicolas.netcoff@patagoniansys.com</v>
      </c>
      <c r="G610" s="4" t="str">
        <f>IFERROR(__xludf.DUMMYFUNCTION("""COMPUTED_VALUE"""),"⏱ One on One")</f>
        <v>⏱ One on One</v>
      </c>
      <c r="H610" s="4" t="str">
        <f>IFERROR(__xludf.DUMMYFUNCTION("""COMPUTED_VALUE"""),"😐 Indiferente")</f>
        <v>😐 Indiferente</v>
      </c>
      <c r="I610" s="6" t="str">
        <f>IFERROR(__xludf.DUMMYFUNCTION("""COMPUTED_VALUE"""),"El proyecto viene bien, tomando más forma, ya ha tenido chances de mostrar más sus habilidades técnicas. ")</f>
        <v>El proyecto viene bien, tomando más forma, ya ha tenido chances de mostrar más sus habilidades técnicas. </v>
      </c>
      <c r="J610" s="4" t="str">
        <f>IFERROR(__xludf.DUMMYFUNCTION("""COMPUTED_VALUE"""),"PX|Referents|RRHH")</f>
        <v>PX|Referents|RRHH</v>
      </c>
    </row>
    <row r="611">
      <c r="A611" s="4">
        <f>IFERROR(__xludf.DUMMYFUNCTION("""COMPUTED_VALUE"""),182.0)</f>
        <v>182</v>
      </c>
      <c r="B611" s="4" t="str">
        <f>IFERROR(__xludf.DUMMYFUNCTION("""COMPUTED_VALUE"""),"exequiel.soto")</f>
        <v>exequiel.soto</v>
      </c>
      <c r="C611" s="5">
        <f>IFERROR(__xludf.DUMMYFUNCTION("""COMPUTED_VALUE"""),45204.6944181713)</f>
        <v>45204.69442</v>
      </c>
      <c r="D611" s="5">
        <f>IFERROR(__xludf.DUMMYFUNCTION("""COMPUTED_VALUE"""),45204.0)</f>
        <v>45204</v>
      </c>
      <c r="E611" s="4" t="str">
        <f>IFERROR(__xludf.DUMMYFUNCTION("""COMPUTED_VALUE"""),"martin.castro@patagoniansys.com")</f>
        <v>martin.castro@patagoniansys.com</v>
      </c>
      <c r="F611" s="4" t="str">
        <f>IFERROR(__xludf.DUMMYFUNCTION("""COMPUTED_VALUE"""),"exequiel.soto@patagoniansys.com")</f>
        <v>exequiel.soto@patagoniansys.com</v>
      </c>
      <c r="G611" s="4" t="str">
        <f>IFERROR(__xludf.DUMMYFUNCTION("""COMPUTED_VALUE"""),"Referent One on One")</f>
        <v>Referent One on One</v>
      </c>
      <c r="H611" s="4"/>
      <c r="I611" s="6" t="str">
        <f>IFERROR(__xludf.DUMMYFUNCTION("""COMPUTED_VALUE"""),"- Interviewee e-Mail: exequiel.soto@patagoniansys.com
- Project Status Check: Volvió al Diario Rio Negro full-time
- Project Changes | Notes: El muchacho de DevOps hizo cambios que se necesitaban hace rato
- Project Role | Feeling: 5
- Extra Work Hours | "&amp;"Amount: 0 (Ningúna)
- Techs | Research: React
- Collaborator | Seniority: 👍 No, es correcto
- Project Techs | Learning: 0
- Techs | Research: 0
- Project Techs | Difficulty: 4
- Project Changes | Reasons: 🔧 Cambios de infraestructura
- Project Changes |"&amp;" Personal Impact: 4
- Project Role | Value: 5
- Project role | Notes: Ya esta mas acostumbrado a la tecnología. Por ej: PHP")</f>
        <v>- Interviewee e-Mail: exequiel.soto@patagoniansys.com
- Project Status Check: Volvió al Diario Rio Negro full-time
- Project Changes | Notes: El muchacho de DevOps hizo cambios que se necesitaban hace rato
- Project Role | Feeling: 5
- Extra Work Hours | Amount: 0 (Ningúna)
- Techs | Research: React
- Collaborator | Seniority: 👍 No, es correcto
- Project Techs | Learning: 0
- Techs | Research: 0
- Project Techs | Difficulty: 4
- Project Changes | Reasons: 🔧 Cambios de infraestructura
- Project Changes | Personal Impact: 4
- Project Role | Value: 5
- Project role | Notes: Ya esta mas acostumbrado a la tecnología. Por ej: PHP</v>
      </c>
      <c r="J611" s="4" t="str">
        <f>IFERROR(__xludf.DUMMYFUNCTION("""COMPUTED_VALUE"""),"Tech Referent - OneOnOne")</f>
        <v>Tech Referent - OneOnOne</v>
      </c>
    </row>
    <row r="612">
      <c r="A612" s="4">
        <f>IFERROR(__xludf.DUMMYFUNCTION("""COMPUTED_VALUE"""),235.0)</f>
        <v>235</v>
      </c>
      <c r="B612" s="4" t="str">
        <f>IFERROR(__xludf.DUMMYFUNCTION("""COMPUTED_VALUE"""),"jose.acosta")</f>
        <v>jose.acosta</v>
      </c>
      <c r="C612" s="5">
        <f>IFERROR(__xludf.DUMMYFUNCTION("""COMPUTED_VALUE"""),45204.72007949074)</f>
        <v>45204.72008</v>
      </c>
      <c r="D612" s="5">
        <f>IFERROR(__xludf.DUMMYFUNCTION("""COMPUTED_VALUE"""),45204.0)</f>
        <v>45204</v>
      </c>
      <c r="E612" s="4" t="str">
        <f>IFERROR(__xludf.DUMMYFUNCTION("""COMPUTED_VALUE"""),"daniel.mansilla@patagoniansys.com")</f>
        <v>daniel.mansilla@patagoniansys.com</v>
      </c>
      <c r="F612" s="4" t="str">
        <f>IFERROR(__xludf.DUMMYFUNCTION("""COMPUTED_VALUE"""),"jose.acosta@patagoniansys.com")</f>
        <v>jose.acosta@patagoniansys.com</v>
      </c>
      <c r="G612" s="4" t="str">
        <f>IFERROR(__xludf.DUMMYFUNCTION("""COMPUTED_VALUE"""),"Referent One on One")</f>
        <v>Referent One on One</v>
      </c>
      <c r="H612" s="4"/>
      <c r="I612" s="6" t="str">
        <f>IFERROR(__xludf.DUMMYFUNCTION("""COMPUTED_VALUE"""),"- Interviewee e-Mail: jose.acosta@patagoniansys.com
- Project Status Check: Está bench. Está haciendo algunas entrevistas para ver si ingresa a algún proyecto.
- Project Role | Feeling: 3
- Extra Work Hours | Amount: 0 (Ningúna)
- Collaborator | Seniority"&amp;": 👍 No, es correcto
- Alerts: Nada para destacar.
- Final notes: Respecto al Plan de Carrera. Ya inició a hacer algunas misiones. La idea es hacer la revisión de algunas antes de la siguiente 1 on 1.
- Project Techs | Learning: 10
- Project Techs | Diffi"&amp;"culty: 3
- Project Role | Value: 3
- Project role | Notes: No aplica.")</f>
        <v>- Interviewee e-Mail: jose.acosta@patagoniansys.com
- Project Status Check: Está bench. Está haciendo algunas entrevistas para ver si ingresa a algún proyecto.
- Project Role | Feeling: 3
- Extra Work Hours | Amount: 0 (Ningúna)
- Collaborator | Seniority: 👍 No, es correcto
- Alerts: Nada para destacar.
- Final notes: Respecto al Plan de Carrera. Ya inició a hacer algunas misiones. La idea es hacer la revisión de algunas antes de la siguiente 1 on 1.
- Project Techs | Learning: 10
- Project Techs | Difficulty: 3
- Project Role | Value: 3
- Project role | Notes: No aplica.</v>
      </c>
      <c r="J612" s="4" t="str">
        <f>IFERROR(__xludf.DUMMYFUNCTION("""COMPUTED_VALUE"""),"Tech Referent - OneOnOne")</f>
        <v>Tech Referent - OneOnOne</v>
      </c>
    </row>
    <row r="613">
      <c r="A613" s="4">
        <f>IFERROR(__xludf.DUMMYFUNCTION("""COMPUTED_VALUE"""),203.0)</f>
        <v>203</v>
      </c>
      <c r="B613" s="4" t="str">
        <f>IFERROR(__xludf.DUMMYFUNCTION("""COMPUTED_VALUE"""),"duverney.hernandez")</f>
        <v>duverney.hernandez</v>
      </c>
      <c r="C613" s="5">
        <f>IFERROR(__xludf.DUMMYFUNCTION("""COMPUTED_VALUE"""),45204.81925194444)</f>
        <v>45204.81925</v>
      </c>
      <c r="D613" s="5">
        <f>IFERROR(__xludf.DUMMYFUNCTION("""COMPUTED_VALUE"""),45204.0)</f>
        <v>45204</v>
      </c>
      <c r="E613" s="4" t="str">
        <f>IFERROR(__xludf.DUMMYFUNCTION("""COMPUTED_VALUE"""),"edgar.bonilla@patagoniansys.com")</f>
        <v>edgar.bonilla@patagoniansys.com</v>
      </c>
      <c r="F613" s="4" t="str">
        <f>IFERROR(__xludf.DUMMYFUNCTION("""COMPUTED_VALUE"""),"duverney.hernandez@patagoniansys.com")</f>
        <v>duverney.hernandez@patagoniansys.com</v>
      </c>
      <c r="G613" s="4" t="str">
        <f>IFERROR(__xludf.DUMMYFUNCTION("""COMPUTED_VALUE"""),"Referent One on One")</f>
        <v>Referent One on One</v>
      </c>
      <c r="H613" s="4"/>
      <c r="I613" s="6" t="str">
        <f>IFERROR(__xludf.DUMMYFUNCTION("""COMPUTED_VALUE"""),"- Interviewee e-Mail: duverney.hernandez@patagoniansys.com
- Project Status Check: - Le ha gustado bastante el cambio.
- Está apoyándose de Rodrigo Cibils cuando se bloquea. Rodrigo también hace Code Review.
- Ha estado aprendiendo nuevas tecnologías y "&amp;"librerías relacionadas con React Native.
- Está ahora un poco más familiarizado con el proceso de build and release de una aplicación con TestFlight y también con distribuciones de Firebase.
- Project Role | Feeling: 5
- Extra Work Hours | Amount: 0 (Nin"&amp;"gúna)
- Techs | Research: Firebase
- Collaborator | Seniority: 👍 No, es correcto
- Project Techs | Learning: 6
- Techs | Research: 4
- Project Techs | Difficulty: 4
- Project Changes | Reasons: 🟰 No hubo cambios
- Project Role | Value: 5
- Project role "&amp;"| Notes: Le gusta mucho lo que está siendo y se siente valioso y útil en el proyecto")</f>
        <v>- Interviewee e-Mail: duverney.hernandez@patagoniansys.com
- Project Status Check: - Le ha gustado bastante el cambio.
- Está apoyándose de Rodrigo Cibils cuando se bloquea. Rodrigo también hace Code Review.
- Ha estado aprendiendo nuevas tecnologías y librerías relacionadas con React Native.
- Está ahora un poco más familiarizado con el proceso de build and release de una aplicación con TestFlight y también con distribuciones de Firebase.
- Project Role | Feeling: 5
- Extra Work Hours | Amount: 0 (Ningúna)
- Techs | Research: Firebase
- Collaborator | Seniority: 👍 No, es correcto
- Project Techs | Learning: 6
- Techs | Research: 4
- Project Techs | Difficulty: 4
- Project Changes | Reasons: 🟰 No hubo cambios
- Project Role | Value: 5
- Project role | Notes: Le gusta mucho lo que está siendo y se siente valioso y útil en el proyecto</v>
      </c>
      <c r="J613" s="4" t="str">
        <f>IFERROR(__xludf.DUMMYFUNCTION("""COMPUTED_VALUE"""),"Tech Referent - OneOnOne")</f>
        <v>Tech Referent - OneOnOne</v>
      </c>
    </row>
    <row r="614" hidden="1">
      <c r="A614" s="4">
        <f>IFERROR(__xludf.DUMMYFUNCTION("""COMPUTED_VALUE"""),131.0)</f>
        <v>131</v>
      </c>
      <c r="B614" s="4" t="str">
        <f>IFERROR(__xludf.DUMMYFUNCTION("""COMPUTED_VALUE"""),"luis.luna")</f>
        <v>luis.luna</v>
      </c>
      <c r="C614" s="5">
        <f>IFERROR(__xludf.DUMMYFUNCTION("""COMPUTED_VALUE"""),45205.50074679398)</f>
        <v>45205.50075</v>
      </c>
      <c r="D614" s="5">
        <f>IFERROR(__xludf.DUMMYFUNCTION("""COMPUTED_VALUE"""),45205.0)</f>
        <v>45205</v>
      </c>
      <c r="E614" s="4" t="str">
        <f>IFERROR(__xludf.DUMMYFUNCTION("""COMPUTED_VALUE"""),"marcela.benavides@patagoniansys.com")</f>
        <v>marcela.benavides@patagoniansys.com</v>
      </c>
      <c r="F614" s="4" t="str">
        <f>IFERROR(__xludf.DUMMYFUNCTION("""COMPUTED_VALUE"""),"luis.luna@patagoniansys.com")</f>
        <v>luis.luna@patagoniansys.com</v>
      </c>
      <c r="G614" s="4" t="str">
        <f>IFERROR(__xludf.DUMMYFUNCTION("""COMPUTED_VALUE"""),"⏱ One on One")</f>
        <v>⏱ One on One</v>
      </c>
      <c r="H614" s="4" t="str">
        <f>IFERROR(__xludf.DUMMYFUNCTION("""COMPUTED_VALUE"""),"🙂 Feliz")</f>
        <v>🙂 Feliz</v>
      </c>
      <c r="I614" s="6" t="str">
        <f>IFERROR(__xludf.DUMMYFUNCTION("""COMPUTED_VALUE"""),"El proyecto viene bastante bien. Se siente cómodo con lo que viene desarrollando. ")</f>
        <v>El proyecto viene bastante bien. Se siente cómodo con lo que viene desarrollando. </v>
      </c>
      <c r="J614" s="4" t="str">
        <f>IFERROR(__xludf.DUMMYFUNCTION("""COMPUTED_VALUE"""),"PX|Referents|RRHH")</f>
        <v>PX|Referents|RRHH</v>
      </c>
    </row>
    <row r="615">
      <c r="A615" s="4">
        <f>IFERROR(__xludf.DUMMYFUNCTION("""COMPUTED_VALUE"""),125.0)</f>
        <v>125</v>
      </c>
      <c r="B615" s="4" t="str">
        <f>IFERROR(__xludf.DUMMYFUNCTION("""COMPUTED_VALUE"""),"pablo.triandafilide")</f>
        <v>pablo.triandafilide</v>
      </c>
      <c r="C615" s="5">
        <f>IFERROR(__xludf.DUMMYFUNCTION("""COMPUTED_VALUE"""),45205.710208020835)</f>
        <v>45205.71021</v>
      </c>
      <c r="D615" s="5">
        <f>IFERROR(__xludf.DUMMYFUNCTION("""COMPUTED_VALUE"""),45205.0)</f>
        <v>45205</v>
      </c>
      <c r="E615" s="4" t="str">
        <f>IFERROR(__xludf.DUMMYFUNCTION("""COMPUTED_VALUE"""),"eugenio.fioriti@patagoniansys.com")</f>
        <v>eugenio.fioriti@patagoniansys.com</v>
      </c>
      <c r="F615" s="4" t="str">
        <f>IFERROR(__xludf.DUMMYFUNCTION("""COMPUTED_VALUE"""),"pablo.triandafilide@patagonian.com")</f>
        <v>pablo.triandafilide@patagonian.com</v>
      </c>
      <c r="G615" s="4" t="str">
        <f>IFERROR(__xludf.DUMMYFUNCTION("""COMPUTED_VALUE"""),"Referent One on One")</f>
        <v>Referent One on One</v>
      </c>
      <c r="H615" s="4"/>
      <c r="I615" s="6" t="str">
        <f>IFERROR(__xludf.DUMMYFUNCTION("""COMPUTED_VALUE"""),"- Interviewee e-Mail: pablo.triandafilide@patagonian.com
- Project Status Check: Está con más tareas de backend que antes.
- Project Role | Feeling: 4
- Extra Work Hours | Amount: 0 (Ningúna)
- Techs | Research: Sigue estudiando GO y sumó Lua, lenguaje de"&amp;" scripting con intérprete en VIM que usa para hacer sus propios plugins de VIM. Con GO hizo el proyecto https://github.com/pablotrianda/brancher. Lo hace fuera de hora
- Collaborator | Seniority: 👍 No, es correcto
- Final notes: Pablo indica que empezó e"&amp;"l career path de backend developer, que terminó la primera misión, la cual quedó en status pending review y no se ha movido de ahí. Quiere saber cuándo va a tener algún feedback.
- Project Techs | Learning: 0
- Project Techs | Difficulty: 3
- Project Chan"&amp;"ges | Reasons: ⬇️ Reducción del equipo
- Project Changes | Personal Impact: 2
- Project Role | Value: 3
- Project role | Notes: No le suman ni le restan")</f>
        <v>- Interviewee e-Mail: pablo.triandafilide@patagonian.com
- Project Status Check: Está con más tareas de backend que antes.
- Project Role | Feeling: 4
- Extra Work Hours | Amount: 0 (Ningúna)
- Techs | Research: Sigue estudiando GO y sumó Lua, lenguaje de scripting con intérprete en VIM que usa para hacer sus propios plugins de VIM. Con GO hizo el proyecto https://github.com/pablotrianda/brancher. Lo hace fuera de hora
- Collaborator | Seniority: 👍 No, es correcto
- Final notes: Pablo indica que empezó el career path de backend developer, que terminó la primera misión, la cual quedó en status pending review y no se ha movido de ahí. Quiere saber cuándo va a tener algún feedback.
- Project Techs | Learning: 0
- Project Techs | Difficulty: 3
- Project Changes | Reasons: ⬇️ Reducción del equipo
- Project Changes | Personal Impact: 2
- Project Role | Value: 3
- Project role | Notes: No le suman ni le restan</v>
      </c>
      <c r="J615" s="4" t="str">
        <f>IFERROR(__xludf.DUMMYFUNCTION("""COMPUTED_VALUE"""),"Tech Referent - OneOnOne")</f>
        <v>Tech Referent - OneOnOne</v>
      </c>
    </row>
    <row r="616" hidden="1">
      <c r="A616" s="4">
        <f>IFERROR(__xludf.DUMMYFUNCTION("""COMPUTED_VALUE"""),340.0)</f>
        <v>340</v>
      </c>
      <c r="B616" s="4" t="str">
        <f>IFERROR(__xludf.DUMMYFUNCTION("""COMPUTED_VALUE"""),"maximiliano.tiezzi")</f>
        <v>maximiliano.tiezzi</v>
      </c>
      <c r="C616" s="5">
        <f>IFERROR(__xludf.DUMMYFUNCTION("""COMPUTED_VALUE"""),45230.610618182865)</f>
        <v>45230.61062</v>
      </c>
      <c r="D616" s="5">
        <f>IFERROR(__xludf.DUMMYFUNCTION("""COMPUTED_VALUE"""),45205.0)</f>
        <v>45205</v>
      </c>
      <c r="E616" s="4" t="str">
        <f>IFERROR(__xludf.DUMMYFUNCTION("""COMPUTED_VALUE"""),"micaela.zorzetto@patagoniansys.com")</f>
        <v>micaela.zorzetto@patagoniansys.com</v>
      </c>
      <c r="F616" s="4" t="str">
        <f>IFERROR(__xludf.DUMMYFUNCTION("""COMPUTED_VALUE"""),"maximiliano.tiezzi@patagoniansys.com")</f>
        <v>maximiliano.tiezzi@patagoniansys.com</v>
      </c>
      <c r="G616" s="4" t="str">
        <f>IFERROR(__xludf.DUMMYFUNCTION("""COMPUTED_VALUE"""),"⏱ One on One")</f>
        <v>⏱ One on One</v>
      </c>
      <c r="H616" s="4" t="str">
        <f>IFERROR(__xludf.DUMMYFUNCTION("""COMPUTED_VALUE"""),"🙂 Feliz")</f>
        <v>🙂 Feliz</v>
      </c>
      <c r="I616" s="6" t="str">
        <f>IFERROR(__xludf.DUMMYFUNCTION("""COMPUTED_VALUE"""),"Maxi no me comentó nada que fuera relevante. Esta bien trabajando en el proyecto y la empresa.
Solo me consulto como era el tema de vacaciones.")</f>
        <v>Maxi no me comentó nada que fuera relevante. Esta bien trabajando en el proyecto y la empresa.
Solo me consulto como era el tema de vacaciones.</v>
      </c>
      <c r="J616" s="4" t="str">
        <f>IFERROR(__xludf.DUMMYFUNCTION("""COMPUTED_VALUE"""),"PX|Referents|RRHH")</f>
        <v>PX|Referents|RRHH</v>
      </c>
    </row>
    <row r="617" hidden="1">
      <c r="A617" s="4">
        <f>IFERROR(__xludf.DUMMYFUNCTION("""COMPUTED_VALUE"""),234.0)</f>
        <v>234</v>
      </c>
      <c r="B617" s="4" t="str">
        <f>IFERROR(__xludf.DUMMYFUNCTION("""COMPUTED_VALUE"""),"matias.gudar")</f>
        <v>matias.gudar</v>
      </c>
      <c r="C617" s="5">
        <f>IFERROR(__xludf.DUMMYFUNCTION("""COMPUTED_VALUE"""),45232.70083255787)</f>
        <v>45232.70083</v>
      </c>
      <c r="D617" s="5">
        <f>IFERROR(__xludf.DUMMYFUNCTION("""COMPUTED_VALUE"""),45208.0)</f>
        <v>45208</v>
      </c>
      <c r="E617" s="4" t="str">
        <f>IFERROR(__xludf.DUMMYFUNCTION("""COMPUTED_VALUE"""),"micaela.zorzetto@patagoniansys.com")</f>
        <v>micaela.zorzetto@patagoniansys.com</v>
      </c>
      <c r="F617" s="4" t="str">
        <f>IFERROR(__xludf.DUMMYFUNCTION("""COMPUTED_VALUE"""),"matias.gudar@patagoniansys.com")</f>
        <v>matias.gudar@patagoniansys.com</v>
      </c>
      <c r="G617" s="4" t="str">
        <f>IFERROR(__xludf.DUMMYFUNCTION("""COMPUTED_VALUE"""),"⏱ One on One")</f>
        <v>⏱ One on One</v>
      </c>
      <c r="H617" s="4" t="str">
        <f>IFERROR(__xludf.DUMMYFUNCTION("""COMPUTED_VALUE"""),"🙂 Feliz")</f>
        <v>🙂 Feliz</v>
      </c>
      <c r="I617" s="6" t="str">
        <f>IFERROR(__xludf.DUMMYFUNCTION("""COMPUTED_VALUE"""),"Mati esta un poco inquieto porque estar en Bench. Lo tomo por sorpresa que el cliente de que no continue en el proyecto ya que realizaron recortes. 
Va a utilizar el tiempo para capacitarse y adelantar el plan de carrera.")</f>
        <v>Mati esta un poco inquieto porque estar en Bench. Lo tomo por sorpresa que el cliente de que no continue en el proyecto ya que realizaron recortes. 
Va a utilizar el tiempo para capacitarse y adelantar el plan de carrera.</v>
      </c>
      <c r="J617" s="4" t="str">
        <f>IFERROR(__xludf.DUMMYFUNCTION("""COMPUTED_VALUE"""),"PX|Referents|RRHH")</f>
        <v>PX|Referents|RRHH</v>
      </c>
    </row>
    <row r="618">
      <c r="A618" s="4">
        <f>IFERROR(__xludf.DUMMYFUNCTION("""COMPUTED_VALUE"""),310.0)</f>
        <v>310</v>
      </c>
      <c r="B618" s="4" t="str">
        <f>IFERROR(__xludf.DUMMYFUNCTION("""COMPUTED_VALUE"""),"xosed.penaloza")</f>
        <v>xosed.penaloza</v>
      </c>
      <c r="C618" s="5">
        <f>IFERROR(__xludf.DUMMYFUNCTION("""COMPUTED_VALUE"""),45209.697910115734)</f>
        <v>45209.69791</v>
      </c>
      <c r="D618" s="5">
        <f>IFERROR(__xludf.DUMMYFUNCTION("""COMPUTED_VALUE"""),45209.0)</f>
        <v>45209</v>
      </c>
      <c r="E618" s="4" t="str">
        <f>IFERROR(__xludf.DUMMYFUNCTION("""COMPUTED_VALUE"""),"andres.bolocco@patagoniansys.com")</f>
        <v>andres.bolocco@patagoniansys.com</v>
      </c>
      <c r="F618" s="4" t="str">
        <f>IFERROR(__xludf.DUMMYFUNCTION("""COMPUTED_VALUE"""),"xosed.penaloza@patagoniansys.com")</f>
        <v>xosed.penaloza@patagoniansys.com</v>
      </c>
      <c r="G618" s="4" t="str">
        <f>IFERROR(__xludf.DUMMYFUNCTION("""COMPUTED_VALUE"""),"Referent One on One")</f>
        <v>Referent One on One</v>
      </c>
      <c r="H618" s="4"/>
      <c r="I618" s="6" t="str">
        <f>IFERROR(__xludf.DUMMYFUNCTION("""COMPUTED_VALUE"""),"- Interviewee e-Mail: xosed.penaloza@patagoniansys.com
- Project Status Check: estuvo un tiempo off por licencia por apendicitis y porque fue padre, retomó bien en el proyecto sin problemas 
- Project Role | Feeling: 5
- Extra Work Hours | Amount: 0 (Ning"&amp;"úna)
- Techs | Research: ha hecho cursos para aprender React, NextJS, WebSockets, Docker, GitFlow, y haciendo proyectos personales, 4 hs al día
- Techs | Recomendations: recomiendo comunicar al TL y PM su interes por las tareas Devops para empezar a tomar"&amp;" alguna
- Collaborator | Seniority: 👍 No, es correcto
- Project Needs / Oportunities: buenas prácticas en el uso de Angular para las landings de CA
- Project Techs | Learning: 4
- Techs | Research: 4
- Project Techs | Difficulty: 5
- Project Changes | Re"&amp;"asons: 🟰 No hubo cambios
- Project Role | Value: 5
- Project role | Notes: le interesa DevOps, en CA sólo necesitan trabajo de desarrollo por ahora. pero trabaja chevere.")</f>
        <v>- Interviewee e-Mail: xosed.penaloza@patagoniansys.com
- Project Status Check: estuvo un tiempo off por licencia por apendicitis y porque fue padre, retomó bien en el proyecto sin problemas 
- Project Role | Feeling: 5
- Extra Work Hours | Amount: 0 (Ningúna)
- Techs | Research: ha hecho cursos para aprender React, NextJS, WebSockets, Docker, GitFlow, y haciendo proyectos personales, 4 hs al día
- Techs | Recomendations: recomiendo comunicar al TL y PM su interes por las tareas Devops para empezar a tomar alguna
- Collaborator | Seniority: 👍 No, es correcto
- Project Needs / Oportunities: buenas prácticas en el uso de Angular para las landings de CA
- Project Techs | Learning: 4
- Techs | Research: 4
- Project Techs | Difficulty: 5
- Project Changes | Reasons: 🟰 No hubo cambios
- Project Role | Value: 5
- Project role | Notes: le interesa DevOps, en CA sólo necesitan trabajo de desarrollo por ahora. pero trabaja chevere.</v>
      </c>
      <c r="J618" s="4" t="str">
        <f>IFERROR(__xludf.DUMMYFUNCTION("""COMPUTED_VALUE"""),"Tech Referent - OneOnOne")</f>
        <v>Tech Referent - OneOnOne</v>
      </c>
    </row>
    <row r="619" hidden="1">
      <c r="A619" s="4">
        <f>IFERROR(__xludf.DUMMYFUNCTION("""COMPUTED_VALUE"""),330.0)</f>
        <v>330</v>
      </c>
      <c r="B619" s="4" t="str">
        <f>IFERROR(__xludf.DUMMYFUNCTION("""COMPUTED_VALUE"""),"gabriel.ospina")</f>
        <v>gabriel.ospina</v>
      </c>
      <c r="C619" s="5">
        <f>IFERROR(__xludf.DUMMYFUNCTION("""COMPUTED_VALUE"""),45209.73853840278)</f>
        <v>45209.73854</v>
      </c>
      <c r="D619" s="5">
        <f>IFERROR(__xludf.DUMMYFUNCTION("""COMPUTED_VALUE"""),45209.0)</f>
        <v>45209</v>
      </c>
      <c r="E619" s="4" t="str">
        <f>IFERROR(__xludf.DUMMYFUNCTION("""COMPUTED_VALUE"""),"marcela.benavides@patagoniansys.com")</f>
        <v>marcela.benavides@patagoniansys.com</v>
      </c>
      <c r="F619" s="4" t="str">
        <f>IFERROR(__xludf.DUMMYFUNCTION("""COMPUTED_VALUE"""),"gabriel.ospina@patagoniansys.com")</f>
        <v>gabriel.ospina@patagoniansys.com</v>
      </c>
      <c r="G619" s="4" t="str">
        <f>IFERROR(__xludf.DUMMYFUNCTION("""COMPUTED_VALUE"""),"⏱ One on One")</f>
        <v>⏱ One on One</v>
      </c>
      <c r="H619" s="4" t="str">
        <f>IFERROR(__xludf.DUMMYFUNCTION("""COMPUTED_VALUE"""),"🙂 Feliz")</f>
        <v>🙂 Feliz</v>
      </c>
      <c r="I619" s="6" t="str">
        <f>IFERROR(__xludf.DUMMYFUNCTION("""COMPUTED_VALUE"""),"El proyecto le parece interesante y q le aporta, le gustaría hacer más automation. Su líder y equipo son muy amables.")</f>
        <v>El proyecto le parece interesante y q le aporta, le gustaría hacer más automation. Su líder y equipo son muy amables.</v>
      </c>
      <c r="J619" s="4" t="str">
        <f>IFERROR(__xludf.DUMMYFUNCTION("""COMPUTED_VALUE"""),"PX|Referents|RRHH")</f>
        <v>PX|Referents|RRHH</v>
      </c>
    </row>
    <row r="620">
      <c r="A620" s="4">
        <f>IFERROR(__xludf.DUMMYFUNCTION("""COMPUTED_VALUE"""),280.0)</f>
        <v>280</v>
      </c>
      <c r="B620" s="4" t="str">
        <f>IFERROR(__xludf.DUMMYFUNCTION("""COMPUTED_VALUE"""),"jose.flores")</f>
        <v>jose.flores</v>
      </c>
      <c r="C620" s="5">
        <f>IFERROR(__xludf.DUMMYFUNCTION("""COMPUTED_VALUE"""),45210.45159168981)</f>
        <v>45210.45159</v>
      </c>
      <c r="D620" s="5">
        <f>IFERROR(__xludf.DUMMYFUNCTION("""COMPUTED_VALUE"""),45210.0)</f>
        <v>45210</v>
      </c>
      <c r="E620" s="4" t="str">
        <f>IFERROR(__xludf.DUMMYFUNCTION("""COMPUTED_VALUE"""),"luciano.fuentes@patagoniansys.com")</f>
        <v>luciano.fuentes@patagoniansys.com</v>
      </c>
      <c r="F620" s="4" t="str">
        <f>IFERROR(__xludf.DUMMYFUNCTION("""COMPUTED_VALUE"""),"jose.flores@patagoniansys.com")</f>
        <v>jose.flores@patagoniansys.com</v>
      </c>
      <c r="G620" s="4" t="str">
        <f>IFERROR(__xludf.DUMMYFUNCTION("""COMPUTED_VALUE"""),"Referent One on One")</f>
        <v>Referent One on One</v>
      </c>
      <c r="H620" s="4"/>
      <c r="I620" s="6" t="str">
        <f>IFERROR(__xludf.DUMMYFUNCTION("""COMPUTED_VALUE"""),"- Interviewee e-Mail: jose.flores@patagoniansys.com
- Project Role | Feeling: 5
- Extra Work Hours | Amount: 0 (Ningúna)
- Techs | Recomendations: https://itnext.io/angular-is-getting-new-template-syntax-ff66bc5f02f7
- Techs | Recomendations check: Si le "&amp;"pareció interesante
- Collaborator | Seniority: 👍 No, es correcto
- Final notes: Se lo nota muy contento con el proyecto. y va creciendo profesionalmente y técnicamente día a día.
- Project Techs | Learning: 2
- Project Techs | Difficulty: 4
- Project Ch"&amp;"anges | Reasons: 🟰 No hubo cambios
- Project Role | Value: 5
- Project role | Notes: Se siente bastante bien y contento por el proyecto.")</f>
        <v>- Interviewee e-Mail: jose.flores@patagoniansys.com
- Project Role | Feeling: 5
- Extra Work Hours | Amount: 0 (Ningúna)
- Techs | Recomendations: https://itnext.io/angular-is-getting-new-template-syntax-ff66bc5f02f7
- Techs | Recomendations check: Si le pareció interesante
- Collaborator | Seniority: 👍 No, es correcto
- Final notes: Se lo nota muy contento con el proyecto. y va creciendo profesionalmente y técnicamente día a día.
- Project Techs | Learning: 2
- Project Techs | Difficulty: 4
- Project Changes | Reasons: 🟰 No hubo cambios
- Project Role | Value: 5
- Project role | Notes: Se siente bastante bien y contento por el proyecto.</v>
      </c>
      <c r="J620" s="4" t="str">
        <f>IFERROR(__xludf.DUMMYFUNCTION("""COMPUTED_VALUE"""),"Tech Referent - OneOnOne")</f>
        <v>Tech Referent - OneOnOne</v>
      </c>
    </row>
    <row r="621" hidden="1">
      <c r="A621" s="4">
        <f>IFERROR(__xludf.DUMMYFUNCTION("""COMPUTED_VALUE"""),313.0)</f>
        <v>313</v>
      </c>
      <c r="B621" s="4" t="str">
        <f>IFERROR(__xludf.DUMMYFUNCTION("""COMPUTED_VALUE"""),"julio.sirera")</f>
        <v>julio.sirera</v>
      </c>
      <c r="C621" s="5">
        <f>IFERROR(__xludf.DUMMYFUNCTION("""COMPUTED_VALUE"""),45210.45957089121)</f>
        <v>45210.45957</v>
      </c>
      <c r="D621" s="5">
        <f>IFERROR(__xludf.DUMMYFUNCTION("""COMPUTED_VALUE"""),45210.0)</f>
        <v>45210</v>
      </c>
      <c r="E621" s="4" t="str">
        <f>IFERROR(__xludf.DUMMYFUNCTION("""COMPUTED_VALUE"""),"juan.villamizar@patagoniansys.com")</f>
        <v>juan.villamizar@patagoniansys.com</v>
      </c>
      <c r="F621" s="4" t="str">
        <f>IFERROR(__xludf.DUMMYFUNCTION("""COMPUTED_VALUE"""),"julio.sirera@patagoniansys.com")</f>
        <v>julio.sirera@patagoniansys.com</v>
      </c>
      <c r="G621" s="4" t="str">
        <f>IFERROR(__xludf.DUMMYFUNCTION("""COMPUTED_VALUE"""),"⏱ One on One")</f>
        <v>⏱ One on One</v>
      </c>
      <c r="H621" s="4" t="str">
        <f>IFERROR(__xludf.DUMMYFUNCTION("""COMPUTED_VALUE"""),"🙂 Feliz")</f>
        <v>🙂 Feliz</v>
      </c>
      <c r="I621" s="6" t="str">
        <f>IFERROR(__xludf.DUMMYFUNCTION("""COMPUTED_VALUE"""),"Desde el rol de QA en el proyecto siente que hace su trabajo adecuadamente y no tiene quejas ni reclamos del cliente, por el contrario el cliente manifiesta estar en disposición de continuar con su contrato para el proximo año. Le gusta ser mentor y acomp"&amp;"añar el proceso de los chicos en QA. ")</f>
        <v>Desde el rol de QA en el proyecto siente que hace su trabajo adecuadamente y no tiene quejas ni reclamos del cliente, por el contrario el cliente manifiesta estar en disposición de continuar con su contrato para el proximo año. Le gusta ser mentor y acompañar el proceso de los chicos en QA. </v>
      </c>
      <c r="J621" s="4" t="str">
        <f>IFERROR(__xludf.DUMMYFUNCTION("""COMPUTED_VALUE"""),"PX|Referents|RRHH")</f>
        <v>PX|Referents|RRHH</v>
      </c>
    </row>
    <row r="622" hidden="1">
      <c r="A622" s="4">
        <f>IFERROR(__xludf.DUMMYFUNCTION("""COMPUTED_VALUE"""),197.0)</f>
        <v>197</v>
      </c>
      <c r="B622" s="4" t="str">
        <f>IFERROR(__xludf.DUMMYFUNCTION("""COMPUTED_VALUE"""),"gianfranco.fois")</f>
        <v>gianfranco.fois</v>
      </c>
      <c r="C622" s="5">
        <f>IFERROR(__xludf.DUMMYFUNCTION("""COMPUTED_VALUE"""),45236.47468245371)</f>
        <v>45236.47468</v>
      </c>
      <c r="D622" s="5">
        <f>IFERROR(__xludf.DUMMYFUNCTION("""COMPUTED_VALUE"""),45210.0)</f>
        <v>45210</v>
      </c>
      <c r="E622" s="4" t="str">
        <f>IFERROR(__xludf.DUMMYFUNCTION("""COMPUTED_VALUE"""),"micaela.zorzetto@patagoniansys.com")</f>
        <v>micaela.zorzetto@patagoniansys.com</v>
      </c>
      <c r="F622" s="4" t="str">
        <f>IFERROR(__xludf.DUMMYFUNCTION("""COMPUTED_VALUE"""),"gianfranco.fois@patagoniansys.com")</f>
        <v>gianfranco.fois@patagoniansys.com</v>
      </c>
      <c r="G622" s="4" t="str">
        <f>IFERROR(__xludf.DUMMYFUNCTION("""COMPUTED_VALUE"""),"⏱ One on One")</f>
        <v>⏱ One on One</v>
      </c>
      <c r="H622" s="4" t="str">
        <f>IFERROR(__xludf.DUMMYFUNCTION("""COMPUTED_VALUE"""),"🙂 Feliz")</f>
        <v>🙂 Feliz</v>
      </c>
      <c r="I622" s="6" t="str">
        <f>IFERROR(__xludf.DUMMYFUNCTION("""COMPUTED_VALUE"""),"Gian se encuentra cómodo y contento. No me comentó ningún tema que deba llevar seguimiento")</f>
        <v>Gian se encuentra cómodo y contento. No me comentó ningún tema que deba llevar seguimiento</v>
      </c>
      <c r="J622" s="4" t="str">
        <f>IFERROR(__xludf.DUMMYFUNCTION("""COMPUTED_VALUE"""),"PX|Referents|RRHH")</f>
        <v>PX|Referents|RRHH</v>
      </c>
    </row>
    <row r="623">
      <c r="A623" s="4">
        <f>IFERROR(__xludf.DUMMYFUNCTION("""COMPUTED_VALUE"""),204.0)</f>
        <v>204</v>
      </c>
      <c r="B623" s="4" t="str">
        <f>IFERROR(__xludf.DUMMYFUNCTION("""COMPUTED_VALUE"""),"luisa.fernandez")</f>
        <v>luisa.fernandez</v>
      </c>
      <c r="C623" s="5">
        <f>IFERROR(__xludf.DUMMYFUNCTION("""COMPUTED_VALUE"""),45211.47413013889)</f>
        <v>45211.47413</v>
      </c>
      <c r="D623" s="5">
        <f>IFERROR(__xludf.DUMMYFUNCTION("""COMPUTED_VALUE"""),45211.0)</f>
        <v>45211</v>
      </c>
      <c r="E623" s="4" t="str">
        <f>IFERROR(__xludf.DUMMYFUNCTION("""COMPUTED_VALUE"""),"martin.infante@patagoniansys.com")</f>
        <v>martin.infante@patagoniansys.com</v>
      </c>
      <c r="F623" s="4" t="str">
        <f>IFERROR(__xludf.DUMMYFUNCTION("""COMPUTED_VALUE"""),"luisa.fernandez@patagoniansys.com")</f>
        <v>luisa.fernandez@patagoniansys.com</v>
      </c>
      <c r="G623" s="4" t="str">
        <f>IFERROR(__xludf.DUMMYFUNCTION("""COMPUTED_VALUE"""),"Referent One on One")</f>
        <v>Referent One on One</v>
      </c>
      <c r="H623" s="4"/>
      <c r="I623" s="6" t="str">
        <f>IFERROR(__xludf.DUMMYFUNCTION("""COMPUTED_VALUE"""),"- Interviewee e-Mail: luisa.fernandez@patagoniansys.com
- Project Status Check: El proyecto siguio bien. Sin cambios.
- Project Role | Feeling: 4
- Extra Work Hours | Amount: 0 (Ningúna)
- Collaborator | Seniority: 👍 No, es correcto
- Final notes: Le gus"&amp;"taria cambiar de career path. Posiblemente al de Data.
- Project Techs | Learning: 2
- Project Techs | Difficulty: 4
- Project Changes | Reasons: 🟰 No hubo cambios
- Project Role | Value: 4
- Project role | Notes: El proyecto le da mucho espacio para est"&amp;"udiar otras cosas. El proyecto en si no tiene mucho challenge.")</f>
        <v>- Interviewee e-Mail: luisa.fernandez@patagoniansys.com
- Project Status Check: El proyecto siguio bien. Sin cambios.
- Project Role | Feeling: 4
- Extra Work Hours | Amount: 0 (Ningúna)
- Collaborator | Seniority: 👍 No, es correcto
- Final notes: Le gustaria cambiar de career path. Posiblemente al de Data.
- Project Techs | Learning: 2
- Project Techs | Difficulty: 4
- Project Changes | Reasons: 🟰 No hubo cambios
- Project Role | Value: 4
- Project role | Notes: El proyecto le da mucho espacio para estudiar otras cosas. El proyecto en si no tiene mucho challenge.</v>
      </c>
      <c r="J623" s="4" t="str">
        <f>IFERROR(__xludf.DUMMYFUNCTION("""COMPUTED_VALUE"""),"Tech Referent - OneOnOne")</f>
        <v>Tech Referent - OneOnOne</v>
      </c>
    </row>
    <row r="624">
      <c r="A624" s="4">
        <f>IFERROR(__xludf.DUMMYFUNCTION("""COMPUTED_VALUE"""),201.0)</f>
        <v>201</v>
      </c>
      <c r="B624" s="4" t="str">
        <f>IFERROR(__xludf.DUMMYFUNCTION("""COMPUTED_VALUE"""),"daniel.cardenas")</f>
        <v>daniel.cardenas</v>
      </c>
      <c r="C624" s="5">
        <f>IFERROR(__xludf.DUMMYFUNCTION("""COMPUTED_VALUE"""),45218.780820162036)</f>
        <v>45218.78082</v>
      </c>
      <c r="D624" s="5">
        <f>IFERROR(__xludf.DUMMYFUNCTION("""COMPUTED_VALUE"""),45211.0)</f>
        <v>45211</v>
      </c>
      <c r="E624" s="4" t="str">
        <f>IFERROR(__xludf.DUMMYFUNCTION("""COMPUTED_VALUE"""),"edgar.bonilla@patagoniansys.com")</f>
        <v>edgar.bonilla@patagoniansys.com</v>
      </c>
      <c r="F624" s="4" t="str">
        <f>IFERROR(__xludf.DUMMYFUNCTION("""COMPUTED_VALUE"""),"daniel.cardenas@patagoniansys.com")</f>
        <v>daniel.cardenas@patagoniansys.com</v>
      </c>
      <c r="G624" s="4" t="str">
        <f>IFERROR(__xludf.DUMMYFUNCTION("""COMPUTED_VALUE"""),"Referent One on One")</f>
        <v>Referent One on One</v>
      </c>
      <c r="H624" s="4"/>
      <c r="I624" s="6" t="str">
        <f>IFERROR(__xludf.DUMMYFUNCTION("""COMPUTED_VALUE"""),"- Interviewee e-Mail: daniel.cardenas@patagoniansys.com
- Project Status Check: Ahora está entrando en un proyecto nuevo que se llama BTA -&gt; Beat The Americas, del cliente Connect Americas.
Es una App Mobile hecha en React Native.
Se encuentra entusiasm"&amp;"ado por el nuevo proyecto.
Previamente mientras estaba en Bench, estuvo trabajando con Power Apps, también con Amazon probando varios servicios como S3, Lambda, entre otros relacionados con Data y AI. También estuvo contribuyendo al proyecto de Piwe Pow"&amp;"ers y al proyecto de Data Lake de Patagonian.
- Project Changes | Notes: Además de estar trabajando en algo que le gusta, tanto mientras estaba en Bench como ahora que tiene proyecto. La sensación de tranquilidad también le suma, ya que también ha experim"&amp;"entado en un momento el temor de quedarse sin trabajo si está mucho tiempo en el bench, como ha pasado con otros compañeros.
- Project Role | Feeling: 4
- Extra Work Hours | Amount: 0 (Ningúna)
- Techs | Research: Power Apps, también con Amazon probando v"&amp;"arios servicios como S3, Lambda, entre otros relacionados con Data y AI.
- Collaborator | Seniority: 👍 No, es correcto
- Project Techs | Learning: 4
- Techs | Research: 16
- Project Techs | Difficulty: 4
- Project Changes | Reasons: Inicia un nuevo proye"&amp;"cto
- Project Changes | Personal Impact: 5
- Project Role | Value: 4
- Project role | Notes: Está trabajando en algo que le gusta y le agrega valor.")</f>
        <v>- Interviewee e-Mail: daniel.cardenas@patagoniansys.com
- Project Status Check: Ahora está entrando en un proyecto nuevo que se llama BTA -&gt; Beat The Americas, del cliente Connect Americas.
Es una App Mobile hecha en React Native.
Se encuentra entusiasmado por el nuevo proyecto.
Previamente mientras estaba en Bench, estuvo trabajando con Power Apps, también con Amazon probando varios servicios como S3, Lambda, entre otros relacionados con Data y AI. También estuvo contribuyendo al proyecto de Piwe Powers y al proyecto de Data Lake de Patagonian.
- Project Changes | Notes: Además de estar trabajando en algo que le gusta, tanto mientras estaba en Bench como ahora que tiene proyecto. La sensación de tranquilidad también le suma, ya que también ha experimentado en un momento el temor de quedarse sin trabajo si está mucho tiempo en el bench, como ha pasado con otros compañeros.
- Project Role | Feeling: 4
- Extra Work Hours | Amount: 0 (Ningúna)
- Techs | Research: Power Apps, también con Amazon probando varios servicios como S3, Lambda, entre otros relacionados con Data y AI.
- Collaborator | Seniority: 👍 No, es correcto
- Project Techs | Learning: 4
- Techs | Research: 16
- Project Techs | Difficulty: 4
- Project Changes | Reasons: Inicia un nuevo proyecto
- Project Changes | Personal Impact: 5
- Project Role | Value: 4
- Project role | Notes: Está trabajando en algo que le gusta y le agrega valor.</v>
      </c>
      <c r="J624" s="4" t="str">
        <f>IFERROR(__xludf.DUMMYFUNCTION("""COMPUTED_VALUE"""),"Tech Referent - OneOnOne")</f>
        <v>Tech Referent - OneOnOne</v>
      </c>
    </row>
    <row r="625">
      <c r="A625" s="4">
        <f>IFERROR(__xludf.DUMMYFUNCTION("""COMPUTED_VALUE"""),279.0)</f>
        <v>279</v>
      </c>
      <c r="B625" s="4" t="str">
        <f>IFERROR(__xludf.DUMMYFUNCTION("""COMPUTED_VALUE"""),"emerson.pereira")</f>
        <v>emerson.pereira</v>
      </c>
      <c r="C625" s="5">
        <f>IFERROR(__xludf.DUMMYFUNCTION("""COMPUTED_VALUE"""),45212.67214665509)</f>
        <v>45212.67215</v>
      </c>
      <c r="D625" s="5">
        <f>IFERROR(__xludf.DUMMYFUNCTION("""COMPUTED_VALUE"""),45212.0)</f>
        <v>45212</v>
      </c>
      <c r="E625" s="4" t="str">
        <f>IFERROR(__xludf.DUMMYFUNCTION("""COMPUTED_VALUE"""),"ivan.vasquez@patagoniansys.com")</f>
        <v>ivan.vasquez@patagoniansys.com</v>
      </c>
      <c r="F625" s="4" t="str">
        <f>IFERROR(__xludf.DUMMYFUNCTION("""COMPUTED_VALUE"""),"emerson.pereira@patagoniansys.com")</f>
        <v>emerson.pereira@patagoniansys.com</v>
      </c>
      <c r="G625" s="4" t="str">
        <f>IFERROR(__xludf.DUMMYFUNCTION("""COMPUTED_VALUE"""),"Referent One on One")</f>
        <v>Referent One on One</v>
      </c>
      <c r="H625" s="4"/>
      <c r="I625" s="6" t="str">
        <f>IFERROR(__xludf.DUMMYFUNCTION("""COMPUTED_VALUE"""),"- Interviewee e-Mail: emerson.pereira@patagoniansys.com
- Project Status Check: polarion es un tool para la ejecucion de TCs que aprendio a travez de la plataforma de aprendizaje que tiene su proyecto y que fue necesario para continuar con el proyecto. No"&amp;" necesito ayuda, pero la empresa se tomo algun tiempo para validar el aprendizaje del curso por que hubo una confusion con el nombre del curso
- Project Changes | Notes: No hubo cambios dentro del proyecto o en su estructura como tal. Por lo tanto, no hub"&amp;"o afectacion hacia el colaborador
- Project Role | Feeling: 4
- Extra Work Hours | Amount: 0 (Ningúna)
- Extra Work Hours | Reason: 🙋Decisión propia
- Techs | Research: No tuvo tiempo para aprender alguna nueva tecnología
- Techs | Certifications: Ningun"&amp;"a
- Techs | Recomendations: el colaborador esta estudiando para su certificacion ISTQB y para aprender Selenium con python
- Techs | Recomendations check: si las reviso.
- Collaborator | Seniority: 👍 No, es correcto
- Alerts: Ninguna
- Project Needs / Op"&amp;"ortunities: Se podria sugerir implementar una metologia de desarrollo mas agil.
- Final notes: Sin observaciones
- Project Techs | Learning: 0
- Techs | Research: 0
- Project Techs | Difficulty: 4
- Project Changes | Reasons: 🟰 No hubo cambios
- Project "&amp;"Changes | Personal Impact: 3
- Project Role | Value: 4
- Project role | Notes: Es unico recurso QA dentro del equipo, asi que su trabajo es fundamental para el equipo")</f>
        <v>- Interviewee e-Mail: emerson.pereira@patagoniansys.com
- Project Status Check: polarion es un tool para la ejecucion de TCs que aprendio a travez de la plataforma de aprendizaje que tiene su proyecto y que fue necesario para continuar con el proyecto. No necesito ayuda, pero la empresa se tomo algun tiempo para validar el aprendizaje del curso por que hubo una confusion con el nombre del curso
- Project Changes | Notes: No hubo cambios dentro del proyecto o en su estructura como tal. Por lo tanto, no hubo afectacion hacia el colaborador
- Project Role | Feeling: 4
- Extra Work Hours | Amount: 0 (Ningúna)
- Extra Work Hours | Reason: 🙋Decisión propia
- Techs | Research: No tuvo tiempo para aprender alguna nueva tecnología
- Techs | Certifications: Ninguna
- Techs | Recomendations: el colaborador esta estudiando para su certificacion ISTQB y para aprender Selenium con python
- Techs | Recomendations check: si las reviso.
- Collaborator | Seniority: 👍 No, es correcto
- Alerts: Ninguna
- Project Needs / Oportunities: Se podria sugerir implementar una metologia de desarrollo mas agil.
- Final notes: Sin observaciones
- Project Techs | Learning: 0
- Techs | Research: 0
- Project Techs | Difficulty: 4
- Project Changes | Reasons: 🟰 No hubo cambios
- Project Changes | Personal Impact: 3
- Project Role | Value: 4
- Project role | Notes: Es unico recurso QA dentro del equipo, asi que su trabajo es fundamental para el equipo</v>
      </c>
      <c r="J625" s="4" t="str">
        <f>IFERROR(__xludf.DUMMYFUNCTION("""COMPUTED_VALUE"""),"Tech Referent - OneOnOne")</f>
        <v>Tech Referent - OneOnOne</v>
      </c>
    </row>
    <row r="626">
      <c r="A626" s="4">
        <f>IFERROR(__xludf.DUMMYFUNCTION("""COMPUTED_VALUE"""),254.0)</f>
        <v>254</v>
      </c>
      <c r="B626" s="4" t="str">
        <f>IFERROR(__xludf.DUMMYFUNCTION("""COMPUTED_VALUE"""),"ismael.cespedes")</f>
        <v>ismael.cespedes</v>
      </c>
      <c r="C626" s="5">
        <f>IFERROR(__xludf.DUMMYFUNCTION("""COMPUTED_VALUE"""),45216.4668143287)</f>
        <v>45216.46681</v>
      </c>
      <c r="D626" s="5">
        <f>IFERROR(__xludf.DUMMYFUNCTION("""COMPUTED_VALUE"""),45216.0)</f>
        <v>45216</v>
      </c>
      <c r="E626" s="4" t="str">
        <f>IFERROR(__xludf.DUMMYFUNCTION("""COMPUTED_VALUE"""),"juan.calou@patagoniansys.com")</f>
        <v>juan.calou@patagoniansys.com</v>
      </c>
      <c r="F626" s="4" t="str">
        <f>IFERROR(__xludf.DUMMYFUNCTION("""COMPUTED_VALUE"""),"ismael.cespedes@patagonian.com")</f>
        <v>ismael.cespedes@patagonian.com</v>
      </c>
      <c r="G626" s="4" t="str">
        <f>IFERROR(__xludf.DUMMYFUNCTION("""COMPUTED_VALUE"""),"Referent One on One")</f>
        <v>Referent One on One</v>
      </c>
      <c r="H626" s="4"/>
      <c r="I626" s="6" t="str">
        <f>IFERROR(__xludf.DUMMYFUNCTION("""COMPUTED_VALUE"""),"- Interviewee e-Mail: ismael.cespedes@patagonian.com
- Project Status Check: 95% terminado. No sabe que pasa cuando terminen
- Project Role | Feeling: 4
- Extra Work Hours | Amount: 0 (Ningúna)
- Collaborator | Seniority: 👍 No, es correcto
- Alerts: Lo v"&amp;"eo bien, terminando ya el proyecto en el que esta y un poco expectante a ver que e lo que sigue, que por ahora no abe nada.
- Final notes: Lo veo bien, terminando ya el proyecto en el que esta y un poco expectante a ver que e lo que sigue, que por ahora n"&amp;"o abe nada. Todavia no se engancha con Career Path segun el por la falta de tiempo. Yo le insisiti un poco.
- Project Techs | Learning: 2
- Project Techs | Difficulty: 2
- Project Changes | Reasons: 🟰 No hubo cambios
- Project Role | Value: 4
- Project r"&amp;"ole | Notes: aprendi strapi. AWS")</f>
        <v>- Interviewee e-Mail: ismael.cespedes@patagonian.com
- Project Status Check: 95% terminado. No sabe que pasa cuando terminen
- Project Role | Feeling: 4
- Extra Work Hours | Amount: 0 (Ningúna)
- Collaborator | Seniority: 👍 No, es correcto
- Alerts: Lo veo bien, terminando ya el proyecto en el que esta y un poco expectante a ver que e lo que sigue, que por ahora no abe nada.
- Final notes: Lo veo bien, terminando ya el proyecto en el que esta y un poco expectante a ver que e lo que sigue, que por ahora no abe nada. Todavia no se engancha con Career Path segun el por la falta de tiempo. Yo le insisiti un poco.
- Project Techs | Learning: 2
- Project Techs | Difficulty: 2
- Project Changes | Reasons: 🟰 No hubo cambios
- Project Role | Value: 4
- Project role | Notes: aprendi strapi. AWS</v>
      </c>
      <c r="J626" s="4" t="str">
        <f>IFERROR(__xludf.DUMMYFUNCTION("""COMPUTED_VALUE"""),"Tech Referent - OneOnOne")</f>
        <v>Tech Referent - OneOnOne</v>
      </c>
    </row>
    <row r="627">
      <c r="A627" s="4">
        <f>IFERROR(__xludf.DUMMYFUNCTION("""COMPUTED_VALUE"""),145.0)</f>
        <v>145</v>
      </c>
      <c r="B627" s="4" t="str">
        <f>IFERROR(__xludf.DUMMYFUNCTION("""COMPUTED_VALUE"""),"victor.abitu")</f>
        <v>victor.abitu</v>
      </c>
      <c r="C627" s="5">
        <f>IFERROR(__xludf.DUMMYFUNCTION("""COMPUTED_VALUE"""),45217.6384625)</f>
        <v>45217.63846</v>
      </c>
      <c r="D627" s="5">
        <f>IFERROR(__xludf.DUMMYFUNCTION("""COMPUTED_VALUE"""),45217.0)</f>
        <v>45217</v>
      </c>
      <c r="E627" s="4" t="str">
        <f>IFERROR(__xludf.DUMMYFUNCTION("""COMPUTED_VALUE"""),"rodrigo.cibils@patagoniansys.com")</f>
        <v>rodrigo.cibils@patagoniansys.com</v>
      </c>
      <c r="F627" s="4" t="str">
        <f>IFERROR(__xludf.DUMMYFUNCTION("""COMPUTED_VALUE"""),"victor.abitu@patagoniansys.com")</f>
        <v>victor.abitu@patagoniansys.com</v>
      </c>
      <c r="G627" s="4" t="str">
        <f>IFERROR(__xludf.DUMMYFUNCTION("""COMPUTED_VALUE"""),"Referent One on One")</f>
        <v>Referent One on One</v>
      </c>
      <c r="H627" s="4"/>
      <c r="I627" s="6" t="str">
        <f>IFERROR(__xludf.DUMMYFUNCTION("""COMPUTED_VALUE"""),"- Interviewee e-Mail: victor.abitu@patagoniansys.com
- Project Status Check: Trabajando en mantenimiento de procesos de captura de datos de equipos a servidores. Empezando a conectar Databricks con Azure Datalakes, armando la infra para poder usar querys,"&amp;" manejo de data, potencial entrenamiento de ML, etc.
- Project Role | Feeling: 5
- Extra Work Hours | Amount: 0 (Ningúna)
- Techs | Recomendations check: La vez pasada se le consulto sobre el Career Path, todavia no tuvo tiempo de empezar a ver misiones p"&amp;"ero es de su interes empezar a hacerlo en el corto plazo mientras tenga tiempo para poder hacerlo.
- Collaborator | Seniority: 👍 No, es correcto
- Project Techs | Learning: 4
- Project Techs | Difficulty: 2
- Project Changes | Reasons: 🟰 No hubo cambios"&amp;"
- Project Role | Value: 4
- Project role | Notes: Se siente conforme con tener que estar estudiando para realizar sus tareas, se siente importante en el proyecto y desafiado.")</f>
        <v>- Interviewee e-Mail: victor.abitu@patagoniansys.com
- Project Status Check: Trabajando en mantenimiento de procesos de captura de datos de equipos a servidores. Empezando a conectar Databricks con Azure Datalakes, armando la infra para poder usar querys, manejo de data, potencial entrenamiento de ML, etc.
- Project Role | Feeling: 5
- Extra Work Hours | Amount: 0 (Ningúna)
- Techs | Recomendations check: La vez pasada se le consulto sobre el Career Path, todavia no tuvo tiempo de empezar a ver misiones pero es de su interes empezar a hacerlo en el corto plazo mientras tenga tiempo para poder hacerlo.
- Collaborator | Seniority: 👍 No, es correcto
- Project Techs | Learning: 4
- Project Techs | Difficulty: 2
- Project Changes | Reasons: 🟰 No hubo cambios
- Project Role | Value: 4
- Project role | Notes: Se siente conforme con tener que estar estudiando para realizar sus tareas, se siente importante en el proyecto y desafiado.</v>
      </c>
      <c r="J627" s="4" t="str">
        <f>IFERROR(__xludf.DUMMYFUNCTION("""COMPUTED_VALUE"""),"Tech Referent - OneOnOne")</f>
        <v>Tech Referent - OneOnOne</v>
      </c>
    </row>
    <row r="628" hidden="1">
      <c r="A628" s="4">
        <f>IFERROR(__xludf.DUMMYFUNCTION("""COMPUTED_VALUE"""),23.0)</f>
        <v>23</v>
      </c>
      <c r="B628" s="4" t="str">
        <f>IFERROR(__xludf.DUMMYFUNCTION("""COMPUTED_VALUE"""),"leonardo.buret")</f>
        <v>leonardo.buret</v>
      </c>
      <c r="C628" s="5">
        <f>IFERROR(__xludf.DUMMYFUNCTION("""COMPUTED_VALUE"""),45236.4771009375)</f>
        <v>45236.4771</v>
      </c>
      <c r="D628" s="5">
        <f>IFERROR(__xludf.DUMMYFUNCTION("""COMPUTED_VALUE"""),45217.0)</f>
        <v>45217</v>
      </c>
      <c r="E628" s="4" t="str">
        <f>IFERROR(__xludf.DUMMYFUNCTION("""COMPUTED_VALUE"""),"micaela.zorzetto@patagoniansys.com")</f>
        <v>micaela.zorzetto@patagoniansys.com</v>
      </c>
      <c r="F628" s="4" t="str">
        <f>IFERROR(__xludf.DUMMYFUNCTION("""COMPUTED_VALUE"""),"leonardo.buret@patagoniansys.com")</f>
        <v>leonardo.buret@patagoniansys.com</v>
      </c>
      <c r="G628" s="4" t="str">
        <f>IFERROR(__xludf.DUMMYFUNCTION("""COMPUTED_VALUE"""),"⏱ One on One")</f>
        <v>⏱ One on One</v>
      </c>
      <c r="H628" s="4" t="str">
        <f>IFERROR(__xludf.DUMMYFUNCTION("""COMPUTED_VALUE"""),"🙂 Feliz")</f>
        <v>🙂 Feliz</v>
      </c>
      <c r="I628" s="6" t="str">
        <f>IFERROR(__xludf.DUMMYFUNCTION("""COMPUTED_VALUE"""),"Ingresó un nuevo developer manager al proyecto de parte del cliente, me cuenta que es muy dificil realizar cambios positivos en el proyecto dado que hay gente de hace mucho años trabajando ahi que se niega a estos. Ultimamente están teniendo dailys muy la"&amp;"rgas ya que el nuevo manager se esta acomodando al rol y equipo.
Debido al que el proyecto esta en un etapa complicada y de desorganización, tuvo que dejar el deck de lado porque no le da el tiempo.")</f>
        <v>Ingresó un nuevo developer manager al proyecto de parte del cliente, me cuenta que es muy dificil realizar cambios positivos en el proyecto dado que hay gente de hace mucho años trabajando ahi que se niega a estos. Ultimamente están teniendo dailys muy largas ya que el nuevo manager se esta acomodando al rol y equipo.
Debido al que el proyecto esta en un etapa complicada y de desorganización, tuvo que dejar el deck de lado porque no le da el tiempo.</v>
      </c>
      <c r="J628" s="4" t="str">
        <f>IFERROR(__xludf.DUMMYFUNCTION("""COMPUTED_VALUE"""),"PX|Referents|RRHH")</f>
        <v>PX|Referents|RRHH</v>
      </c>
    </row>
    <row r="629">
      <c r="A629" s="4">
        <f>IFERROR(__xludf.DUMMYFUNCTION("""COMPUTED_VALUE"""),136.0)</f>
        <v>136</v>
      </c>
      <c r="B629" s="4" t="str">
        <f>IFERROR(__xludf.DUMMYFUNCTION("""COMPUTED_VALUE"""),"freddy.orozco")</f>
        <v>freddy.orozco</v>
      </c>
      <c r="C629" s="5">
        <f>IFERROR(__xludf.DUMMYFUNCTION("""COMPUTED_VALUE"""),45222.44913630788)</f>
        <v>45222.44914</v>
      </c>
      <c r="D629" s="5">
        <f>IFERROR(__xludf.DUMMYFUNCTION("""COMPUTED_VALUE"""),45219.0)</f>
        <v>45219</v>
      </c>
      <c r="E629" s="4" t="str">
        <f>IFERROR(__xludf.DUMMYFUNCTION("""COMPUTED_VALUE"""),"daniel.mansilla@patagoniansys.com")</f>
        <v>daniel.mansilla@patagoniansys.com</v>
      </c>
      <c r="F629" s="4" t="str">
        <f>IFERROR(__xludf.DUMMYFUNCTION("""COMPUTED_VALUE"""),"freddy.orozco@patagonian.com")</f>
        <v>freddy.orozco@patagonian.com</v>
      </c>
      <c r="G629" s="4" t="str">
        <f>IFERROR(__xludf.DUMMYFUNCTION("""COMPUTED_VALUE"""),"Referent One on One")</f>
        <v>Referent One on One</v>
      </c>
      <c r="H629" s="4"/>
      <c r="I629" s="6" t="str">
        <f>IFERROR(__xludf.DUMMYFUNCTION("""COMPUTED_VALUE"""),"- Interviewee e-Mail: freddy.orozco@patagonian.com
- Project Status Check: Continuó trabajando en el proyecto. Están muy cerca de entregar. Todo ha ido bastante bien.
- Project Role | Feeling: 3
- Extra Work Hours | Amount: 0 (Ningúna)
- Techs | Research:"&amp;" Está por empezar a estudiar algunos servicios de Azure ya que es posible que ingrese en un preoyecto dónde usan algunos de estos.
- Collaborator | Seniority: 👍 No, es correcto
- Alerts: Nada para comentar.
- Final notes: Sobre Career Track: No ha tenido"&amp;" mucho tiempo para dedicarle, pero igualmente ha empezado una misión que ya revisamos. Tiene pensado empezar algunas más a la brevedad.
- Project Techs | Learning: 0
- Techs | Research: 0
- Project Techs | Difficulty: 3
- Project Changes | Reasons: 🟰 No "&amp;"hubo cambios
- Project Role | Value: 3
- Project role | Notes: Nada para destacar.")</f>
        <v>- Interviewee e-Mail: freddy.orozco@patagonian.com
- Project Status Check: Continuó trabajando en el proyecto. Están muy cerca de entregar. Todo ha ido bastante bien.
- Project Role | Feeling: 3
- Extra Work Hours | Amount: 0 (Ningúna)
- Techs | Research: Está por empezar a estudiar algunos servicios de Azure ya que es posible que ingrese en un preoyecto dónde usan algunos de estos.
- Collaborator | Seniority: 👍 No, es correcto
- Alerts: Nada para comentar.
- Final notes: Sobre Career Track: No ha tenido mucho tiempo para dedicarle, pero igualmente ha empezado una misión que ya revisamos. Tiene pensado empezar algunas más a la brevedad.
- Project Techs | Learning: 0
- Techs | Research: 0
- Project Techs | Difficulty: 3
- Project Changes | Reasons: 🟰 No hubo cambios
- Project Role | Value: 3
- Project role | Notes: Nada para destacar.</v>
      </c>
      <c r="J629" s="4" t="str">
        <f>IFERROR(__xludf.DUMMYFUNCTION("""COMPUTED_VALUE"""),"Tech Referent - OneOnOne")</f>
        <v>Tech Referent - OneOnOne</v>
      </c>
    </row>
    <row r="630" hidden="1">
      <c r="A630" s="4">
        <f>IFERROR(__xludf.DUMMYFUNCTION("""COMPUTED_VALUE"""),331.0)</f>
        <v>331</v>
      </c>
      <c r="B630" s="4" t="str">
        <f>IFERROR(__xludf.DUMMYFUNCTION("""COMPUTED_VALUE"""),"eduardo.giorgio")</f>
        <v>eduardo.giorgio</v>
      </c>
      <c r="C630" s="5">
        <f>IFERROR(__xludf.DUMMYFUNCTION("""COMPUTED_VALUE"""),45222.46334581018)</f>
        <v>45222.46335</v>
      </c>
      <c r="D630" s="5">
        <f>IFERROR(__xludf.DUMMYFUNCTION("""COMPUTED_VALUE"""),45222.0)</f>
        <v>45222</v>
      </c>
      <c r="E630" s="4" t="str">
        <f>IFERROR(__xludf.DUMMYFUNCTION("""COMPUTED_VALUE"""),"natalia.aguirre@patagoniansys.com")</f>
        <v>natalia.aguirre@patagoniansys.com</v>
      </c>
      <c r="F630" s="4" t="str">
        <f>IFERROR(__xludf.DUMMYFUNCTION("""COMPUTED_VALUE"""),"eduardo.giorgio@patagoniansys.com")</f>
        <v>eduardo.giorgio@patagoniansys.com</v>
      </c>
      <c r="G630" s="4" t="str">
        <f>IFERROR(__xludf.DUMMYFUNCTION("""COMPUTED_VALUE"""),"⏱ One on One")</f>
        <v>⏱ One on One</v>
      </c>
      <c r="H630" s="4" t="str">
        <f>IFERROR(__xludf.DUMMYFUNCTION("""COMPUTED_VALUE"""),"😀 Sumamente Feliz")</f>
        <v>😀 Sumamente Feliz</v>
      </c>
      <c r="I630" s="6" t="str">
        <f>IFERROR(__xludf.DUMMYFUNCTION("""COMPUTED_VALUE"""),"En el proyecto estamos avanzando bien, la relación Sergey (cliente) va bien, las tareas que se asignan pueden completarse en el horario laboral. ")</f>
        <v>En el proyecto estamos avanzando bien, la relación Sergey (cliente) va bien, las tareas que se asignan pueden completarse en el horario laboral. </v>
      </c>
      <c r="J630" s="4" t="str">
        <f>IFERROR(__xludf.DUMMYFUNCTION("""COMPUTED_VALUE"""),"PX|Referents|RRHH")</f>
        <v>PX|Referents|RRHH</v>
      </c>
    </row>
    <row r="631">
      <c r="A631" s="4">
        <f>IFERROR(__xludf.DUMMYFUNCTION("""COMPUTED_VALUE"""),220.0)</f>
        <v>220</v>
      </c>
      <c r="B631" s="4" t="str">
        <f>IFERROR(__xludf.DUMMYFUNCTION("""COMPUTED_VALUE"""),"andres.rudqvist")</f>
        <v>andres.rudqvist</v>
      </c>
      <c r="C631" s="5">
        <f>IFERROR(__xludf.DUMMYFUNCTION("""COMPUTED_VALUE"""),45222.75133554398)</f>
        <v>45222.75134</v>
      </c>
      <c r="D631" s="5">
        <f>IFERROR(__xludf.DUMMYFUNCTION("""COMPUTED_VALUE"""),45222.0)</f>
        <v>45222</v>
      </c>
      <c r="E631" s="4" t="str">
        <f>IFERROR(__xludf.DUMMYFUNCTION("""COMPUTED_VALUE"""),"jorge.contreras@patagoniansys.com")</f>
        <v>jorge.contreras@patagoniansys.com</v>
      </c>
      <c r="F631" s="4" t="str">
        <f>IFERROR(__xludf.DUMMYFUNCTION("""COMPUTED_VALUE"""),"andres.rudqvist@patagonian.com")</f>
        <v>andres.rudqvist@patagonian.com</v>
      </c>
      <c r="G631" s="4" t="str">
        <f>IFERROR(__xludf.DUMMYFUNCTION("""COMPUTED_VALUE"""),"Referent One on One")</f>
        <v>Referent One on One</v>
      </c>
      <c r="H631" s="4"/>
      <c r="I631" s="6" t="str">
        <f>IFERROR(__xludf.DUMMYFUNCTION("""COMPUTED_VALUE"""),"- Interviewee e-Mail: andres.rudqvist@patagonian.com
- Project Status Check: Podvisory
- Project Changes | Notes: No han habido cambios
- Project Role | Feeling: 5
- Extra Work Hours | Amount: 0 (Ningúna)
- Techs | Research: Gatsby y Astro
- Techs | Recom"&amp;"endations: Por ahora ninguno
- Techs | Recomendations check: Ninguna
- Collaborator | Seniority: 👍 No, es correcto
- Project Needs / Oportunities: Ninguna
- Final notes: Todo bien
- Project Techs | Learning: 0
- Techs | Research: 0
- Project Techs | Diff"&amp;"iculty: 5
- Project Changes | Reasons: 🟰 No hubo cambios
- Project Changes | Personal Impact: 5
- Project Role | Value: 5
- Project role | Notes: Sigue igual como desarrollador")</f>
        <v>- Interviewee e-Mail: andres.rudqvist@patagonian.com
- Project Status Check: Podvisory
- Project Changes | Notes: No han habido cambios
- Project Role | Feeling: 5
- Extra Work Hours | Amount: 0 (Ningúna)
- Techs | Research: Gatsby y Astro
- Techs | Recomendations: Por ahora ninguno
- Techs | Recomendations check: Ninguna
- Collaborator | Seniority: 👍 No, es correcto
- Project Needs / Oportunities: Ninguna
- Final notes: Todo bien
- Project Techs | Learning: 0
- Techs | Research: 0
- Project Techs | Difficulty: 5
- Project Changes | Reasons: 🟰 No hubo cambios
- Project Changes | Personal Impact: 5
- Project Role | Value: 5
- Project role | Notes: Sigue igual como desarrollador</v>
      </c>
      <c r="J631" s="4" t="str">
        <f>IFERROR(__xludf.DUMMYFUNCTION("""COMPUTED_VALUE"""),"Tech Referent - OneOnOne")</f>
        <v>Tech Referent - OneOnOne</v>
      </c>
    </row>
    <row r="632" hidden="1">
      <c r="A632" s="4">
        <f>IFERROR(__xludf.DUMMYFUNCTION("""COMPUTED_VALUE"""),272.0)</f>
        <v>272</v>
      </c>
      <c r="B632" s="4" t="str">
        <f>IFERROR(__xludf.DUMMYFUNCTION("""COMPUTED_VALUE"""),"santiago.grossi")</f>
        <v>santiago.grossi</v>
      </c>
      <c r="C632" s="5">
        <f>IFERROR(__xludf.DUMMYFUNCTION("""COMPUTED_VALUE"""),45236.70514253473)</f>
        <v>45236.70514</v>
      </c>
      <c r="D632" s="5">
        <f>IFERROR(__xludf.DUMMYFUNCTION("""COMPUTED_VALUE"""),45222.0)</f>
        <v>45222</v>
      </c>
      <c r="E632" s="4" t="str">
        <f>IFERROR(__xludf.DUMMYFUNCTION("""COMPUTED_VALUE"""),"micaela.zorzetto@patagoniansys.com")</f>
        <v>micaela.zorzetto@patagoniansys.com</v>
      </c>
      <c r="F632" s="4" t="str">
        <f>IFERROR(__xludf.DUMMYFUNCTION("""COMPUTED_VALUE"""),"santiago.grossi@patagoniansys.com")</f>
        <v>santiago.grossi@patagoniansys.com</v>
      </c>
      <c r="G632" s="4" t="str">
        <f>IFERROR(__xludf.DUMMYFUNCTION("""COMPUTED_VALUE"""),"⏱ One on One")</f>
        <v>⏱ One on One</v>
      </c>
      <c r="H632" s="4" t="str">
        <f>IFERROR(__xludf.DUMMYFUNCTION("""COMPUTED_VALUE"""),"🙂 Feliz")</f>
        <v>🙂 Feliz</v>
      </c>
      <c r="I632" s="6" t="str">
        <f>IFERROR(__xludf.DUMMYFUNCTION("""COMPUTED_VALUE"""),"Santi ahora está más tranquilo en el proyecto, todo volvió a tener calma. 
Ya se siente mejor trabajando.")</f>
        <v>Santi ahora está más tranquilo en el proyecto, todo volvió a tener calma. 
Ya se siente mejor trabajando.</v>
      </c>
      <c r="J632" s="4" t="str">
        <f>IFERROR(__xludf.DUMMYFUNCTION("""COMPUTED_VALUE"""),"PX|Referents|RRHH")</f>
        <v>PX|Referents|RRHH</v>
      </c>
    </row>
    <row r="633">
      <c r="A633" s="4">
        <f>IFERROR(__xludf.DUMMYFUNCTION("""COMPUTED_VALUE"""),243.0)</f>
        <v>243</v>
      </c>
      <c r="B633" s="4" t="str">
        <f>IFERROR(__xludf.DUMMYFUNCTION("""COMPUTED_VALUE"""),"fernando.estevez")</f>
        <v>fernando.estevez</v>
      </c>
      <c r="C633" s="5">
        <f>IFERROR(__xludf.DUMMYFUNCTION("""COMPUTED_VALUE"""),45224.46891293982)</f>
        <v>45224.46891</v>
      </c>
      <c r="D633" s="5">
        <f>IFERROR(__xludf.DUMMYFUNCTION("""COMPUTED_VALUE"""),45224.0)</f>
        <v>45224</v>
      </c>
      <c r="E633" s="4" t="str">
        <f>IFERROR(__xludf.DUMMYFUNCTION("""COMPUTED_VALUE"""),"juan.calou@patagoniansys.com")</f>
        <v>juan.calou@patagoniansys.com</v>
      </c>
      <c r="F633" s="4" t="str">
        <f>IFERROR(__xludf.DUMMYFUNCTION("""COMPUTED_VALUE"""),"fernando.estevez@patagoniansys.com")</f>
        <v>fernando.estevez@patagoniansys.com</v>
      </c>
      <c r="G633" s="4" t="str">
        <f>IFERROR(__xludf.DUMMYFUNCTION("""COMPUTED_VALUE"""),"Referent One on One")</f>
        <v>Referent One on One</v>
      </c>
      <c r="H633" s="4"/>
      <c r="I633" s="6" t="str">
        <f>IFERROR(__xludf.DUMMYFUNCTION("""COMPUTED_VALUE"""),"- Interviewee e-Mail: fernando.estevez@patagoniansys.com
- Project Status Check: ENtro Omar. Se siente comodo
- Project Role | Feeling: 5
- Extra Work Hours | Amount: 0 (Ningúna)
- Techs | Research: empezo curso de seguridad en codigo
- Collaborator | Sen"&amp;"iority: 👍 No, es correcto
- Alerts: No encuentro alertas
- Project Needs / Oportunities: Lo veo muy bien, con ganas de mejorar
- Final notes: Lo veo muy bien y muy contento con su proyecto y con Pata. Siempre lo incentivo a que aprenda nuevas cosas. Es u"&amp;"na persona muy positiva y esta siempre dispuesto
- Project Techs | Learning: 0
- Project Techs | Difficulty: 3
- Project Changes | Reasons: 🟰 No hubo cambios
- Project Changes | Personal Impact: 4
- Project Role | Value: 4
- Project role | Notes: Esta co"&amp;"ntento trabajando junto con Omar y contento con su proyecto")</f>
        <v>- Interviewee e-Mail: fernando.estevez@patagoniansys.com
- Project Status Check: ENtro Omar. Se siente comodo
- Project Role | Feeling: 5
- Extra Work Hours | Amount: 0 (Ningúna)
- Techs | Research: empezo curso de seguridad en codigo
- Collaborator | Seniority: 👍 No, es correcto
- Alerts: No encuentro alertas
- Project Needs / Oportunities: Lo veo muy bien, con ganas de mejorar
- Final notes: Lo veo muy bien y muy contento con su proyecto y con Pata. Siempre lo incentivo a que aprenda nuevas cosas. Es una persona muy positiva y esta siempre dispuesto
- Project Techs | Learning: 0
- Project Techs | Difficulty: 3
- Project Changes | Reasons: 🟰 No hubo cambios
- Project Changes | Personal Impact: 4
- Project Role | Value: 4
- Project role | Notes: Esta contento trabajando junto con Omar y contento con su proyecto</v>
      </c>
      <c r="J633" s="4" t="str">
        <f>IFERROR(__xludf.DUMMYFUNCTION("""COMPUTED_VALUE"""),"Tech Referent - OneOnOne")</f>
        <v>Tech Referent - OneOnOne</v>
      </c>
    </row>
    <row r="634">
      <c r="A634" s="4">
        <f>IFERROR(__xludf.DUMMYFUNCTION("""COMPUTED_VALUE"""),297.0)</f>
        <v>297</v>
      </c>
      <c r="B634" s="4" t="str">
        <f>IFERROR(__xludf.DUMMYFUNCTION("""COMPUTED_VALUE"""),"charly.palencia")</f>
        <v>charly.palencia</v>
      </c>
      <c r="C634" s="5">
        <f>IFERROR(__xludf.DUMMYFUNCTION("""COMPUTED_VALUE"""),45224.67820003472)</f>
        <v>45224.6782</v>
      </c>
      <c r="D634" s="5">
        <f>IFERROR(__xludf.DUMMYFUNCTION("""COMPUTED_VALUE"""),45224.0)</f>
        <v>45224</v>
      </c>
      <c r="E634" s="4" t="str">
        <f>IFERROR(__xludf.DUMMYFUNCTION("""COMPUTED_VALUE"""),"pablo.gomez@patagoniansys.com")</f>
        <v>pablo.gomez@patagoniansys.com</v>
      </c>
      <c r="F634" s="4" t="str">
        <f>IFERROR(__xludf.DUMMYFUNCTION("""COMPUTED_VALUE"""),"charly.palencia@patagonian.com")</f>
        <v>charly.palencia@patagonian.com</v>
      </c>
      <c r="G634" s="4" t="str">
        <f>IFERROR(__xludf.DUMMYFUNCTION("""COMPUTED_VALUE"""),"Referent One on One")</f>
        <v>Referent One on One</v>
      </c>
      <c r="H634" s="4"/>
      <c r="I634" s="6" t="str">
        <f>IFERROR(__xludf.DUMMYFUNCTION("""COMPUTED_VALUE"""),"- Interviewee e-Mail: charly.palencia@patagonian.com
- Project Status Check: Se agregaron integrantes al equipo. Muchas reuniones.
- Project Changes | Notes: Cambio el equipo no tienen tech lead.
- Project Role | Feeling: 3
- Extra Work Hours | Amount: 0 "&amp;"(Ningúna)
- Collaborator | Seniority: 👆 Si, es mayor al establecido
- Project Techs | Learning: 1
- Project Techs | Difficulty: 3
- Project Changes | Reasons: ⬆️ Aumento del equipo, 🔀 Cambio de roles dentro del equipo, 🏁 Cambios en los objetivos
- Proj"&amp;"ect Changes | Personal Impact: 3
- Project Role | Value: 3
- Project role | Notes: Adaptándose a los cambios, con flexibilidad.")</f>
        <v>- Interviewee e-Mail: charly.palencia@patagonian.com
- Project Status Check: Se agregaron integrantes al equipo. Muchas reuniones.
- Project Changes | Notes: Cambio el equipo no tienen tech lead.
- Project Role | Feeling: 3
- Extra Work Hours | Amount: 0 (Ningúna)
- Collaborator | Seniority: 👆 Si, es mayor al establecido
- Project Techs | Learning: 1
- Project Techs | Difficulty: 3
- Project Changes | Reasons: ⬆️ Aumento del equipo, 🔀 Cambio de roles dentro del equipo, 🏁 Cambios en los objetivos
- Project Changes | Personal Impact: 3
- Project Role | Value: 3
- Project role | Notes: Adaptándose a los cambios, con flexibilidad.</v>
      </c>
      <c r="J634" s="4" t="str">
        <f>IFERROR(__xludf.DUMMYFUNCTION("""COMPUTED_VALUE"""),"Tech Referent - OneOnOne")</f>
        <v>Tech Referent - OneOnOne</v>
      </c>
    </row>
    <row r="635">
      <c r="A635" s="4">
        <f>IFERROR(__xludf.DUMMYFUNCTION("""COMPUTED_VALUE"""),256.0)</f>
        <v>256</v>
      </c>
      <c r="B635" s="4" t="str">
        <f>IFERROR(__xludf.DUMMYFUNCTION("""COMPUTED_VALUE"""),"kevin.lopez")</f>
        <v>kevin.lopez</v>
      </c>
      <c r="C635" s="5">
        <f>IFERROR(__xludf.DUMMYFUNCTION("""COMPUTED_VALUE"""),45225.70813721065)</f>
        <v>45225.70814</v>
      </c>
      <c r="D635" s="5">
        <f>IFERROR(__xludf.DUMMYFUNCTION("""COMPUTED_VALUE"""),45225.0)</f>
        <v>45225</v>
      </c>
      <c r="E635" s="4" t="str">
        <f>IFERROR(__xludf.DUMMYFUNCTION("""COMPUTED_VALUE"""),"jorge.contreras@patagoniansys.com")</f>
        <v>jorge.contreras@patagoniansys.com</v>
      </c>
      <c r="F635" s="4" t="str">
        <f>IFERROR(__xludf.DUMMYFUNCTION("""COMPUTED_VALUE"""),"kevin.lopez@patagonian.com")</f>
        <v>kevin.lopez@patagonian.com</v>
      </c>
      <c r="G635" s="4" t="str">
        <f>IFERROR(__xludf.DUMMYFUNCTION("""COMPUTED_VALUE"""),"Referent One on One")</f>
        <v>Referent One on One</v>
      </c>
      <c r="H635" s="4"/>
      <c r="I635" s="6" t="str">
        <f>IFERROR(__xludf.DUMMYFUNCTION("""COMPUTED_VALUE"""),"- Interviewee e-Mail: kevin.lopez@patagonian.com
- Project Status Check: Después de Diario Rio Negro, estuve trabajando con INVAP SINARAME. Entregamos el proyecto que estaba pautado para 2 meses y actualmente estoy en bench
- Project Changes | Notes: Cicl"&amp;"o normal de un proyecto
- Project Role | Feeling: 5
- Extra Work Hours | Amount: 0 (Ningúna)
- Techs | Research: Estoy haciendo curso de inglés y pedí la cuenta de Udemy para hacer el AWS Cloud Practioner y aprovechar que estoy en bench
- Techs | Recomend"&amp;"ations: AWS Cloud Practioner de Udemy para prepararse para el certificado
- Techs | Recomendations check: Ninguna
- Collaborator | Seniority: 👍 No, es correcto
- Alerts: Ninguna
- Project Needs / Oportunities: Ninguna
- Final notes: Todo bien, tuve un in"&amp;"conveniente con el pago de los honorarios, entonces me recomendaron estar pendiente y siempre preguntar con HR acerca que otras opciones hay para el pago.
- Project Techs | Learning: 0
- Techs | Research: 0
- Project Techs | Difficulty: 5
- Project Change"&amp;"s | Reasons: 🟰 No hubo cambios
- Project Changes | Personal Impact: 5
- Project Role | Value: 5
- Project role | Notes: Developer Mobile")</f>
        <v>- Interviewee e-Mail: kevin.lopez@patagonian.com
- Project Status Check: Después de Diario Rio Negro, estuve trabajando con INVAP SINARAME. Entregamos el proyecto que estaba pautado para 2 meses y actualmente estoy en bench
- Project Changes | Notes: Ciclo normal de un proyecto
- Project Role | Feeling: 5
- Extra Work Hours | Amount: 0 (Ningúna)
- Techs | Research: Estoy haciendo curso de inglés y pedí la cuenta de Udemy para hacer el AWS Cloud Practioner y aprovechar que estoy en bench
- Techs | Recomendations: AWS Cloud Practioner de Udemy para prepararse para el certificado
- Techs | Recomendations check: Ninguna
- Collaborator | Seniority: 👍 No, es correcto
- Alerts: Ninguna
- Project Needs / Oportunities: Ninguna
- Final notes: Todo bien, tuve un inconveniente con el pago de los honorarios, entonces me recomendaron estar pendiente y siempre preguntar con HR acerca que otras opciones hay para el pago.
- Project Techs | Learning: 0
- Techs | Research: 0
- Project Techs | Difficulty: 5
- Project Changes | Reasons: 🟰 No hubo cambios
- Project Changes | Personal Impact: 5
- Project Role | Value: 5
- Project role | Notes: Developer Mobile</v>
      </c>
      <c r="J635" s="4" t="str">
        <f>IFERROR(__xludf.DUMMYFUNCTION("""COMPUTED_VALUE"""),"Tech Referent - OneOnOne")</f>
        <v>Tech Referent - OneOnOne</v>
      </c>
    </row>
    <row r="636">
      <c r="A636" s="4">
        <f>IFERROR(__xludf.DUMMYFUNCTION("""COMPUTED_VALUE"""),105.0)</f>
        <v>105</v>
      </c>
      <c r="B636" s="4" t="str">
        <f>IFERROR(__xludf.DUMMYFUNCTION("""COMPUTED_VALUE"""),"henry.tong")</f>
        <v>henry.tong</v>
      </c>
      <c r="C636" s="5">
        <f>IFERROR(__xludf.DUMMYFUNCTION("""COMPUTED_VALUE"""),45236.70979136574)</f>
        <v>45236.70979</v>
      </c>
      <c r="D636" s="5">
        <f>IFERROR(__xludf.DUMMYFUNCTION("""COMPUTED_VALUE"""),45225.0)</f>
        <v>45225</v>
      </c>
      <c r="E636" s="4" t="str">
        <f>IFERROR(__xludf.DUMMYFUNCTION("""COMPUTED_VALUE"""),"micaela.zorzetto@patagoniansys.com")</f>
        <v>micaela.zorzetto@patagoniansys.com</v>
      </c>
      <c r="F636" s="4" t="str">
        <f>IFERROR(__xludf.DUMMYFUNCTION("""COMPUTED_VALUE"""),"henry.tong@patagoniansys.com")</f>
        <v>henry.tong@patagoniansys.com</v>
      </c>
      <c r="G636" s="4" t="str">
        <f>IFERROR(__xludf.DUMMYFUNCTION("""COMPUTED_VALUE"""),"⏱ One on One")</f>
        <v>⏱ One on One</v>
      </c>
      <c r="H636" s="4" t="str">
        <f>IFERROR(__xludf.DUMMYFUNCTION("""COMPUTED_VALUE"""),"🙂 Feliz")</f>
        <v>🙂 Feliz</v>
      </c>
      <c r="I636" s="6" t="str">
        <f>IFERROR(__xludf.DUMMYFUNCTION("""COMPUTED_VALUE"""),"Esta dando una mano en un proyecto, que por suerte no le lleva mucho tiempo y trabajo. En su proyecto actual esta todo más exigente, el cliente siempre quiere estar en llamadas, y eso le dificulta para avanzar en las tareas.
En cuanto al feedback de las 1"&amp;" a 1 como lider técnico, le gusta, pero me dice que después de la primera charla ya el formulario no tiene sentido seguir completandolo.
Le parece confunso el material del plan de carrera, no cree que se haya utilizado el indicado.")</f>
        <v>Esta dando una mano en un proyecto, que por suerte no le lleva mucho tiempo y trabajo. En su proyecto actual esta todo más exigente, el cliente siempre quiere estar en llamadas, y eso le dificulta para avanzar en las tareas.
En cuanto al feedback de las 1 a 1 como lider técnico, le gusta, pero me dice que después de la primera charla ya el formulario no tiene sentido seguir completandolo.
Le parece confunso el material del plan de carrera, no cree que se haya utilizado el indicado.</v>
      </c>
      <c r="J636" s="4" t="str">
        <f>IFERROR(__xludf.DUMMYFUNCTION("""COMPUTED_VALUE"""),"PX|Referents|RRHH")</f>
        <v>PX|Referents|RRHH</v>
      </c>
    </row>
    <row r="637">
      <c r="A637" s="4">
        <f>IFERROR(__xludf.DUMMYFUNCTION("""COMPUTED_VALUE"""),88.0)</f>
        <v>88</v>
      </c>
      <c r="B637" s="4" t="str">
        <f>IFERROR(__xludf.DUMMYFUNCTION("""COMPUTED_VALUE"""),"andres.bolocco")</f>
        <v>andres.bolocco</v>
      </c>
      <c r="C637" s="5">
        <f>IFERROR(__xludf.DUMMYFUNCTION("""COMPUTED_VALUE"""),45226.540906180555)</f>
        <v>45226.54091</v>
      </c>
      <c r="D637" s="5">
        <f>IFERROR(__xludf.DUMMYFUNCTION("""COMPUTED_VALUE"""),45226.0)</f>
        <v>45226</v>
      </c>
      <c r="E637" s="4" t="str">
        <f>IFERROR(__xludf.DUMMYFUNCTION("""COMPUTED_VALUE"""),"brayan.barrios@patagoniansys.com")</f>
        <v>brayan.barrios@patagoniansys.com</v>
      </c>
      <c r="F637" s="4" t="str">
        <f>IFERROR(__xludf.DUMMYFUNCTION("""COMPUTED_VALUE"""),"andres.bolocco@patagonian.com")</f>
        <v>andres.bolocco@patagonian.com</v>
      </c>
      <c r="G637" s="4" t="str">
        <f>IFERROR(__xludf.DUMMYFUNCTION("""COMPUTED_VALUE"""),"Referent One on One")</f>
        <v>Referent One on One</v>
      </c>
      <c r="H637" s="4"/>
      <c r="I637" s="6" t="str">
        <f>IFERROR(__xludf.DUMMYFUNCTION("""COMPUTED_VALUE"""),"- Interviewee e-Mail: andres.bolocco@patagonian.com
- Project Status Check: Ha estado trabajando en mejorar sus habilidades de liderazgo.
- Project Changes | Notes: Los cambios que sucedieron lo pusieron en un rol doble, de liderazgo y de desarollo, sigue"&amp;" en un proceso de transicion en donde va aprendiendo unas cosas nuevas y rindiendo en las antiguas.
- Project Role | Feeling: 5
- Extra Work Hours | Amount: 5+ (Más de 5)
- Extra Work Hours | Reason: Cuestiones de infraestructura e internet en su casa.
- "&amp;"Techs | Recomendations: Esta haciendo el coach que le sugerimos en patagonian.
- Techs | Recomendations check: Esta haciendo el coach que le sugerimos en patagonian.
- Collaborator | Seniority: 👍 No, es correcto
- Project Needs / Oportunities: Grapevine "&amp;"tiene muchas oportunidades para Patagonian. Sin embargo, Ando no se quiere sentir como un vendedor. El cliente aun no sabe si debe poner los huevos en una sola canasta y tener un partner o diversificar su outsourcing. Creo que hay un trabajo comercial par"&amp;"a ayudarlos a aceptarnos como partner y que no seamos unicamente una empresa que proporciona recursos.
- Project Techs | Learning: 10
- Project Techs | Difficulty: 4
- Project Changes | Reasons: 🔀 Cambio de roles dentro del equipo
- Project Changes | Per"&amp;"sonal Impact: 3
- Project Role | Value: 5
- Project role | Notes: El rol de liderazgo nuevo le gusta mucho, viene entendiendo sus fortalezas y debilidades y es una transformacion total.")</f>
        <v>- Interviewee e-Mail: andres.bolocco@patagonian.com
- Project Status Check: Ha estado trabajando en mejorar sus habilidades de liderazgo.
- Project Changes | Notes: Los cambios que sucedieron lo pusieron en un rol doble, de liderazgo y de desarollo, sigue en un proceso de transicion en donde va aprendiendo unas cosas nuevas y rindiendo en las antiguas.
- Project Role | Feeling: 5
- Extra Work Hours | Amount: 5+ (Más de 5)
- Extra Work Hours | Reason: Cuestiones de infraestructura e internet en su casa.
- Techs | Recomendations: Esta haciendo el coach que le sugerimos en patagonian.
- Techs | Recomendations check: Esta haciendo el coach que le sugerimos en patagonian.
- Collaborator | Seniority: 👍 No, es correcto
- Project Needs / Oportunities: Grapevine tiene muchas oportunidades para Patagonian. Sin embargo, Ando no se quiere sentir como un vendedor. El cliente aun no sabe si debe poner los huevos en una sola canasta y tener un partner o diversificar su outsourcing. Creo que hay un trabajo comercial para ayudarlos a aceptarnos como partner y que no seamos unicamente una empresa que proporciona recursos.
- Project Techs | Learning: 10
- Project Techs | Difficulty: 4
- Project Changes | Reasons: 🔀 Cambio de roles dentro del equipo
- Project Changes | Personal Impact: 3
- Project Role | Value: 5
- Project role | Notes: El rol de liderazgo nuevo le gusta mucho, viene entendiendo sus fortalezas y debilidades y es una transformacion total.</v>
      </c>
      <c r="J637" s="4" t="str">
        <f>IFERROR(__xludf.DUMMYFUNCTION("""COMPUTED_VALUE"""),"Tech Referent - OneOnOne")</f>
        <v>Tech Referent - OneOnOne</v>
      </c>
    </row>
    <row r="638">
      <c r="A638" s="4">
        <f>IFERROR(__xludf.DUMMYFUNCTION("""COMPUTED_VALUE"""),316.0)</f>
        <v>316</v>
      </c>
      <c r="B638" s="4" t="str">
        <f>IFERROR(__xludf.DUMMYFUNCTION("""COMPUTED_VALUE"""),"eddie.brenes")</f>
        <v>eddie.brenes</v>
      </c>
      <c r="C638" s="5">
        <f>IFERROR(__xludf.DUMMYFUNCTION("""COMPUTED_VALUE"""),45229.50900820601)</f>
        <v>45229.50901</v>
      </c>
      <c r="D638" s="5">
        <f>IFERROR(__xludf.DUMMYFUNCTION("""COMPUTED_VALUE"""),45229.0)</f>
        <v>45229</v>
      </c>
      <c r="E638" s="4" t="str">
        <f>IFERROR(__xludf.DUMMYFUNCTION("""COMPUTED_VALUE"""),"martin.infante@patagoniansys.com")</f>
        <v>martin.infante@patagoniansys.com</v>
      </c>
      <c r="F638" s="4" t="str">
        <f>IFERROR(__xludf.DUMMYFUNCTION("""COMPUTED_VALUE"""),"eddie.brenes@patagoniansys.com")</f>
        <v>eddie.brenes@patagoniansys.com</v>
      </c>
      <c r="G638" s="4" t="str">
        <f>IFERROR(__xludf.DUMMYFUNCTION("""COMPUTED_VALUE"""),"Referent One on One")</f>
        <v>Referent One on One</v>
      </c>
      <c r="H638" s="4"/>
      <c r="I638" s="6" t="str">
        <f>IFERROR(__xludf.DUMMYFUNCTION("""COMPUTED_VALUE"""),"- Interviewee e-Mail: eddie.brenes@patagoniansys.com
- Project Status Check: Ha estado trabajando mas con AWS y le gusta mucho poder ganar experiencia en esa tecnologia.
- Project Changes | Notes: Hubo una reduccion de dos miembros del equipo. Un data eng"&amp;"ineer y el PM. Se siente un poco perdido sin un PM que marque el roadmap y por otro lado hay demasiado trabajo a cubrir con este recurso menos.
- Project Role | Feeling: 4
- Extra Work Hours | Amount: 1 - 5 (Entre 1 y 5)
- Extra Work Hours | Reason: 🙋Dec"&amp;"isión propia
- Collaborator | Seniority: 👍 No, es correcto
- Project Techs | Learning: 0
- Project Techs | Difficulty: 3
- Project Changes | Reasons: ⬇️ Reducción del equipo
- Project Changes | Personal Impact: 2
- Project Role | Value: 4
- Project role "&amp;"| Notes: Se siente muy bien con las tecnologias en las que esta trabajando y siente que sigue aprendiendo.")</f>
        <v>- Interviewee e-Mail: eddie.brenes@patagoniansys.com
- Project Status Check: Ha estado trabajando mas con AWS y le gusta mucho poder ganar experiencia en esa tecnologia.
- Project Changes | Notes: Hubo una reduccion de dos miembros del equipo. Un data engineer y el PM. Se siente un poco perdido sin un PM que marque el roadmap y por otro lado hay demasiado trabajo a cubrir con este recurso menos.
- Project Role | Feeling: 4
- Extra Work Hours | Amount: 1 - 5 (Entre 1 y 5)
- Extra Work Hours | Reason: 🙋Decisión propia
- Collaborator | Seniority: 👍 No, es correcto
- Project Techs | Learning: 0
- Project Techs | Difficulty: 3
- Project Changes | Reasons: ⬇️ Reducción del equipo
- Project Changes | Personal Impact: 2
- Project Role | Value: 4
- Project role | Notes: Se siente muy bien con las tecnologias en las que esta trabajando y siente que sigue aprendiendo.</v>
      </c>
      <c r="J638" s="4" t="str">
        <f>IFERROR(__xludf.DUMMYFUNCTION("""COMPUTED_VALUE"""),"Tech Referent - OneOnOne")</f>
        <v>Tech Referent - OneOnOne</v>
      </c>
    </row>
    <row r="639">
      <c r="A639" s="4">
        <f>IFERROR(__xludf.DUMMYFUNCTION("""COMPUTED_VALUE"""),243.0)</f>
        <v>243</v>
      </c>
      <c r="B639" s="4" t="str">
        <f>IFERROR(__xludf.DUMMYFUNCTION("""COMPUTED_VALUE"""),"fernando.estevez")</f>
        <v>fernando.estevez</v>
      </c>
      <c r="C639" s="5">
        <f>IFERROR(__xludf.DUMMYFUNCTION("""COMPUTED_VALUE"""),45229.72026332176)</f>
        <v>45229.72026</v>
      </c>
      <c r="D639" s="5">
        <f>IFERROR(__xludf.DUMMYFUNCTION("""COMPUTED_VALUE"""),45229.0)</f>
        <v>45229</v>
      </c>
      <c r="E639" s="4" t="str">
        <f>IFERROR(__xludf.DUMMYFUNCTION("""COMPUTED_VALUE"""),"natalia.aguirre@patagoniansys.com")</f>
        <v>natalia.aguirre@patagoniansys.com</v>
      </c>
      <c r="F639" s="4" t="str">
        <f>IFERROR(__xludf.DUMMYFUNCTION("""COMPUTED_VALUE"""),"fernando.estevez@patagoniansys.com")</f>
        <v>fernando.estevez@patagoniansys.com</v>
      </c>
      <c r="G639" s="4" t="str">
        <f>IFERROR(__xludf.DUMMYFUNCTION("""COMPUTED_VALUE"""),"⏱ One on One")</f>
        <v>⏱ One on One</v>
      </c>
      <c r="H639" s="4" t="str">
        <f>IFERROR(__xludf.DUMMYFUNCTION("""COMPUTED_VALUE"""),"😀 Sumamente Feliz")</f>
        <v>😀 Sumamente Feliz</v>
      </c>
      <c r="I639" s="6" t="str">
        <f>IFERROR(__xludf.DUMMYFUNCTION("""COMPUTED_VALUE"""),"En el proyecto muy contento, me he sentido bien trabajando con Omar, me ha venido bien aprender el estilo de trabajo de otro Senior. En cliente me siento muy bien.")</f>
        <v>En el proyecto muy contento, me he sentido bien trabajando con Omar, me ha venido bien aprender el estilo de trabajo de otro Senior. En cliente me siento muy bien.</v>
      </c>
      <c r="J639" s="4" t="str">
        <f>IFERROR(__xludf.DUMMYFUNCTION("""COMPUTED_VALUE"""),"PX|Referents|RRHH")</f>
        <v>PX|Referents|RRHH</v>
      </c>
    </row>
    <row r="640">
      <c r="A640" s="4">
        <f>IFERROR(__xludf.DUMMYFUNCTION("""COMPUTED_VALUE"""),249.0)</f>
        <v>249</v>
      </c>
      <c r="B640" s="4" t="str">
        <f>IFERROR(__xludf.DUMMYFUNCTION("""COMPUTED_VALUE"""),"nahuel.diaz")</f>
        <v>nahuel.diaz</v>
      </c>
      <c r="C640" s="5">
        <f>IFERROR(__xludf.DUMMYFUNCTION("""COMPUTED_VALUE"""),45236.72215478009)</f>
        <v>45236.72215</v>
      </c>
      <c r="D640" s="5">
        <f>IFERROR(__xludf.DUMMYFUNCTION("""COMPUTED_VALUE"""),45229.0)</f>
        <v>45229</v>
      </c>
      <c r="E640" s="4" t="str">
        <f>IFERROR(__xludf.DUMMYFUNCTION("""COMPUTED_VALUE"""),"micaela.zorzetto@patagoniansys.com")</f>
        <v>micaela.zorzetto@patagoniansys.com</v>
      </c>
      <c r="F640" s="4" t="str">
        <f>IFERROR(__xludf.DUMMYFUNCTION("""COMPUTED_VALUE"""),"nahuel.diaz@patagoniansys.com")</f>
        <v>nahuel.diaz@patagoniansys.com</v>
      </c>
      <c r="G640" s="4" t="str">
        <f>IFERROR(__xludf.DUMMYFUNCTION("""COMPUTED_VALUE"""),"⏱ One on One")</f>
        <v>⏱ One on One</v>
      </c>
      <c r="H640" s="4" t="str">
        <f>IFERROR(__xludf.DUMMYFUNCTION("""COMPUTED_VALUE"""),"😐 Indiferente")</f>
        <v>😐 Indiferente</v>
      </c>
      <c r="I640" s="6" t="str">
        <f>IFERROR(__xludf.DUMMYFUNCTION("""COMPUTED_VALUE"""),"Ahora esta ayudando con lo del desarrollo de los piwe powers, y esta a la espera de comenzar a trabajar en el proyecto BID. 
Siente que no esta teniendo mucho feedback de sus lideres para poder ver en que mejorar y que no. Y para él el feedback es super i"&amp;"mportante para seguir mejorando. ")</f>
        <v>Ahora esta ayudando con lo del desarrollo de los piwe powers, y esta a la espera de comenzar a trabajar en el proyecto BID. 
Siente que no esta teniendo mucho feedback de sus lideres para poder ver en que mejorar y que no. Y para él el feedback es super importante para seguir mejorando. </v>
      </c>
      <c r="J640" s="4" t="str">
        <f>IFERROR(__xludf.DUMMYFUNCTION("""COMPUTED_VALUE"""),"PX|Referents|RRHH")</f>
        <v>PX|Referents|RRHH</v>
      </c>
    </row>
    <row r="641">
      <c r="A641" s="4">
        <f>IFERROR(__xludf.DUMMYFUNCTION("""COMPUTED_VALUE"""),284.0)</f>
        <v>284</v>
      </c>
      <c r="B641" s="4" t="str">
        <f>IFERROR(__xludf.DUMMYFUNCTION("""COMPUTED_VALUE"""),"emmanuel.trassani")</f>
        <v>emmanuel.trassani</v>
      </c>
      <c r="C641" s="5">
        <f>IFERROR(__xludf.DUMMYFUNCTION("""COMPUTED_VALUE"""),45230.471482175926)</f>
        <v>45230.47148</v>
      </c>
      <c r="D641" s="5">
        <f>IFERROR(__xludf.DUMMYFUNCTION("""COMPUTED_VALUE"""),45230.0)</f>
        <v>45230</v>
      </c>
      <c r="E641" s="4" t="str">
        <f>IFERROR(__xludf.DUMMYFUNCTION("""COMPUTED_VALUE"""),"juan.calou@patagoniansys.com")</f>
        <v>juan.calou@patagoniansys.com</v>
      </c>
      <c r="F641" s="4" t="str">
        <f>IFERROR(__xludf.DUMMYFUNCTION("""COMPUTED_VALUE"""),"emmanuel.trassani@patagonian.com")</f>
        <v>emmanuel.trassani@patagonian.com</v>
      </c>
      <c r="G641" s="4" t="str">
        <f>IFERROR(__xludf.DUMMYFUNCTION("""COMPUTED_VALUE"""),"Referent One on One")</f>
        <v>Referent One on One</v>
      </c>
      <c r="H641" s="4"/>
      <c r="I641" s="6" t="str">
        <f>IFERROR(__xludf.DUMMYFUNCTION("""COMPUTED_VALUE"""),"- Interviewee e-Mail: emmanuel.trassani@patagonian.com
- Project Status Check: Muchos cambios. Me piden varias cosas del front. trabajando en componente de imagenes
- Project Changes | Notes: -
- Project Role | Feeling: 4
- Extra Work Hours | Amount: 0 (N"&amp;"ingúna)
- Techs | Research: generacion de imagenes ai
- Collaborator | Seniority: 👍 No, es correcto
- Alerts: No ha despertado alertas
- Project Needs / Oportunities: Me dijo que le gustaria tener un diseñador en el equipo. Supongo que es algo que ya se "&amp;"ha hablado, pero puede ser una oportunidad de proponer algo
- Final notes: Lo veo muy bien, muy contento con su trabajo y con Pata. Estuvo haciendo un monton de cosas en el front, tratamiento de imagenes, y eso le interesa.
- Project Techs | Learning: 0
-"&amp;" Project Techs | Difficulty: 4
- Project Changes | Reasons: 🟰 No hubo cambios
- Project Changes | Personal Impact: 4
- Project Role | Value: 4
- Project role | Notes: esta contento. Trabaja en el front. Manejo de imagenes.")</f>
        <v>- Interviewee e-Mail: emmanuel.trassani@patagonian.com
- Project Status Check: Muchos cambios. Me piden varias cosas del front. trabajando en componente de imagenes
- Project Changes | Notes: -
- Project Role | Feeling: 4
- Extra Work Hours | Amount: 0 (Ningúna)
- Techs | Research: generacion de imagenes ai
- Collaborator | Seniority: 👍 No, es correcto
- Alerts: No ha despertado alertas
- Project Needs / Oportunities: Me dijo que le gustaria tener un diseñador en el equipo. Supongo que es algo que ya se ha hablado, pero puede ser una oportunidad de proponer algo
- Final notes: Lo veo muy bien, muy contento con su trabajo y con Pata. Estuvo haciendo un monton de cosas en el front, tratamiento de imagenes, y eso le interesa.
- Project Techs | Learning: 0
- Project Techs | Difficulty: 4
- Project Changes | Reasons: 🟰 No hubo cambios
- Project Changes | Personal Impact: 4
- Project Role | Value: 4
- Project role | Notes: esta contento. Trabaja en el front. Manejo de imagenes.</v>
      </c>
      <c r="J641" s="4" t="str">
        <f>IFERROR(__xludf.DUMMYFUNCTION("""COMPUTED_VALUE"""),"Tech Referent - OneOnOne")</f>
        <v>Tech Referent - OneOnOne</v>
      </c>
    </row>
    <row r="642">
      <c r="A642" s="4">
        <f>IFERROR(__xludf.DUMMYFUNCTION("""COMPUTED_VALUE"""),22.0)</f>
        <v>22</v>
      </c>
      <c r="B642" s="4" t="str">
        <f>IFERROR(__xludf.DUMMYFUNCTION("""COMPUTED_VALUE"""),"jmartinez")</f>
        <v>jmartinez</v>
      </c>
      <c r="C642" s="5">
        <f>IFERROR(__xludf.DUMMYFUNCTION("""COMPUTED_VALUE"""),45230.47832765047)</f>
        <v>45230.47833</v>
      </c>
      <c r="D642" s="5">
        <f>IFERROR(__xludf.DUMMYFUNCTION("""COMPUTED_VALUE"""),45230.0)</f>
        <v>45230</v>
      </c>
      <c r="E642" s="4" t="str">
        <f>IFERROR(__xludf.DUMMYFUNCTION("""COMPUTED_VALUE"""),"brayan.barrios@patagoniansys.com")</f>
        <v>brayan.barrios@patagoniansys.com</v>
      </c>
      <c r="F642" s="4" t="str">
        <f>IFERROR(__xludf.DUMMYFUNCTION("""COMPUTED_VALUE"""),"jmartinez@patagonian.com")</f>
        <v>jmartinez@patagonian.com</v>
      </c>
      <c r="G642" s="4" t="str">
        <f>IFERROR(__xludf.DUMMYFUNCTION("""COMPUTED_VALUE"""),"Referent One on One")</f>
        <v>Referent One on One</v>
      </c>
      <c r="H642" s="4"/>
      <c r="I642" s="6" t="str">
        <f>IFERROR(__xludf.DUMMYFUNCTION("""COMPUTED_VALUE"""),"- Interviewee e-Mail: jmartinez@patagonian.com
- Project Status Check: En lo mismo en Overplay full, estuvo el evento de adobe y necesitaban una feature rápida y estuvo la presentación del programa shark tank. Para eso estuvo trabajando en un tutorial nue"&amp;"vo.
- Project Changes | Notes: Le esta dando responsabilidades claras a cada persona.
- Project Role | Feeling: 4
- Extra Work Hours | Amount: 10+ (Más de 10)
- Extra Work Hours | Reason: 🏁 Deadlines próximas e inamovibles
- Techs | Recomendations: Volve"&amp;"r a retomar la certificacion de AWS Developer Associate
- Collaborator | Seniority: 👍 No, es correcto
- Alerts: Tiempos / Organizacion en relación con el cliente
- Project Needs / Oportunities: El proyecto necesita un PO
- Project Techs | Learning: 10
- "&amp;"Project Techs | Difficulty: 4
- Project Changes | Reasons: ⬆️ Aumento del equipo, Estan buscando un PO para liberar a Dan de la planificación diaria.
- Project Changes | Personal Impact: 4
- Project Role | Value: 5
- Project role | Notes: Es una parte fun"&amp;"damental en el desarrollo mobile con todos los cambios y mejoras que vienen haciendo.")</f>
        <v>- Interviewee e-Mail: jmartinez@patagonian.com
- Project Status Check: En lo mismo en Overplay full, estuvo el evento de adobe y necesitaban una feature rápida y estuvo la presentación del programa shark tank. Para eso estuvo trabajando en un tutorial nuevo.
- Project Changes | Notes: Le esta dando responsabilidades claras a cada persona.
- Project Role | Feeling: 4
- Extra Work Hours | Amount: 10+ (Más de 10)
- Extra Work Hours | Reason: 🏁 Deadlines próximas e inamovibles
- Techs | Recomendations: Volver a retomar la certificacion de AWS Developer Associate
- Collaborator | Seniority: 👍 No, es correcto
- Alerts: Tiempos / Organizacion en relación con el cliente
- Project Needs / Oportunities: El proyecto necesita un PO
- Project Techs | Learning: 10
- Project Techs | Difficulty: 4
- Project Changes | Reasons: ⬆️ Aumento del equipo, Estan buscando un PO para liberar a Dan de la planificación diaria.
- Project Changes | Personal Impact: 4
- Project Role | Value: 5
- Project role | Notes: Es una parte fundamental en el desarrollo mobile con todos los cambios y mejoras que vienen haciendo.</v>
      </c>
      <c r="J642" s="4" t="str">
        <f>IFERROR(__xludf.DUMMYFUNCTION("""COMPUTED_VALUE"""),"Tech Referent - OneOnOne")</f>
        <v>Tech Referent - OneOnOne</v>
      </c>
    </row>
    <row r="643">
      <c r="A643" s="4">
        <f>IFERROR(__xludf.DUMMYFUNCTION("""COMPUTED_VALUE"""),234.0)</f>
        <v>234</v>
      </c>
      <c r="B643" s="4" t="str">
        <f>IFERROR(__xludf.DUMMYFUNCTION("""COMPUTED_VALUE"""),"matias.gudar")</f>
        <v>matias.gudar</v>
      </c>
      <c r="C643" s="5">
        <f>IFERROR(__xludf.DUMMYFUNCTION("""COMPUTED_VALUE"""),45230.50946541667)</f>
        <v>45230.50947</v>
      </c>
      <c r="D643" s="5">
        <f>IFERROR(__xludf.DUMMYFUNCTION("""COMPUTED_VALUE"""),45230.0)</f>
        <v>45230</v>
      </c>
      <c r="E643" s="4" t="str">
        <f>IFERROR(__xludf.DUMMYFUNCTION("""COMPUTED_VALUE"""),"martin.infante@patagoniansys.com")</f>
        <v>martin.infante@patagoniansys.com</v>
      </c>
      <c r="F643" s="4" t="str">
        <f>IFERROR(__xludf.DUMMYFUNCTION("""COMPUTED_VALUE"""),"matias.gudar@patagoniansys.com")</f>
        <v>matias.gudar@patagoniansys.com</v>
      </c>
      <c r="G643" s="4" t="str">
        <f>IFERROR(__xludf.DUMMYFUNCTION("""COMPUTED_VALUE"""),"Referent One on One")</f>
        <v>Referent One on One</v>
      </c>
      <c r="H643" s="4"/>
      <c r="I643" s="6" t="str">
        <f>IFERROR(__xludf.DUMMYFUNCTION("""COMPUTED_VALUE"""),"- Interviewee e-Mail: matias.gudar@patagoniansys.com
- Project Role | Feeling: 3
- Extra Work Hours | Amount: 0 (Ningúna)
- Collaborator | Seniority: 👍 No, es correcto
- Final notes: Esto fue un placeholder. El entrevistado esta de vacaciones.
- Project "&amp;"Techs | Learning: 0
- Project Techs | Difficulty: 3
- Project Role | Value: 3
- Project role | Notes: -")</f>
        <v>- Interviewee e-Mail: matias.gudar@patagoniansys.com
- Project Role | Feeling: 3
- Extra Work Hours | Amount: 0 (Ningúna)
- Collaborator | Seniority: 👍 No, es correcto
- Final notes: Esto fue un placeholder. El entrevistado esta de vacaciones.
- Project Techs | Learning: 0
- Project Techs | Difficulty: 3
- Project Role | Value: 3
- Project role | Notes: -</v>
      </c>
      <c r="J643" s="4" t="str">
        <f>IFERROR(__xludf.DUMMYFUNCTION("""COMPUTED_VALUE"""),"Tech Referent - OneOnOne")</f>
        <v>Tech Referent - OneOnOne</v>
      </c>
    </row>
    <row r="644">
      <c r="A644" s="4">
        <f>IFERROR(__xludf.DUMMYFUNCTION("""COMPUTED_VALUE"""),5.0)</f>
        <v>5</v>
      </c>
      <c r="B644" s="4" t="str">
        <f>IFERROR(__xludf.DUMMYFUNCTION("""COMPUTED_VALUE"""),"bruno.molina")</f>
        <v>bruno.molina</v>
      </c>
      <c r="C644" s="5">
        <f>IFERROR(__xludf.DUMMYFUNCTION("""COMPUTED_VALUE"""),45230.64093126157)</f>
        <v>45230.64093</v>
      </c>
      <c r="D644" s="5">
        <f>IFERROR(__xludf.DUMMYFUNCTION("""COMPUTED_VALUE"""),45230.0)</f>
        <v>45230</v>
      </c>
      <c r="E644" s="4" t="str">
        <f>IFERROR(__xludf.DUMMYFUNCTION("""COMPUTED_VALUE"""),"brayan.barrios@patagoniansys.com")</f>
        <v>brayan.barrios@patagoniansys.com</v>
      </c>
      <c r="F644" s="4" t="str">
        <f>IFERROR(__xludf.DUMMYFUNCTION("""COMPUTED_VALUE"""),"bruno.molina@patagonian.com")</f>
        <v>bruno.molina@patagonian.com</v>
      </c>
      <c r="G644" s="4" t="str">
        <f>IFERROR(__xludf.DUMMYFUNCTION("""COMPUTED_VALUE"""),"Referent One on One")</f>
        <v>Referent One on One</v>
      </c>
      <c r="H644" s="4"/>
      <c r="I644" s="6" t="str">
        <f>IFERROR(__xludf.DUMMYFUNCTION("""COMPUTED_VALUE"""),"- Interviewee e-Mail: bruno.molina@patagonian.com
- Project Status Check: Colombia Productiva, WebTool, Sinarame, Connect Americas, Eyethena, Mbody
- Project Changes | Notes: Maneja muchos proyectos asi que estamos bien.
- Project Role | Feeling: 4
- Extr"&amp;"a Work Hours | Amount: 0 (Ningúna)
- Techs | Recomendations: Me gustaria que tomara el coaching que vienen tomando los miembros de Patagonian.
- Collaborator | Seniority: 👍 No, es correcto
- Alerts: El quiere llevar procesos mas de liderazgo
- Project Te"&amp;"chs | Learning: 0
- Project Techs | Difficulty: 4
- Project Changes | Reasons: 🏁 Cambios en los objetivos, 💻 Cambios en la manera de desarrollar, El alcance de los proyectos vienen cambiando con el tiempo
- Project Changes | Personal Impact: 4
- Project"&amp;" Role | Value: 5
- Project role | Notes: El rol es fundamental en los proyectos en los que los requerimientos cambiantes ponen tension sobre el flujo.")</f>
        <v>- Interviewee e-Mail: bruno.molina@patagonian.com
- Project Status Check: Colombia Productiva, WebTool, Sinarame, Connect Americas, Eyethena, Mbody
- Project Changes | Notes: Maneja muchos proyectos asi que estamos bien.
- Project Role | Feeling: 4
- Extra Work Hours | Amount: 0 (Ningúna)
- Techs | Recomendations: Me gustaria que tomara el coaching que vienen tomando los miembros de Patagonian.
- Collaborator | Seniority: 👍 No, es correcto
- Alerts: El quiere llevar procesos mas de liderazgo
- Project Techs | Learning: 0
- Project Techs | Difficulty: 4
- Project Changes | Reasons: 🏁 Cambios en los objetivos, 💻 Cambios en la manera de desarrollar, El alcance de los proyectos vienen cambiando con el tiempo
- Project Changes | Personal Impact: 4
- Project Role | Value: 5
- Project role | Notes: El rol es fundamental en los proyectos en los que los requerimientos cambiantes ponen tension sobre el flujo.</v>
      </c>
      <c r="J644" s="4" t="str">
        <f>IFERROR(__xludf.DUMMYFUNCTION("""COMPUTED_VALUE"""),"Tech Referent - OneOnOne")</f>
        <v>Tech Referent - OneOnOne</v>
      </c>
    </row>
    <row r="645">
      <c r="A645" s="4">
        <f>IFERROR(__xludf.DUMMYFUNCTION("""COMPUTED_VALUE"""),152.0)</f>
        <v>152</v>
      </c>
      <c r="B645" s="4" t="str">
        <f>IFERROR(__xludf.DUMMYFUNCTION("""COMPUTED_VALUE"""),"omar.fandino")</f>
        <v>omar.fandino</v>
      </c>
      <c r="C645" s="5">
        <f>IFERROR(__xludf.DUMMYFUNCTION("""COMPUTED_VALUE"""),45231.74034134259)</f>
        <v>45231.74034</v>
      </c>
      <c r="D645" s="5">
        <f>IFERROR(__xludf.DUMMYFUNCTION("""COMPUTED_VALUE"""),45230.0)</f>
        <v>45230</v>
      </c>
      <c r="E645" s="4" t="str">
        <f>IFERROR(__xludf.DUMMYFUNCTION("""COMPUTED_VALUE"""),"natalia.aguirre@patagoniansys.com")</f>
        <v>natalia.aguirre@patagoniansys.com</v>
      </c>
      <c r="F645" s="4" t="str">
        <f>IFERROR(__xludf.DUMMYFUNCTION("""COMPUTED_VALUE"""),"omar.fandino@patagoniansys.com")</f>
        <v>omar.fandino@patagoniansys.com</v>
      </c>
      <c r="G645" s="4" t="str">
        <f>IFERROR(__xludf.DUMMYFUNCTION("""COMPUTED_VALUE"""),"⏱ One on One")</f>
        <v>⏱ One on One</v>
      </c>
      <c r="H645" s="4" t="str">
        <f>IFERROR(__xludf.DUMMYFUNCTION("""COMPUTED_VALUE"""),"🙂 Feliz")</f>
        <v>🙂 Feliz</v>
      </c>
      <c r="I645" s="6" t="str">
        <f>IFERROR(__xludf.DUMMYFUNCTION("""COMPUTED_VALUE"""),"Proyecto Readybuild: me gusta, tiene cosas que me ayudan a seguir aprendiendo, veo que lo que estamos utilizando en el proyecto es actualizado, no estamos utilizando cosas viejas. Me gustaría poder hacer cosas que le aporten al cliente y a Patagonia, como"&amp;" formas automatizadas de ver indicadores (ejemplo sonar)")</f>
        <v>Proyecto Readybuild: me gusta, tiene cosas que me ayudan a seguir aprendiendo, veo que lo que estamos utilizando en el proyecto es actualizado, no estamos utilizando cosas viejas. Me gustaría poder hacer cosas que le aporten al cliente y a Patagonia, como formas automatizadas de ver indicadores (ejemplo sonar)</v>
      </c>
      <c r="J645" s="4" t="str">
        <f>IFERROR(__xludf.DUMMYFUNCTION("""COMPUTED_VALUE"""),"PX|Referents|RRHH")</f>
        <v>PX|Referents|RRHH</v>
      </c>
    </row>
    <row r="646">
      <c r="A646" s="4">
        <f>IFERROR(__xludf.DUMMYFUNCTION("""COMPUTED_VALUE"""),254.0)</f>
        <v>254</v>
      </c>
      <c r="B646" s="4" t="str">
        <f>IFERROR(__xludf.DUMMYFUNCTION("""COMPUTED_VALUE"""),"ismael.cespedes")</f>
        <v>ismael.cespedes</v>
      </c>
      <c r="C646" s="5">
        <f>IFERROR(__xludf.DUMMYFUNCTION("""COMPUTED_VALUE"""),45232.71130416667)</f>
        <v>45232.7113</v>
      </c>
      <c r="D646" s="5">
        <f>IFERROR(__xludf.DUMMYFUNCTION("""COMPUTED_VALUE"""),45230.0)</f>
        <v>45230</v>
      </c>
      <c r="E646" s="4" t="str">
        <f>IFERROR(__xludf.DUMMYFUNCTION("""COMPUTED_VALUE"""),"daniela.morales@patagoniansys.com")</f>
        <v>daniela.morales@patagoniansys.com</v>
      </c>
      <c r="F646" s="4" t="str">
        <f>IFERROR(__xludf.DUMMYFUNCTION("""COMPUTED_VALUE"""),"ismael.cespedes@patagoniansys.com")</f>
        <v>ismael.cespedes@patagoniansys.com</v>
      </c>
      <c r="G646" s="4" t="str">
        <f>IFERROR(__xludf.DUMMYFUNCTION("""COMPUTED_VALUE"""),"⏱ One on One")</f>
        <v>⏱ One on One</v>
      </c>
      <c r="H646" s="4" t="str">
        <f>IFERROR(__xludf.DUMMYFUNCTION("""COMPUTED_VALUE"""),"🙂 Feliz")</f>
        <v>🙂 Feliz</v>
      </c>
      <c r="I646" s="6" t="str">
        <f>IFERROR(__xludf.DUMMYFUNCTION("""COMPUTED_VALUE"""),"En términos generales se encuentra bastante bien, justo terminaba su asignación en el proyecto en el que estaba por lo que ha estado hablando con Tito para otros proyectos. Está contento de pertenecer a patagonian, indagó sobre la posibilidad de hacer cer"&amp;"tificaciones y capacitaciones. ")</f>
        <v>En términos generales se encuentra bastante bien, justo terminaba su asignación en el proyecto en el que estaba por lo que ha estado hablando con Tito para otros proyectos. Está contento de pertenecer a patagonian, indagó sobre la posibilidad de hacer certificaciones y capacitaciones. </v>
      </c>
      <c r="J646" s="4" t="str">
        <f>IFERROR(__xludf.DUMMYFUNCTION("""COMPUTED_VALUE"""),"PX|Referents|RRHH")</f>
        <v>PX|Referents|RRHH</v>
      </c>
    </row>
    <row r="647">
      <c r="A647" s="4">
        <f>IFERROR(__xludf.DUMMYFUNCTION("""COMPUTED_VALUE"""),315.0)</f>
        <v>315</v>
      </c>
      <c r="B647" s="4" t="str">
        <f>IFERROR(__xludf.DUMMYFUNCTION("""COMPUTED_VALUE"""),"juan.lara")</f>
        <v>juan.lara</v>
      </c>
      <c r="C647" s="5">
        <f>IFERROR(__xludf.DUMMYFUNCTION("""COMPUTED_VALUE"""),45232.71232319444)</f>
        <v>45232.71232</v>
      </c>
      <c r="D647" s="5">
        <f>IFERROR(__xludf.DUMMYFUNCTION("""COMPUTED_VALUE"""),45230.0)</f>
        <v>45230</v>
      </c>
      <c r="E647" s="4" t="str">
        <f>IFERROR(__xludf.DUMMYFUNCTION("""COMPUTED_VALUE"""),"daniela.morales@patagoniansys.com")</f>
        <v>daniela.morales@patagoniansys.com</v>
      </c>
      <c r="F647" s="4" t="str">
        <f>IFERROR(__xludf.DUMMYFUNCTION("""COMPUTED_VALUE"""),"juan.lara@patagoniansys.com")</f>
        <v>juan.lara@patagoniansys.com</v>
      </c>
      <c r="G647" s="4" t="str">
        <f>IFERROR(__xludf.DUMMYFUNCTION("""COMPUTED_VALUE"""),"⏱ One on One")</f>
        <v>⏱ One on One</v>
      </c>
      <c r="H647" s="4" t="str">
        <f>IFERROR(__xludf.DUMMYFUNCTION("""COMPUTED_VALUE"""),"😐 Indiferente")</f>
        <v>😐 Indiferente</v>
      </c>
      <c r="I647" s="6" t="str">
        <f>IFERROR(__xludf.DUMMYFUNCTION("""COMPUTED_VALUE"""),"Se encuentra bien, ha estado con bastante carga de trabajo últimamente pero es manejable según los tiempos. ")</f>
        <v>Se encuentra bien, ha estado con bastante carga de trabajo últimamente pero es manejable según los tiempos. </v>
      </c>
      <c r="J647" s="4" t="str">
        <f>IFERROR(__xludf.DUMMYFUNCTION("""COMPUTED_VALUE"""),"PX|Referents|RRHH")</f>
        <v>PX|Referents|RRHH</v>
      </c>
    </row>
    <row r="648">
      <c r="A648" s="4">
        <f>IFERROR(__xludf.DUMMYFUNCTION("""COMPUTED_VALUE"""),220.0)</f>
        <v>220</v>
      </c>
      <c r="B648" s="4" t="str">
        <f>IFERROR(__xludf.DUMMYFUNCTION("""COMPUTED_VALUE"""),"andres.rudqvist")</f>
        <v>andres.rudqvist</v>
      </c>
      <c r="C648" s="5">
        <f>IFERROR(__xludf.DUMMYFUNCTION("""COMPUTED_VALUE"""),45232.713342800926)</f>
        <v>45232.71334</v>
      </c>
      <c r="D648" s="5">
        <f>IFERROR(__xludf.DUMMYFUNCTION("""COMPUTED_VALUE"""),45230.0)</f>
        <v>45230</v>
      </c>
      <c r="E648" s="4" t="str">
        <f>IFERROR(__xludf.DUMMYFUNCTION("""COMPUTED_VALUE"""),"daniela.morales@patagoniansys.com")</f>
        <v>daniela.morales@patagoniansys.com</v>
      </c>
      <c r="F648" s="4" t="str">
        <f>IFERROR(__xludf.DUMMYFUNCTION("""COMPUTED_VALUE"""),"andres.rudqvist@patagoniansys.com")</f>
        <v>andres.rudqvist@patagoniansys.com</v>
      </c>
      <c r="G648" s="4" t="str">
        <f>IFERROR(__xludf.DUMMYFUNCTION("""COMPUTED_VALUE"""),"⏱ One on One")</f>
        <v>⏱ One on One</v>
      </c>
      <c r="H648" s="4" t="str">
        <f>IFERROR(__xludf.DUMMYFUNCTION("""COMPUTED_VALUE"""),"😐 Indiferente")</f>
        <v>😐 Indiferente</v>
      </c>
      <c r="I648" s="6" t="str">
        <f>IFERROR(__xludf.DUMMYFUNCTION("""COMPUTED_VALUE"""),"inició hace poco tareas de arquitectura también, por lo que está emocionado y muy contento. además de esto, está asignado a su proyecto, por lo que tiene que mediar mejor los tiempos. Me consultó por beneficios de patagonian living y de semana patagonian."&amp;" ")</f>
        <v>inició hace poco tareas de arquitectura también, por lo que está emocionado y muy contento. además de esto, está asignado a su proyecto, por lo que tiene que mediar mejor los tiempos. Me consultó por beneficios de patagonian living y de semana patagonian. </v>
      </c>
      <c r="J648" s="4" t="str">
        <f>IFERROR(__xludf.DUMMYFUNCTION("""COMPUTED_VALUE"""),"PX|Referents|RRHH")</f>
        <v>PX|Referents|RRHH</v>
      </c>
    </row>
    <row r="649">
      <c r="A649" s="4">
        <f>IFERROR(__xludf.DUMMYFUNCTION("""COMPUTED_VALUE"""),311.0)</f>
        <v>311</v>
      </c>
      <c r="B649" s="4" t="str">
        <f>IFERROR(__xludf.DUMMYFUNCTION("""COMPUTED_VALUE"""),"andres.murillo")</f>
        <v>andres.murillo</v>
      </c>
      <c r="C649" s="5">
        <f>IFERROR(__xludf.DUMMYFUNCTION("""COMPUTED_VALUE"""),45232.81493771991)</f>
        <v>45232.81494</v>
      </c>
      <c r="D649" s="5">
        <f>IFERROR(__xludf.DUMMYFUNCTION("""COMPUTED_VALUE"""),45230.0)</f>
        <v>45230</v>
      </c>
      <c r="E649" s="4" t="str">
        <f>IFERROR(__xludf.DUMMYFUNCTION("""COMPUTED_VALUE"""),"daniela.morales@patagoniansys.com")</f>
        <v>daniela.morales@patagoniansys.com</v>
      </c>
      <c r="F649" s="4" t="str">
        <f>IFERROR(__xludf.DUMMYFUNCTION("""COMPUTED_VALUE"""),"andres.murillo@patagoniansys.com")</f>
        <v>andres.murillo@patagoniansys.com</v>
      </c>
      <c r="G649" s="4" t="str">
        <f>IFERROR(__xludf.DUMMYFUNCTION("""COMPUTED_VALUE"""),"⏱ One on One")</f>
        <v>⏱ One on One</v>
      </c>
      <c r="H649" s="4" t="str">
        <f>IFERROR(__xludf.DUMMYFUNCTION("""COMPUTED_VALUE"""),"😐 Indiferente")</f>
        <v>😐 Indiferente</v>
      </c>
      <c r="I649" s="6" t="str">
        <f>IFERROR(__xludf.DUMMYFUNCTION("""COMPUTED_VALUE"""),"Hace poco cambió de proyecto y está adaptándose a la nueva forma de trabajo, me cuenta que le gusta más el proyecto y la metodología anterior pero igual siente que este es un buen equipo también. ")</f>
        <v>Hace poco cambió de proyecto y está adaptándose a la nueva forma de trabajo, me cuenta que le gusta más el proyecto y la metodología anterior pero igual siente que este es un buen equipo también. </v>
      </c>
      <c r="J649" s="4" t="str">
        <f>IFERROR(__xludf.DUMMYFUNCTION("""COMPUTED_VALUE"""),"PX|Referents|RRHH")</f>
        <v>PX|Referents|RRHH</v>
      </c>
    </row>
    <row r="650">
      <c r="A650" s="4">
        <f>IFERROR(__xludf.DUMMYFUNCTION("""COMPUTED_VALUE"""),146.0)</f>
        <v>146</v>
      </c>
      <c r="B650" s="4" t="str">
        <f>IFERROR(__xludf.DUMMYFUNCTION("""COMPUTED_VALUE"""),"juan.martinezrios")</f>
        <v>juan.martinezrios</v>
      </c>
      <c r="C650" s="5">
        <f>IFERROR(__xludf.DUMMYFUNCTION("""COMPUTED_VALUE"""),45232.70785226852)</f>
        <v>45232.70785</v>
      </c>
      <c r="D650" s="5">
        <f>IFERROR(__xludf.DUMMYFUNCTION("""COMPUTED_VALUE"""),45231.0)</f>
        <v>45231</v>
      </c>
      <c r="E650" s="4" t="str">
        <f>IFERROR(__xludf.DUMMYFUNCTION("""COMPUTED_VALUE"""),"daniela.morales@patagoniansys.com")</f>
        <v>daniela.morales@patagoniansys.com</v>
      </c>
      <c r="F650" s="4" t="str">
        <f>IFERROR(__xludf.DUMMYFUNCTION("""COMPUTED_VALUE"""),"juan.martinezrios@patagoniansys.com")</f>
        <v>juan.martinezrios@patagoniansys.com</v>
      </c>
      <c r="G650" s="4" t="str">
        <f>IFERROR(__xludf.DUMMYFUNCTION("""COMPUTED_VALUE"""),"⏱ One on One")</f>
        <v>⏱ One on One</v>
      </c>
      <c r="H650" s="4" t="str">
        <f>IFERROR(__xludf.DUMMYFUNCTION("""COMPUTED_VALUE"""),"🙂 Feliz")</f>
        <v>🙂 Feliz</v>
      </c>
      <c r="I650" s="6" t="str">
        <f>IFERROR(__xludf.DUMMYFUNCTION("""COMPUTED_VALUE"""),"Se encuentra bastante bien, está contento en el proyecto en el que está en el momento, también está colaborando en el career path lo cuál lo motiva mucho. Me consultó sobre tema de patapréstamo y sobre certificaciones y cursos que está realizando. ")</f>
        <v>Se encuentra bastante bien, está contento en el proyecto en el que está en el momento, también está colaborando en el career path lo cuál lo motiva mucho. Me consultó sobre tema de patapréstamo y sobre certificaciones y cursos que está realizando. </v>
      </c>
      <c r="J650" s="4" t="str">
        <f>IFERROR(__xludf.DUMMYFUNCTION("""COMPUTED_VALUE"""),"PX|Referents|RRHH")</f>
        <v>PX|Referents|RRHH</v>
      </c>
    </row>
    <row r="651">
      <c r="A651" s="4">
        <f>IFERROR(__xludf.DUMMYFUNCTION("""COMPUTED_VALUE"""),235.0)</f>
        <v>235</v>
      </c>
      <c r="B651" s="4" t="str">
        <f>IFERROR(__xludf.DUMMYFUNCTION("""COMPUTED_VALUE"""),"jose.acosta")</f>
        <v>jose.acosta</v>
      </c>
      <c r="C651" s="5">
        <f>IFERROR(__xludf.DUMMYFUNCTION("""COMPUTED_VALUE"""),45232.709825625)</f>
        <v>45232.70983</v>
      </c>
      <c r="D651" s="5">
        <f>IFERROR(__xludf.DUMMYFUNCTION("""COMPUTED_VALUE"""),45231.0)</f>
        <v>45231</v>
      </c>
      <c r="E651" s="4" t="str">
        <f>IFERROR(__xludf.DUMMYFUNCTION("""COMPUTED_VALUE"""),"daniela.morales@patagoniansys.com")</f>
        <v>daniela.morales@patagoniansys.com</v>
      </c>
      <c r="F651" s="4" t="str">
        <f>IFERROR(__xludf.DUMMYFUNCTION("""COMPUTED_VALUE"""),"jose.acosta@patagoniansys.com")</f>
        <v>jose.acosta@patagoniansys.com</v>
      </c>
      <c r="G651" s="4" t="str">
        <f>IFERROR(__xludf.DUMMYFUNCTION("""COMPUTED_VALUE"""),"⏱ One on One")</f>
        <v>⏱ One on One</v>
      </c>
      <c r="H651" s="4" t="str">
        <f>IFERROR(__xludf.DUMMYFUNCTION("""COMPUTED_VALUE"""),"🙂 Feliz")</f>
        <v>🙂 Feliz</v>
      </c>
      <c r="I651" s="6" t="str">
        <f>IFERROR(__xludf.DUMMYFUNCTION("""COMPUTED_VALUE"""),"Me cuenta que se encuentra bien, me consulta por la posibilidad de hacer cursos y la certificación de AWS, se le da la información y se le motiva a seguir capacitándose. ")</f>
        <v>Me cuenta que se encuentra bien, me consulta por la posibilidad de hacer cursos y la certificación de AWS, se le da la información y se le motiva a seguir capacitándose. </v>
      </c>
      <c r="J651" s="4" t="str">
        <f>IFERROR(__xludf.DUMMYFUNCTION("""COMPUTED_VALUE"""),"PX|Referents|RRHH")</f>
        <v>PX|Referents|RRHH</v>
      </c>
    </row>
    <row r="652">
      <c r="A652" s="4">
        <f>IFERROR(__xludf.DUMMYFUNCTION("""COMPUTED_VALUE"""),145.0)</f>
        <v>145</v>
      </c>
      <c r="B652" s="4" t="str">
        <f>IFERROR(__xludf.DUMMYFUNCTION("""COMPUTED_VALUE"""),"victor.abitu")</f>
        <v>victor.abitu</v>
      </c>
      <c r="C652" s="5">
        <f>IFERROR(__xludf.DUMMYFUNCTION("""COMPUTED_VALUE"""),45236.725049583336)</f>
        <v>45236.72505</v>
      </c>
      <c r="D652" s="5">
        <f>IFERROR(__xludf.DUMMYFUNCTION("""COMPUTED_VALUE"""),45231.0)</f>
        <v>45231</v>
      </c>
      <c r="E652" s="4" t="str">
        <f>IFERROR(__xludf.DUMMYFUNCTION("""COMPUTED_VALUE"""),"micaela.zorzetto@patagoniansys.com")</f>
        <v>micaela.zorzetto@patagoniansys.com</v>
      </c>
      <c r="F652" s="4" t="str">
        <f>IFERROR(__xludf.DUMMYFUNCTION("""COMPUTED_VALUE"""),"victor.abitu@patagoniansys.com")</f>
        <v>victor.abitu@patagoniansys.com</v>
      </c>
      <c r="G652" s="4" t="str">
        <f>IFERROR(__xludf.DUMMYFUNCTION("""COMPUTED_VALUE"""),"⏱ One on One")</f>
        <v>⏱ One on One</v>
      </c>
      <c r="H652" s="4" t="str">
        <f>IFERROR(__xludf.DUMMYFUNCTION("""COMPUTED_VALUE"""),"🙂 Feliz")</f>
        <v>🙂 Feliz</v>
      </c>
      <c r="I652" s="6" t="str">
        <f>IFERROR(__xludf.DUMMYFUNCTION("""COMPUTED_VALUE"""),"Victor esta bien el proyecto y equipo, no pudo participar del all hands porque tuvo que ir a cursar, pero solicito la grabación para verlo. ")</f>
        <v>Victor esta bien el proyecto y equipo, no pudo participar del all hands porque tuvo que ir a cursar, pero solicito la grabación para verlo. </v>
      </c>
      <c r="J652" s="4" t="str">
        <f>IFERROR(__xludf.DUMMYFUNCTION("""COMPUTED_VALUE"""),"PX|Referents|RRHH")</f>
        <v>PX|Referents|RRHH</v>
      </c>
    </row>
    <row r="653">
      <c r="A653" s="4">
        <f>IFERROR(__xludf.DUMMYFUNCTION("""COMPUTED_VALUE"""),247.0)</f>
        <v>247</v>
      </c>
      <c r="B653" s="4" t="str">
        <f>IFERROR(__xludf.DUMMYFUNCTION("""COMPUTED_VALUE"""),"isabel.yepes")</f>
        <v>isabel.yepes</v>
      </c>
      <c r="C653" s="5">
        <f>IFERROR(__xludf.DUMMYFUNCTION("""COMPUTED_VALUE"""),45232.52143138889)</f>
        <v>45232.52143</v>
      </c>
      <c r="D653" s="5">
        <f>IFERROR(__xludf.DUMMYFUNCTION("""COMPUTED_VALUE"""),45232.0)</f>
        <v>45232</v>
      </c>
      <c r="E653" s="4" t="str">
        <f>IFERROR(__xludf.DUMMYFUNCTION("""COMPUTED_VALUE"""),"daniela.morales@patagoniansys.com")</f>
        <v>daniela.morales@patagoniansys.com</v>
      </c>
      <c r="F653" s="4" t="str">
        <f>IFERROR(__xludf.DUMMYFUNCTION("""COMPUTED_VALUE"""),"isabel.yepes@patagoniansys.com")</f>
        <v>isabel.yepes@patagoniansys.com</v>
      </c>
      <c r="G653" s="4" t="str">
        <f>IFERROR(__xludf.DUMMYFUNCTION("""COMPUTED_VALUE"""),"⏱ One on One")</f>
        <v>⏱ One on One</v>
      </c>
      <c r="H653" s="4" t="str">
        <f>IFERROR(__xludf.DUMMYFUNCTION("""COMPUTED_VALUE"""),"🙂 Feliz")</f>
        <v>🙂 Feliz</v>
      </c>
      <c r="I653" s="6" t="str">
        <f>IFERROR(__xludf.DUMMYFUNCTION("""COMPUTED_VALUE"""),"Entregaron hace poco uno de los proyectos de Connect Americas así que se encuentra bastante contenta por eso, está medio tiempo también con un proyecto de INVAP. En este momento, tiene una actitud proactiva con otros proyectos debido a que queda medio tie"&amp;"mpo con Connect. Se encuentra bastante bien, cree que la situación ha mejorado con el proyecto y con el cliente. ")</f>
        <v>Entregaron hace poco uno de los proyectos de Connect Americas así que se encuentra bastante contenta por eso, está medio tiempo también con un proyecto de INVAP. En este momento, tiene una actitud proactiva con otros proyectos debido a que queda medio tiempo con Connect. Se encuentra bastante bien, cree que la situación ha mejorado con el proyecto y con el cliente. </v>
      </c>
      <c r="J653" s="4" t="str">
        <f>IFERROR(__xludf.DUMMYFUNCTION("""COMPUTED_VALUE"""),"PX|Referents|RRHH")</f>
        <v>PX|Referents|RRHH</v>
      </c>
    </row>
    <row r="654">
      <c r="A654" s="4">
        <f>IFERROR(__xludf.DUMMYFUNCTION("""COMPUTED_VALUE"""),230.0)</f>
        <v>230</v>
      </c>
      <c r="B654" s="4" t="str">
        <f>IFERROR(__xludf.DUMMYFUNCTION("""COMPUTED_VALUE"""),"jorge.contreras")</f>
        <v>jorge.contreras</v>
      </c>
      <c r="C654" s="5">
        <f>IFERROR(__xludf.DUMMYFUNCTION("""COMPUTED_VALUE"""),45232.5406125)</f>
        <v>45232.54061</v>
      </c>
      <c r="D654" s="5">
        <f>IFERROR(__xludf.DUMMYFUNCTION("""COMPUTED_VALUE"""),45232.0)</f>
        <v>45232</v>
      </c>
      <c r="E654" s="4" t="str">
        <f>IFERROR(__xludf.DUMMYFUNCTION("""COMPUTED_VALUE"""),"daniela.morales@patagoniansys.com")</f>
        <v>daniela.morales@patagoniansys.com</v>
      </c>
      <c r="F654" s="4" t="str">
        <f>IFERROR(__xludf.DUMMYFUNCTION("""COMPUTED_VALUE"""),"jorge.contreras@patagoniansys.com")</f>
        <v>jorge.contreras@patagoniansys.com</v>
      </c>
      <c r="G654" s="4" t="str">
        <f>IFERROR(__xludf.DUMMYFUNCTION("""COMPUTED_VALUE"""),"⏱ One on One")</f>
        <v>⏱ One on One</v>
      </c>
      <c r="H654" s="4" t="str">
        <f>IFERROR(__xludf.DUMMYFUNCTION("""COMPUTED_VALUE"""),"🙂 Feliz")</f>
        <v>🙂 Feliz</v>
      </c>
      <c r="I654" s="6" t="str">
        <f>IFERROR(__xludf.DUMMYFUNCTION("""COMPUTED_VALUE"""),"Se encuentra bastante bien, en este momento tiene el proyecto de INVAP y está asignado a dos proyectos de arquitectura. Está organizando mucho mejor su tiempo de forma que tenga equilibrio entre ambas cosas. Le gustó mucho la charla y la visita de Fede en"&amp;" Bogotá, le gusta el rumbo que está tomando la empresa. ")</f>
        <v>Se encuentra bastante bien, en este momento tiene el proyecto de INVAP y está asignado a dos proyectos de arquitectura. Está organizando mucho mejor su tiempo de forma que tenga equilibrio entre ambas cosas. Le gustó mucho la charla y la visita de Fede en Bogotá, le gusta el rumbo que está tomando la empresa. </v>
      </c>
      <c r="J654" s="4" t="str">
        <f>IFERROR(__xludf.DUMMYFUNCTION("""COMPUTED_VALUE"""),"PX|Referents|RRHH")</f>
        <v>PX|Referents|RRHH</v>
      </c>
    </row>
    <row r="655">
      <c r="A655" s="4">
        <f>IFERROR(__xludf.DUMMYFUNCTION("""COMPUTED_VALUE"""),130.0)</f>
        <v>130</v>
      </c>
      <c r="B655" s="4" t="str">
        <f>IFERROR(__xludf.DUMMYFUNCTION("""COMPUTED_VALUE"""),"edgar.bonilla")</f>
        <v>edgar.bonilla</v>
      </c>
      <c r="C655" s="5">
        <f>IFERROR(__xludf.DUMMYFUNCTION("""COMPUTED_VALUE"""),45232.70689)</f>
        <v>45232.70689</v>
      </c>
      <c r="D655" s="5">
        <f>IFERROR(__xludf.DUMMYFUNCTION("""COMPUTED_VALUE"""),45232.0)</f>
        <v>45232</v>
      </c>
      <c r="E655" s="4" t="str">
        <f>IFERROR(__xludf.DUMMYFUNCTION("""COMPUTED_VALUE"""),"daniela.morales@patagoniansys.com")</f>
        <v>daniela.morales@patagoniansys.com</v>
      </c>
      <c r="F655" s="4" t="str">
        <f>IFERROR(__xludf.DUMMYFUNCTION("""COMPUTED_VALUE"""),"edgar.bonilla@patagoniansys.com")</f>
        <v>edgar.bonilla@patagoniansys.com</v>
      </c>
      <c r="G655" s="4" t="str">
        <f>IFERROR(__xludf.DUMMYFUNCTION("""COMPUTED_VALUE"""),"⏱ One on One")</f>
        <v>⏱ One on One</v>
      </c>
      <c r="H655" s="4" t="str">
        <f>IFERROR(__xludf.DUMMYFUNCTION("""COMPUTED_VALUE"""),"🙂 Feliz")</f>
        <v>🙂 Feliz</v>
      </c>
      <c r="I655" s="6" t="str">
        <f>IFERROR(__xludf.DUMMYFUNCTION("""COMPUTED_VALUE"""),"Me cuenta que se encuentra bastante bien, su carga laboral está más nivelada por lo que se encuentra mucho más tranquilo. Le gustó mucho la venida de Fede la semana pasada, quedó tranquilo por los proyectos y movimientos que está teniendo la empresa. A ni"&amp;"vel del proyecto y de sus compañeros está bastante contento, a nivel de 1 a 1 técnicas me dice que le parece que son de gran provecho para los demás y para él. ")</f>
        <v>Me cuenta que se encuentra bastante bien, su carga laboral está más nivelada por lo que se encuentra mucho más tranquilo. Le gustó mucho la venida de Fede la semana pasada, quedó tranquilo por los proyectos y movimientos que está teniendo la empresa. A nivel del proyecto y de sus compañeros está bastante contento, a nivel de 1 a 1 técnicas me dice que le parece que son de gran provecho para los demás y para él. </v>
      </c>
      <c r="J655" s="4" t="str">
        <f>IFERROR(__xludf.DUMMYFUNCTION("""COMPUTED_VALUE"""),"PX|Referents|RRHH")</f>
        <v>PX|Referents|RRHH</v>
      </c>
    </row>
    <row r="656">
      <c r="A656" s="4">
        <f>IFERROR(__xludf.DUMMYFUNCTION("""COMPUTED_VALUE"""),82.0)</f>
        <v>82</v>
      </c>
      <c r="B656" s="4" t="str">
        <f>IFERROR(__xludf.DUMMYFUNCTION("""COMPUTED_VALUE"""),"juan.calou")</f>
        <v>juan.calou</v>
      </c>
      <c r="C656" s="5">
        <f>IFERROR(__xludf.DUMMYFUNCTION("""COMPUTED_VALUE"""),45237.690479641205)</f>
        <v>45237.69048</v>
      </c>
      <c r="D656" s="5">
        <f>IFERROR(__xludf.DUMMYFUNCTION("""COMPUTED_VALUE"""),45232.0)</f>
        <v>45232</v>
      </c>
      <c r="E656" s="4" t="str">
        <f>IFERROR(__xludf.DUMMYFUNCTION("""COMPUTED_VALUE"""),"micaela.zorzetto@patagoniansys.com")</f>
        <v>micaela.zorzetto@patagoniansys.com</v>
      </c>
      <c r="F656" s="4" t="str">
        <f>IFERROR(__xludf.DUMMYFUNCTION("""COMPUTED_VALUE"""),"juan.calou@patagoniansys.com")</f>
        <v>juan.calou@patagoniansys.com</v>
      </c>
      <c r="G656" s="4" t="str">
        <f>IFERROR(__xludf.DUMMYFUNCTION("""COMPUTED_VALUE"""),"⏱ One on One")</f>
        <v>⏱ One on One</v>
      </c>
      <c r="H656" s="4" t="str">
        <f>IFERROR(__xludf.DUMMYFUNCTION("""COMPUTED_VALUE"""),"🙂 Feliz")</f>
        <v>🙂 Feliz</v>
      </c>
      <c r="I656" s="6" t="str">
        <f>IFERROR(__xludf.DUMMYFUNCTION("""COMPUTED_VALUE"""),"Juan esta muy bien en el proyecto y empresa. Se sintió muy conteto de participar como host en el all hands. 
Sigue trabajando junto con Mariana y Gonza impulsando el plan de carrera.")</f>
        <v>Juan esta muy bien en el proyecto y empresa. Se sintió muy conteto de participar como host en el all hands. 
Sigue trabajando junto con Mariana y Gonza impulsando el plan de carrera.</v>
      </c>
      <c r="J656" s="4" t="str">
        <f>IFERROR(__xludf.DUMMYFUNCTION("""COMPUTED_VALUE"""),"PX|Referents|RRHH")</f>
        <v>PX|Referents|RRHH</v>
      </c>
    </row>
    <row r="657">
      <c r="A657" s="4">
        <f>IFERROR(__xludf.DUMMYFUNCTION("""COMPUTED_VALUE"""),277.0)</f>
        <v>277</v>
      </c>
      <c r="B657" s="4" t="str">
        <f>IFERROR(__xludf.DUMMYFUNCTION("""COMPUTED_VALUE"""),"david.risaro")</f>
        <v>david.risaro</v>
      </c>
      <c r="C657" s="5">
        <f>IFERROR(__xludf.DUMMYFUNCTION("""COMPUTED_VALUE"""),45237.700278668985)</f>
        <v>45237.70028</v>
      </c>
      <c r="D657" s="5">
        <f>IFERROR(__xludf.DUMMYFUNCTION("""COMPUTED_VALUE"""),45232.0)</f>
        <v>45232</v>
      </c>
      <c r="E657" s="4" t="str">
        <f>IFERROR(__xludf.DUMMYFUNCTION("""COMPUTED_VALUE"""),"micaela.zorzetto@patagoniansys.com")</f>
        <v>micaela.zorzetto@patagoniansys.com</v>
      </c>
      <c r="F657" s="4" t="str">
        <f>IFERROR(__xludf.DUMMYFUNCTION("""COMPUTED_VALUE"""),"david.risaro@patagoniansys.com")</f>
        <v>david.risaro@patagoniansys.com</v>
      </c>
      <c r="G657" s="4" t="str">
        <f>IFERROR(__xludf.DUMMYFUNCTION("""COMPUTED_VALUE"""),"⏱ One on One")</f>
        <v>⏱ One on One</v>
      </c>
      <c r="H657" s="4" t="str">
        <f>IFERROR(__xludf.DUMMYFUNCTION("""COMPUTED_VALUE"""),"🙂 Feliz")</f>
        <v>🙂 Feliz</v>
      </c>
      <c r="I657" s="6" t="str">
        <f>IFERROR(__xludf.DUMMYFUNCTION("""COMPUTED_VALUE"""),"David no me comento nada relevante. Se siento cómodo y bien en la empresa. ")</f>
        <v>David no me comento nada relevante. Se siento cómodo y bien en la empresa. </v>
      </c>
      <c r="J657" s="4" t="str">
        <f>IFERROR(__xludf.DUMMYFUNCTION("""COMPUTED_VALUE"""),"PX|Referents|RRHH")</f>
        <v>PX|Referents|RRHH</v>
      </c>
    </row>
    <row r="658">
      <c r="A658" s="4">
        <f>IFERROR(__xludf.DUMMYFUNCTION("""COMPUTED_VALUE"""),247.0)</f>
        <v>247</v>
      </c>
      <c r="B658" s="4" t="str">
        <f>IFERROR(__xludf.DUMMYFUNCTION("""COMPUTED_VALUE"""),"isabel.yepes")</f>
        <v>isabel.yepes</v>
      </c>
      <c r="C658" s="5">
        <f>IFERROR(__xludf.DUMMYFUNCTION("""COMPUTED_VALUE"""),45233.4338603125)</f>
        <v>45233.43386</v>
      </c>
      <c r="D658" s="5">
        <f>IFERROR(__xludf.DUMMYFUNCTION("""COMPUTED_VALUE"""),45233.0)</f>
        <v>45233</v>
      </c>
      <c r="E658" s="4" t="str">
        <f>IFERROR(__xludf.DUMMYFUNCTION("""COMPUTED_VALUE"""),"juan.villamizar@patagoniansys.com")</f>
        <v>juan.villamizar@patagoniansys.com</v>
      </c>
      <c r="F658" s="4" t="str">
        <f>IFERROR(__xludf.DUMMYFUNCTION("""COMPUTED_VALUE"""),"isabel.yepes@patagoniansys.com")</f>
        <v>isabel.yepes@patagoniansys.com</v>
      </c>
      <c r="G658" s="4" t="str">
        <f>IFERROR(__xludf.DUMMYFUNCTION("""COMPUTED_VALUE"""),"⏱ One on One")</f>
        <v>⏱ One on One</v>
      </c>
      <c r="H658" s="4" t="str">
        <f>IFERROR(__xludf.DUMMYFUNCTION("""COMPUTED_VALUE"""),"😀 Sumamente Feliz")</f>
        <v>😀 Sumamente Feliz</v>
      </c>
      <c r="I658" s="6" t="str">
        <f>IFERROR(__xludf.DUMMYFUNCTION("""COMPUTED_VALUE"""),"Se siente muy feliz, sacar el proyecto de Haiti le gustó ya que tuvimos PO como apoyo. En general la falta de requerimientos es difícil dar producto al cliente. Falta de documentación no aporta para el desarrollo. Puede ser bueno tener mayor comunicación "&amp;"con el cliente. ")</f>
        <v>Se siente muy feliz, sacar el proyecto de Haiti le gustó ya que tuvimos PO como apoyo. En general la falta de requerimientos es difícil dar producto al cliente. Falta de documentación no aporta para el desarrollo. Puede ser bueno tener mayor comunicación con el cliente. </v>
      </c>
      <c r="J658" s="4" t="str">
        <f>IFERROR(__xludf.DUMMYFUNCTION("""COMPUTED_VALUE"""),"PX|Referents|RRHH")</f>
        <v>PX|Referents|RRHH</v>
      </c>
    </row>
    <row r="659">
      <c r="A659" s="4">
        <f>IFERROR(__xludf.DUMMYFUNCTION("""COMPUTED_VALUE"""),249.0)</f>
        <v>249</v>
      </c>
      <c r="B659" s="4" t="str">
        <f>IFERROR(__xludf.DUMMYFUNCTION("""COMPUTED_VALUE"""),"nahuel.diaz")</f>
        <v>nahuel.diaz</v>
      </c>
      <c r="C659" s="5">
        <f>IFERROR(__xludf.DUMMYFUNCTION("""COMPUTED_VALUE"""),45243.44552961806)</f>
        <v>45243.44553</v>
      </c>
      <c r="D659" s="5">
        <f>IFERROR(__xludf.DUMMYFUNCTION("""COMPUTED_VALUE"""),45233.0)</f>
        <v>45233</v>
      </c>
      <c r="E659" s="4" t="str">
        <f>IFERROR(__xludf.DUMMYFUNCTION("""COMPUTED_VALUE"""),"henry.tong@patagoniansys.com")</f>
        <v>henry.tong@patagoniansys.com</v>
      </c>
      <c r="F659" s="4" t="str">
        <f>IFERROR(__xludf.DUMMYFUNCTION("""COMPUTED_VALUE"""),"nahuel.diaz@patagonian.com")</f>
        <v>nahuel.diaz@patagonian.com</v>
      </c>
      <c r="G659" s="4" t="str">
        <f>IFERROR(__xludf.DUMMYFUNCTION("""COMPUTED_VALUE"""),"Referent One on One")</f>
        <v>Referent One on One</v>
      </c>
      <c r="H659" s="4"/>
      <c r="I659" s="6" t="str">
        <f>IFERROR(__xludf.DUMMYFUNCTION("""COMPUTED_VALUE"""),"- Interviewee e-Mail: nahuel.diaz@patagonian.com
- Project Status Check: Justamente acaba de terminar algo interno de Micrososoft Power Apps y está regresando al proyecto de las aves (Conservancy ABC)
- Project Role | Feeling: 4
- Extra Work Hours | Amoun"&amp;"t: 0 (Ningúna)
- Collaborator | Seniority: 👍 No, es correcto
- Final notes: Aprendió sobre Microsoft Power Apps y está tranquilo regresando al proyecto de las Aves. No hay mayor novedad en su situación.
- Project Techs | Learning: 0
- Project Techs | Dif"&amp;"ficulty: 4
- Project Changes | Reasons: 🟰 No hubo cambios
- Project Changes | Personal Impact: 4
- Project Role | Value: 4
- Project role | Notes: Haciendo apps con low code (Microsoft Power Apps)")</f>
        <v>- Interviewee e-Mail: nahuel.diaz@patagonian.com
- Project Status Check: Justamente acaba de terminar algo interno de Micrososoft Power Apps y está regresando al proyecto de las aves (Conservancy ABC)
- Project Role | Feeling: 4
- Extra Work Hours | Amount: 0 (Ningúna)
- Collaborator | Seniority: 👍 No, es correcto
- Final notes: Aprendió sobre Microsoft Power Apps y está tranquilo regresando al proyecto de las Aves. No hay mayor novedad en su situación.
- Project Techs | Learning: 0
- Project Techs | Difficulty: 4
- Project Changes | Reasons: 🟰 No hubo cambios
- Project Changes | Personal Impact: 4
- Project Role | Value: 4
- Project role | Notes: Haciendo apps con low code (Microsoft Power Apps)</v>
      </c>
      <c r="J659" s="4" t="str">
        <f>IFERROR(__xludf.DUMMYFUNCTION("""COMPUTED_VALUE"""),"Tech Referent - OneOnOne")</f>
        <v>Tech Referent - OneOnOne</v>
      </c>
    </row>
    <row r="660">
      <c r="A660" s="4">
        <f>IFERROR(__xludf.DUMMYFUNCTION("""COMPUTED_VALUE"""),5.0)</f>
        <v>5</v>
      </c>
      <c r="B660" s="4" t="str">
        <f>IFERROR(__xludf.DUMMYFUNCTION("""COMPUTED_VALUE"""),"bruno.molina")</f>
        <v>bruno.molina</v>
      </c>
      <c r="C660" s="5">
        <f>IFERROR(__xludf.DUMMYFUNCTION("""COMPUTED_VALUE"""),45237.70413413194)</f>
        <v>45237.70413</v>
      </c>
      <c r="D660" s="5">
        <f>IFERROR(__xludf.DUMMYFUNCTION("""COMPUTED_VALUE"""),45236.0)</f>
        <v>45236</v>
      </c>
      <c r="E660" s="4" t="str">
        <f>IFERROR(__xludf.DUMMYFUNCTION("""COMPUTED_VALUE"""),"micaela.zorzetto@patagoniansys.com")</f>
        <v>micaela.zorzetto@patagoniansys.com</v>
      </c>
      <c r="F660" s="4" t="str">
        <f>IFERROR(__xludf.DUMMYFUNCTION("""COMPUTED_VALUE"""),"bruno.molina@patagoniansys.com")</f>
        <v>bruno.molina@patagoniansys.com</v>
      </c>
      <c r="G660" s="4" t="str">
        <f>IFERROR(__xludf.DUMMYFUNCTION("""COMPUTED_VALUE"""),"⏱ One on One")</f>
        <v>⏱ One on One</v>
      </c>
      <c r="H660" s="4" t="str">
        <f>IFERROR(__xludf.DUMMYFUNCTION("""COMPUTED_VALUE"""),"😐 Indiferente")</f>
        <v>😐 Indiferente</v>
      </c>
      <c r="I660" s="6" t="str">
        <f>IFERROR(__xludf.DUMMYFUNCTION("""COMPUTED_VALUE"""),"Bruno esta bien, no me comento nada como para hacer seguimiento o relevante. ")</f>
        <v>Bruno esta bien, no me comento nada como para hacer seguimiento o relevante. </v>
      </c>
      <c r="J660" s="4" t="str">
        <f>IFERROR(__xludf.DUMMYFUNCTION("""COMPUTED_VALUE"""),"PX|Referents|RRHH")</f>
        <v>PX|Referents|RRHH</v>
      </c>
    </row>
    <row r="661">
      <c r="A661" s="4">
        <f>IFERROR(__xludf.DUMMYFUNCTION("""COMPUTED_VALUE"""),88.0)</f>
        <v>88</v>
      </c>
      <c r="B661" s="4" t="str">
        <f>IFERROR(__xludf.DUMMYFUNCTION("""COMPUTED_VALUE"""),"andres.bolocco")</f>
        <v>andres.bolocco</v>
      </c>
      <c r="C661" s="5">
        <f>IFERROR(__xludf.DUMMYFUNCTION("""COMPUTED_VALUE"""),45267.658112604164)</f>
        <v>45267.65811</v>
      </c>
      <c r="D661" s="5">
        <f>IFERROR(__xludf.DUMMYFUNCTION("""COMPUTED_VALUE"""),45236.0)</f>
        <v>45236</v>
      </c>
      <c r="E661" s="4" t="str">
        <f>IFERROR(__xludf.DUMMYFUNCTION("""COMPUTED_VALUE"""),"micaela.zorzetto@patagoniansys.com")</f>
        <v>micaela.zorzetto@patagoniansys.com</v>
      </c>
      <c r="F661" s="4" t="str">
        <f>IFERROR(__xludf.DUMMYFUNCTION("""COMPUTED_VALUE"""),"andres.bolocco@patagoniansys.com")</f>
        <v>andres.bolocco@patagoniansys.com</v>
      </c>
      <c r="G661" s="4" t="str">
        <f>IFERROR(__xludf.DUMMYFUNCTION("""COMPUTED_VALUE"""),"⏱ One on One")</f>
        <v>⏱ One on One</v>
      </c>
      <c r="H661" s="4" t="str">
        <f>IFERROR(__xludf.DUMMYFUNCTION("""COMPUTED_VALUE"""),"🙂 Feliz")</f>
        <v>🙂 Feliz</v>
      </c>
      <c r="I661" s="6" t="str">
        <f>IFERROR(__xludf.DUMMYFUNCTION("""COMPUTED_VALUE"""),"
Esta con mucho trabajo en el proyecto, pero esta contento en la empresa. Tuvo que dejar de participar en los desk porque no le daba el tiempo,=.	")</f>
        <v>
Esta con mucho trabajo en el proyecto, pero esta contento en la empresa. Tuvo que dejar de participar en los desk porque no le daba el tiempo,=.	</v>
      </c>
      <c r="J661" s="4" t="str">
        <f>IFERROR(__xludf.DUMMYFUNCTION("""COMPUTED_VALUE"""),"PX|Referents|RRHH")</f>
        <v>PX|Referents|RRHH</v>
      </c>
    </row>
    <row r="662">
      <c r="A662" s="4">
        <f>IFERROR(__xludf.DUMMYFUNCTION("""COMPUTED_VALUE"""),193.0)</f>
        <v>193</v>
      </c>
      <c r="B662" s="4" t="str">
        <f>IFERROR(__xludf.DUMMYFUNCTION("""COMPUTED_VALUE"""),"joan.romero")</f>
        <v>joan.romero</v>
      </c>
      <c r="C662" s="5">
        <f>IFERROR(__xludf.DUMMYFUNCTION("""COMPUTED_VALUE"""),45237.49755105324)</f>
        <v>45237.49755</v>
      </c>
      <c r="D662" s="5">
        <f>IFERROR(__xludf.DUMMYFUNCTION("""COMPUTED_VALUE"""),45237.0)</f>
        <v>45237</v>
      </c>
      <c r="E662" s="4" t="str">
        <f>IFERROR(__xludf.DUMMYFUNCTION("""COMPUTED_VALUE"""),"martin.infante@patagoniansys.com")</f>
        <v>martin.infante@patagoniansys.com</v>
      </c>
      <c r="F662" s="4" t="str">
        <f>IFERROR(__xludf.DUMMYFUNCTION("""COMPUTED_VALUE"""),"joan.romero@patagoniansys.com")</f>
        <v>joan.romero@patagoniansys.com</v>
      </c>
      <c r="G662" s="4" t="str">
        <f>IFERROR(__xludf.DUMMYFUNCTION("""COMPUTED_VALUE"""),"Referent One on One")</f>
        <v>Referent One on One</v>
      </c>
      <c r="H662" s="4"/>
      <c r="I662" s="6" t="str">
        <f>IFERROR(__xludf.DUMMYFUNCTION("""COMPUTED_VALUE"""),"- Interviewee e-Mail: joan.romero@patagoniansys.com
- Project Role | Feeling: 5
- Extra Work Hours | Amount: 1 - 5 (Entre 1 y 5)
- Extra Work Hours | Reason: 🙋Decisión propia
- Techs | Recomendations: Spark aplicada a ML.
MLFlow para trackeo de experimen"&amp;"tos.
- Collaborator | Seniority: 👍 No, es correcto
- Project Techs | Learning: 8
- Project Techs | Difficulty: 3
- Project Changes | Reasons: 🟰 No hubo cambios
- Project Role | Value: 5
- Project role | Notes: Siente que le aporta mucho porque esta toca"&amp;"ndo las ultimas tecnologias y tendencias.")</f>
        <v>- Interviewee e-Mail: joan.romero@patagoniansys.com
- Project Role | Feeling: 5
- Extra Work Hours | Amount: 1 - 5 (Entre 1 y 5)
- Extra Work Hours | Reason: 🙋Decisión propia
- Techs | Recomendations: Spark aplicada a ML.
MLFlow para trackeo de experimentos.
- Collaborator | Seniority: 👍 No, es correcto
- Project Techs | Learning: 8
- Project Techs | Difficulty: 3
- Project Changes | Reasons: 🟰 No hubo cambios
- Project Role | Value: 5
- Project role | Notes: Siente que le aporta mucho porque esta tocando las ultimas tecnologias y tendencias.</v>
      </c>
      <c r="J662" s="4" t="str">
        <f>IFERROR(__xludf.DUMMYFUNCTION("""COMPUTED_VALUE"""),"Tech Referent - OneOnOne")</f>
        <v>Tech Referent - OneOnOne</v>
      </c>
    </row>
    <row r="663">
      <c r="A663" s="4">
        <f>IFERROR(__xludf.DUMMYFUNCTION("""COMPUTED_VALUE"""),336.0)</f>
        <v>336</v>
      </c>
      <c r="B663" s="4" t="str">
        <f>IFERROR(__xludf.DUMMYFUNCTION("""COMPUTED_VALUE"""),"juan.sanhueza")</f>
        <v>juan.sanhueza</v>
      </c>
      <c r="C663" s="5">
        <f>IFERROR(__xludf.DUMMYFUNCTION("""COMPUTED_VALUE"""),45244.48028592593)</f>
        <v>45244.48029</v>
      </c>
      <c r="D663" s="5">
        <f>IFERROR(__xludf.DUMMYFUNCTION("""COMPUTED_VALUE"""),45237.0)</f>
        <v>45237</v>
      </c>
      <c r="E663" s="4" t="str">
        <f>IFERROR(__xludf.DUMMYFUNCTION("""COMPUTED_VALUE"""),"marcela.benavides@patagoniansys.com")</f>
        <v>marcela.benavides@patagoniansys.com</v>
      </c>
      <c r="F663" s="4" t="str">
        <f>IFERROR(__xludf.DUMMYFUNCTION("""COMPUTED_VALUE"""),"juan.sanhueza@patagoniansys.com")</f>
        <v>juan.sanhueza@patagoniansys.com</v>
      </c>
      <c r="G663" s="4" t="str">
        <f>IFERROR(__xludf.DUMMYFUNCTION("""COMPUTED_VALUE"""),"⏱ One on One")</f>
        <v>⏱ One on One</v>
      </c>
      <c r="H663" s="4" t="str">
        <f>IFERROR(__xludf.DUMMYFUNCTION("""COMPUTED_VALUE"""),"🙂 Feliz")</f>
        <v>🙂 Feliz</v>
      </c>
      <c r="I663" s="6" t="str">
        <f>IFERROR(__xludf.DUMMYFUNCTION("""COMPUTED_VALUE"""),"Se compartió la evaluación de desempeño en la 1:1 donde se le menciono a Juan que en general viene cumpliendo con lo esperado por Patagonian e Intuitive. Se recomendó mayor engagement en las llamadas de equipo, poniendo la camára y compartiendo más de su "&amp;"conocimiento. ")</f>
        <v>Se compartió la evaluación de desempeño en la 1:1 donde se le menciono a Juan que en general viene cumpliendo con lo esperado por Patagonian e Intuitive. Se recomendó mayor engagement en las llamadas de equipo, poniendo la camára y compartiendo más de su conocimiento. </v>
      </c>
      <c r="J663" s="4" t="str">
        <f>IFERROR(__xludf.DUMMYFUNCTION("""COMPUTED_VALUE"""),"PX|Referents|RRHH")</f>
        <v>PX|Referents|RRHH</v>
      </c>
    </row>
    <row r="664">
      <c r="A664" s="4">
        <f>IFERROR(__xludf.DUMMYFUNCTION("""COMPUTED_VALUE"""),279.0)</f>
        <v>279</v>
      </c>
      <c r="B664" s="4" t="str">
        <f>IFERROR(__xludf.DUMMYFUNCTION("""COMPUTED_VALUE"""),"emerson.pereira")</f>
        <v>emerson.pereira</v>
      </c>
      <c r="C664" s="5">
        <f>IFERROR(__xludf.DUMMYFUNCTION("""COMPUTED_VALUE"""),45244.4891215625)</f>
        <v>45244.48912</v>
      </c>
      <c r="D664" s="5">
        <f>IFERROR(__xludf.DUMMYFUNCTION("""COMPUTED_VALUE"""),45237.0)</f>
        <v>45237</v>
      </c>
      <c r="E664" s="4" t="str">
        <f>IFERROR(__xludf.DUMMYFUNCTION("""COMPUTED_VALUE"""),"marcela.benavides@patagoniansys.com")</f>
        <v>marcela.benavides@patagoniansys.com</v>
      </c>
      <c r="F664" s="4" t="str">
        <f>IFERROR(__xludf.DUMMYFUNCTION("""COMPUTED_VALUE"""),"emerson.pereira@patagoniansys.com")</f>
        <v>emerson.pereira@patagoniansys.com</v>
      </c>
      <c r="G664" s="4" t="str">
        <f>IFERROR(__xludf.DUMMYFUNCTION("""COMPUTED_VALUE"""),"⏱ One on One")</f>
        <v>⏱ One on One</v>
      </c>
      <c r="H664" s="4" t="str">
        <f>IFERROR(__xludf.DUMMYFUNCTION("""COMPUTED_VALUE"""),"🙂 Feliz")</f>
        <v>🙂 Feliz</v>
      </c>
      <c r="I664" s="6" t="str">
        <f>IFERROR(__xludf.DUMMYFUNCTION("""COMPUTED_VALUE"""),"Se compartío los resultados de su evaluación de desempeño donde se sugirió tener mayor inciativa, participar más en las llamadas de equipo a lo que Emerson estuvo de acuerdo en que ve una oportunidad de mejora. ")</f>
        <v>Se compartío los resultados de su evaluación de desempeño donde se sugirió tener mayor inciativa, participar más en las llamadas de equipo a lo que Emerson estuvo de acuerdo en que ve una oportunidad de mejora. </v>
      </c>
      <c r="J664" s="4" t="str">
        <f>IFERROR(__xludf.DUMMYFUNCTION("""COMPUTED_VALUE"""),"PX|Referents|RRHH")</f>
        <v>PX|Referents|RRHH</v>
      </c>
    </row>
    <row r="665">
      <c r="A665" s="4">
        <f>IFERROR(__xludf.DUMMYFUNCTION("""COMPUTED_VALUE"""),174.0)</f>
        <v>174</v>
      </c>
      <c r="B665" s="4" t="str">
        <f>IFERROR(__xludf.DUMMYFUNCTION("""COMPUTED_VALUE"""),"federico.matos")</f>
        <v>federico.matos</v>
      </c>
      <c r="C665" s="5">
        <f>IFERROR(__xludf.DUMMYFUNCTION("""COMPUTED_VALUE"""),45232.70214238425)</f>
        <v>45232.70214</v>
      </c>
      <c r="D665" s="5">
        <f>IFERROR(__xludf.DUMMYFUNCTION("""COMPUTED_VALUE"""),45239.0)</f>
        <v>45239</v>
      </c>
      <c r="E665" s="4" t="str">
        <f>IFERROR(__xludf.DUMMYFUNCTION("""COMPUTED_VALUE"""),"micaela.zorzetto@patagoniansys.com")</f>
        <v>micaela.zorzetto@patagoniansys.com</v>
      </c>
      <c r="F665" s="4" t="str">
        <f>IFERROR(__xludf.DUMMYFUNCTION("""COMPUTED_VALUE"""),"federico.matos@patagoniansys.com")</f>
        <v>federico.matos@patagoniansys.com</v>
      </c>
      <c r="G665" s="4" t="str">
        <f>IFERROR(__xludf.DUMMYFUNCTION("""COMPUTED_VALUE"""),"⏱ One on One")</f>
        <v>⏱ One on One</v>
      </c>
      <c r="H665" s="4" t="str">
        <f>IFERROR(__xludf.DUMMYFUNCTION("""COMPUTED_VALUE"""),"🙂 Feliz")</f>
        <v>🙂 Feliz</v>
      </c>
      <c r="I665" s="6" t="str">
        <f>IFERROR(__xludf.DUMMYFUNCTION("""COMPUTED_VALUE"""),"Fede esta cómodo, esta realizando clases de inglés particulares para poder mejorar y tener mas opciones. 
En cuanto a la salida de Fede como PM, esta tranquilo, al principio le sorprendió pero luego entendio que son cosas que pueden suceder dentro de la e"&amp;"mpresa. ")</f>
        <v>Fede esta cómodo, esta realizando clases de inglés particulares para poder mejorar y tener mas opciones. 
En cuanto a la salida de Fede como PM, esta tranquilo, al principio le sorprendió pero luego entendio que son cosas que pueden suceder dentro de la empresa. </v>
      </c>
      <c r="J665" s="4" t="str">
        <f>IFERROR(__xludf.DUMMYFUNCTION("""COMPUTED_VALUE"""),"PX|Referents|RRHH")</f>
        <v>PX|Referents|RRHH</v>
      </c>
    </row>
    <row r="666">
      <c r="A666" s="4">
        <f>IFERROR(__xludf.DUMMYFUNCTION("""COMPUTED_VALUE"""),146.0)</f>
        <v>146</v>
      </c>
      <c r="B666" s="4" t="str">
        <f>IFERROR(__xludf.DUMMYFUNCTION("""COMPUTED_VALUE"""),"juan.martinezrios")</f>
        <v>juan.martinezrios</v>
      </c>
      <c r="C666" s="5">
        <f>IFERROR(__xludf.DUMMYFUNCTION("""COMPUTED_VALUE"""),45245.72860905092)</f>
        <v>45245.72861</v>
      </c>
      <c r="D666" s="5">
        <f>IFERROR(__xludf.DUMMYFUNCTION("""COMPUTED_VALUE"""),45239.0)</f>
        <v>45239</v>
      </c>
      <c r="E666" s="4" t="str">
        <f>IFERROR(__xludf.DUMMYFUNCTION("""COMPUTED_VALUE"""),"jmartinez@patagoniansys.com")</f>
        <v>jmartinez@patagoniansys.com</v>
      </c>
      <c r="F666" s="4" t="str">
        <f>IFERROR(__xludf.DUMMYFUNCTION("""COMPUTED_VALUE"""),"juan.martinezrios@patagonian.com")</f>
        <v>juan.martinezrios@patagonian.com</v>
      </c>
      <c r="G666" s="4" t="str">
        <f>IFERROR(__xludf.DUMMYFUNCTION("""COMPUTED_VALUE"""),"Referent One on One")</f>
        <v>Referent One on One</v>
      </c>
      <c r="H666" s="4"/>
      <c r="I666" s="6" t="str">
        <f>IFERROR(__xludf.DUMMYFUNCTION("""COMPUTED_VALUE"""),"- Interviewee e-Mail: juan.martinezrios@patagonian.com
- Project Status Check: Desde la ultima reunión Juan arrancó un proyecto nuevo para el BID
- Project Changes | Notes: El cambio de proyecto fue refrescante, le vino bien el cambio de aire y sigue trab"&amp;"ajando con tecnologías que disfruta.
- Project Role | Feeling: 4
- Extra Work Hours | Amount: 1 - 5 (Entre 1 y 5)
- Extra Work Hours | Reason: 🏁 Deadlines próximas e inamovibles
- Techs | Research: Ha comenzado a completar las misiones del track Mobile. "&amp;"Está un poco ocupado en el proyecto, pero tiene presente el seguirlo en cuanto esté libre.
- Collaborator | Seniority: 👍 No, es correcto
- Project Techs | Learning: 2
- Techs | Research: 4
- Project Techs | Difficulty: 2
- Project Changes | Reasons: Camb"&amp;"io de proyecto
- Project Changes | Personal Impact: 5
- Project Role | Value: 4
- Project role | Notes: Juan está contento con seguir trabajando en Angular, al mismo tiempo también hace code review para el backend porque tiene experiencia en la tecnología"&amp;" (Java).")</f>
        <v>- Interviewee e-Mail: juan.martinezrios@patagonian.com
- Project Status Check: Desde la ultima reunión Juan arrancó un proyecto nuevo para el BID
- Project Changes | Notes: El cambio de proyecto fue refrescante, le vino bien el cambio de aire y sigue trabajando con tecnologías que disfruta.
- Project Role | Feeling: 4
- Extra Work Hours | Amount: 1 - 5 (Entre 1 y 5)
- Extra Work Hours | Reason: 🏁 Deadlines próximas e inamovibles
- Techs | Research: Ha comenzado a completar las misiones del track Mobile. Está un poco ocupado en el proyecto, pero tiene presente el seguirlo en cuanto esté libre.
- Collaborator | Seniority: 👍 No, es correcto
- Project Techs | Learning: 2
- Techs | Research: 4
- Project Techs | Difficulty: 2
- Project Changes | Reasons: Cambio de proyecto
- Project Changes | Personal Impact: 5
- Project Role | Value: 4
- Project role | Notes: Juan está contento con seguir trabajando en Angular, al mismo tiempo también hace code review para el backend porque tiene experiencia en la tecnología (Java).</v>
      </c>
      <c r="J666" s="4" t="str">
        <f>IFERROR(__xludf.DUMMYFUNCTION("""COMPUTED_VALUE"""),"Tech Referent - OneOnOne")</f>
        <v>Tech Referent - OneOnOne</v>
      </c>
    </row>
    <row r="667">
      <c r="A667" s="4">
        <f>IFERROR(__xludf.DUMMYFUNCTION("""COMPUTED_VALUE"""),193.0)</f>
        <v>193</v>
      </c>
      <c r="B667" s="4" t="str">
        <f>IFERROR(__xludf.DUMMYFUNCTION("""COMPUTED_VALUE"""),"joan.romero")</f>
        <v>joan.romero</v>
      </c>
      <c r="C667" s="5">
        <f>IFERROR(__xludf.DUMMYFUNCTION("""COMPUTED_VALUE"""),45232.706425069446)</f>
        <v>45232.70643</v>
      </c>
      <c r="D667" s="5">
        <f>IFERROR(__xludf.DUMMYFUNCTION("""COMPUTED_VALUE"""),45240.0)</f>
        <v>45240</v>
      </c>
      <c r="E667" s="4" t="str">
        <f>IFERROR(__xludf.DUMMYFUNCTION("""COMPUTED_VALUE"""),"micaela.zorzetto@patagoniansys.com")</f>
        <v>micaela.zorzetto@patagoniansys.com</v>
      </c>
      <c r="F667" s="4" t="str">
        <f>IFERROR(__xludf.DUMMYFUNCTION("""COMPUTED_VALUE"""),"joan.romero@patagoniansys.com")</f>
        <v>joan.romero@patagoniansys.com</v>
      </c>
      <c r="G667" s="4" t="str">
        <f>IFERROR(__xludf.DUMMYFUNCTION("""COMPUTED_VALUE"""),"⏱ One on One")</f>
        <v>⏱ One on One</v>
      </c>
      <c r="H667" s="4" t="str">
        <f>IFERROR(__xludf.DUMMYFUNCTION("""COMPUTED_VALUE"""),"🙂 Feliz")</f>
        <v>🙂 Feliz</v>
      </c>
      <c r="I667" s="6" t="str">
        <f>IFERROR(__xludf.DUMMYFUNCTION("""COMPUTED_VALUE"""),"Esta trabajando con Coco y Brayan, esta muy contennto y entusiasmado con las tareas y proyectos que esta realizando con la IA. 
También realizo una capacitación para la gente del board sobre un programa que les sirve para realizar informes.")</f>
        <v>Esta trabajando con Coco y Brayan, esta muy contennto y entusiasmado con las tareas y proyectos que esta realizando con la IA. 
También realizo una capacitación para la gente del board sobre un programa que les sirve para realizar informes.</v>
      </c>
      <c r="J667" s="4" t="str">
        <f>IFERROR(__xludf.DUMMYFUNCTION("""COMPUTED_VALUE"""),"PX|Referents|RRHH")</f>
        <v>PX|Referents|RRHH</v>
      </c>
    </row>
    <row r="668">
      <c r="A668" s="4">
        <f>IFERROR(__xludf.DUMMYFUNCTION("""COMPUTED_VALUE"""),167.0)</f>
        <v>167</v>
      </c>
      <c r="B668" s="4" t="str">
        <f>IFERROR(__xludf.DUMMYFUNCTION("""COMPUTED_VALUE"""),"rodrigo.cibils")</f>
        <v>rodrigo.cibils</v>
      </c>
      <c r="C668" s="5">
        <f>IFERROR(__xludf.DUMMYFUNCTION("""COMPUTED_VALUE"""),45236.47372339121)</f>
        <v>45236.47372</v>
      </c>
      <c r="D668" s="5">
        <f>IFERROR(__xludf.DUMMYFUNCTION("""COMPUTED_VALUE"""),45240.0)</f>
        <v>45240</v>
      </c>
      <c r="E668" s="4" t="str">
        <f>IFERROR(__xludf.DUMMYFUNCTION("""COMPUTED_VALUE"""),"micaela.zorzetto@patagoniansys.com")</f>
        <v>micaela.zorzetto@patagoniansys.com</v>
      </c>
      <c r="F668" s="4" t="str">
        <f>IFERROR(__xludf.DUMMYFUNCTION("""COMPUTED_VALUE"""),"rodrigo.cibils@patagoniansys.com")</f>
        <v>rodrigo.cibils@patagoniansys.com</v>
      </c>
      <c r="G668" s="4" t="str">
        <f>IFERROR(__xludf.DUMMYFUNCTION("""COMPUTED_VALUE"""),"⏱ One on One")</f>
        <v>⏱ One on One</v>
      </c>
      <c r="H668" s="4" t="str">
        <f>IFERROR(__xludf.DUMMYFUNCTION("""COMPUTED_VALUE"""),"🙂 Feliz")</f>
        <v>🙂 Feliz</v>
      </c>
      <c r="I668" s="6" t="str">
        <f>IFERROR(__xludf.DUMMYFUNCTION("""COMPUTED_VALUE"""),"Rodri no me comento nada especifico o relevante. ")</f>
        <v>Rodri no me comento nada especifico o relevante. </v>
      </c>
      <c r="J668" s="4" t="str">
        <f>IFERROR(__xludf.DUMMYFUNCTION("""COMPUTED_VALUE"""),"PX|Referents|RRHH")</f>
        <v>PX|Referents|RRHH</v>
      </c>
    </row>
    <row r="669">
      <c r="A669" s="4">
        <f>IFERROR(__xludf.DUMMYFUNCTION("""COMPUTED_VALUE"""),245.0)</f>
        <v>245</v>
      </c>
      <c r="B669" s="4" t="str">
        <f>IFERROR(__xludf.DUMMYFUNCTION("""COMPUTED_VALUE"""),"juan.baez")</f>
        <v>juan.baez</v>
      </c>
      <c r="C669" s="5">
        <f>IFERROR(__xludf.DUMMYFUNCTION("""COMPUTED_VALUE"""),45240.50476805555)</f>
        <v>45240.50477</v>
      </c>
      <c r="D669" s="5">
        <f>IFERROR(__xludf.DUMMYFUNCTION("""COMPUTED_VALUE"""),45240.0)</f>
        <v>45240</v>
      </c>
      <c r="E669" s="4" t="str">
        <f>IFERROR(__xludf.DUMMYFUNCTION("""COMPUTED_VALUE"""),"jesica.petrauskas@patagoniansys.com")</f>
        <v>jesica.petrauskas@patagoniansys.com</v>
      </c>
      <c r="F669" s="4" t="str">
        <f>IFERROR(__xludf.DUMMYFUNCTION("""COMPUTED_VALUE"""),"juan.baez@patagoniansys.com")</f>
        <v>juan.baez@patagoniansys.com</v>
      </c>
      <c r="G669" s="4" t="str">
        <f>IFERROR(__xludf.DUMMYFUNCTION("""COMPUTED_VALUE"""),"⏱ One on One")</f>
        <v>⏱ One on One</v>
      </c>
      <c r="H669" s="4" t="str">
        <f>IFERROR(__xludf.DUMMYFUNCTION("""COMPUTED_VALUE"""),"🙂 Feliz")</f>
        <v>🙂 Feliz</v>
      </c>
      <c r="I669" s="6" t="str">
        <f>IFERROR(__xludf.DUMMYFUNCTION("""COMPUTED_VALUE"""),"Contento con el equipo y con el proyecto. Tiene intención de hacer una certificación de QA y sigue con las clases de inglés.")</f>
        <v>Contento con el equipo y con el proyecto. Tiene intención de hacer una certificación de QA y sigue con las clases de inglés.</v>
      </c>
      <c r="J669" s="4" t="str">
        <f>IFERROR(__xludf.DUMMYFUNCTION("""COMPUTED_VALUE"""),"PX|Referents|RRHH")</f>
        <v>PX|Referents|RRHH</v>
      </c>
    </row>
    <row r="670">
      <c r="A670" s="4">
        <f>IFERROR(__xludf.DUMMYFUNCTION("""COMPUTED_VALUE"""),346.0)</f>
        <v>346</v>
      </c>
      <c r="B670" s="4" t="str">
        <f>IFERROR(__xludf.DUMMYFUNCTION("""COMPUTED_VALUE"""),"daniel.almeida")</f>
        <v>daniel.almeida</v>
      </c>
      <c r="C670" s="5">
        <f>IFERROR(__xludf.DUMMYFUNCTION("""COMPUTED_VALUE"""),45244.48748700231)</f>
        <v>45244.48749</v>
      </c>
      <c r="D670" s="5">
        <f>IFERROR(__xludf.DUMMYFUNCTION("""COMPUTED_VALUE"""),45244.0)</f>
        <v>45244</v>
      </c>
      <c r="E670" s="4" t="str">
        <f>IFERROR(__xludf.DUMMYFUNCTION("""COMPUTED_VALUE"""),"marcela.benavides@patagoniansys.com")</f>
        <v>marcela.benavides@patagoniansys.com</v>
      </c>
      <c r="F670" s="4" t="str">
        <f>IFERROR(__xludf.DUMMYFUNCTION("""COMPUTED_VALUE"""),"daniel.almeida@patagoniansys.com")</f>
        <v>daniel.almeida@patagoniansys.com</v>
      </c>
      <c r="G670" s="4" t="str">
        <f>IFERROR(__xludf.DUMMYFUNCTION("""COMPUTED_VALUE"""),"⏱ One on One")</f>
        <v>⏱ One on One</v>
      </c>
      <c r="H670" s="4" t="str">
        <f>IFERROR(__xludf.DUMMYFUNCTION("""COMPUTED_VALUE"""),"🙂 Feliz")</f>
        <v>🙂 Feliz</v>
      </c>
      <c r="I670" s="6" t="str">
        <f>IFERROR(__xludf.DUMMYFUNCTION("""COMPUTED_VALUE"""),"Siente que viene mucho mejor en el proyecto, participando de más asignaciones. Le gustaría para el próximo año tomar alguna certificación o curso sobre Microsoft Cloud. ")</f>
        <v>Siente que viene mucho mejor en el proyecto, participando de más asignaciones. Le gustaría para el próximo año tomar alguna certificación o curso sobre Microsoft Cloud. </v>
      </c>
      <c r="J670" s="4" t="str">
        <f>IFERROR(__xludf.DUMMYFUNCTION("""COMPUTED_VALUE"""),"PX|Referents|RRHH")</f>
        <v>PX|Referents|RRHH</v>
      </c>
    </row>
    <row r="671">
      <c r="A671" s="4">
        <f>IFERROR(__xludf.DUMMYFUNCTION("""COMPUTED_VALUE"""),291.0)</f>
        <v>291</v>
      </c>
      <c r="B671" s="4" t="str">
        <f>IFERROR(__xludf.DUMMYFUNCTION("""COMPUTED_VALUE"""),"angel.gonzalez")</f>
        <v>angel.gonzalez</v>
      </c>
      <c r="C671" s="5">
        <f>IFERROR(__xludf.DUMMYFUNCTION("""COMPUTED_VALUE"""),45244.66611775463)</f>
        <v>45244.66612</v>
      </c>
      <c r="D671" s="5">
        <f>IFERROR(__xludf.DUMMYFUNCTION("""COMPUTED_VALUE"""),45244.0)</f>
        <v>45244</v>
      </c>
      <c r="E671" s="4" t="str">
        <f>IFERROR(__xludf.DUMMYFUNCTION("""COMPUTED_VALUE"""),"luciano.fuentes@patagoniansys.com")</f>
        <v>luciano.fuentes@patagoniansys.com</v>
      </c>
      <c r="F671" s="4" t="str">
        <f>IFERROR(__xludf.DUMMYFUNCTION("""COMPUTED_VALUE"""),"angel.gonzalez@patagonian.com")</f>
        <v>angel.gonzalez@patagonian.com</v>
      </c>
      <c r="G671" s="4" t="str">
        <f>IFERROR(__xludf.DUMMYFUNCTION("""COMPUTED_VALUE"""),"Referent One on One")</f>
        <v>Referent One on One</v>
      </c>
      <c r="H671" s="4"/>
      <c r="I671" s="6" t="str">
        <f>IFERROR(__xludf.DUMMYFUNCTION("""COMPUTED_VALUE"""),"- Interviewee e-Mail: angel.gonzalez@patagonian.com
- Project Status Check: Estuvo de vacaciones
- Project Role | Feeling: 5
- Extra Work Hours | Amount: 0 (Ningúna)
- Techs | Research: Esta estudiando flutter y le interesa bastante. También microservicio"&amp;"s y kubernetes.
Go va conociéndolo de a poco.
- Techs | Recomendations: https://blog.angular.io/meet-angulars-new-control-flow-a02c6eee7843
- Collaborator | Seniority: 👍 No, es correcto
- Final notes: Se lo ve motivado en el proyecto donde esta y content"&amp;"o por el equipo que tiene. También se lo ve interesado en seguir capacitándose en nuevas tecnologías.
- Project Techs | Learning: 2
- Techs | Research: 2
- Project Techs | Difficulty: 4
- Project Changes | Reasons: 🟰 No hubo cambios
- Project Role | Valu"&amp;"e: 5
- Project role | Notes: Se siente parte importante dentro del proyecto")</f>
        <v>- Interviewee e-Mail: angel.gonzalez@patagonian.com
- Project Status Check: Estuvo de vacaciones
- Project Role | Feeling: 5
- Extra Work Hours | Amount: 0 (Ningúna)
- Techs | Research: Esta estudiando flutter y le interesa bastante. También microservicios y kubernetes.
Go va conociéndolo de a poco.
- Techs | Recomendations: https://blog.angular.io/meet-angulars-new-control-flow-a02c6eee7843
- Collaborator | Seniority: 👍 No, es correcto
- Final notes: Se lo ve motivado en el proyecto donde esta y contento por el equipo que tiene. También se lo ve interesado en seguir capacitándose en nuevas tecnologías.
- Project Techs | Learning: 2
- Techs | Research: 2
- Project Techs | Difficulty: 4
- Project Changes | Reasons: 🟰 No hubo cambios
- Project Role | Value: 5
- Project role | Notes: Se siente parte importante dentro del proyecto</v>
      </c>
      <c r="J671" s="4" t="str">
        <f>IFERROR(__xludf.DUMMYFUNCTION("""COMPUTED_VALUE"""),"Tech Referent - OneOnOne")</f>
        <v>Tech Referent - OneOnOne</v>
      </c>
    </row>
    <row r="672">
      <c r="A672" s="4">
        <f>IFERROR(__xludf.DUMMYFUNCTION("""COMPUTED_VALUE"""),293.0)</f>
        <v>293</v>
      </c>
      <c r="B672" s="4" t="str">
        <f>IFERROR(__xludf.DUMMYFUNCTION("""COMPUTED_VALUE"""),"andres.caceres")</f>
        <v>andres.caceres</v>
      </c>
      <c r="C672" s="5">
        <f>IFERROR(__xludf.DUMMYFUNCTION("""COMPUTED_VALUE"""),45244.699339224535)</f>
        <v>45244.69934</v>
      </c>
      <c r="D672" s="5">
        <f>IFERROR(__xludf.DUMMYFUNCTION("""COMPUTED_VALUE"""),45244.0)</f>
        <v>45244</v>
      </c>
      <c r="E672" s="4" t="str">
        <f>IFERROR(__xludf.DUMMYFUNCTION("""COMPUTED_VALUE"""),"luciano.fuentes@patagoniansys.com")</f>
        <v>luciano.fuentes@patagoniansys.com</v>
      </c>
      <c r="F672" s="4" t="str">
        <f>IFERROR(__xludf.DUMMYFUNCTION("""COMPUTED_VALUE"""),"andres.caceres@patagonian.com")</f>
        <v>andres.caceres@patagonian.com</v>
      </c>
      <c r="G672" s="4" t="str">
        <f>IFERROR(__xludf.DUMMYFUNCTION("""COMPUTED_VALUE"""),"Referent One on One")</f>
        <v>Referent One on One</v>
      </c>
      <c r="H672" s="4"/>
      <c r="I672" s="6" t="str">
        <f>IFERROR(__xludf.DUMMYFUNCTION("""COMPUTED_VALUE"""),"- Interviewee e-Mail: andres.caceres@patagonian.com
- Project Status Check: Empezó a trabajar en un proyecto interno de la empresa
- Project Role | Feeling: 5
- Extra Work Hours | Amount: 0 (Ningúna)
- Techs | Research: Finalizo dos certificaciones de rea"&amp;"ct y typescript.
- Techs | Recomendations: https://blog.angular.io/meet-angulars-new-control-flow-a02c6eee7843
- Collaborator | Seniority: 👍 No, es correcto
- Final notes: Se lo ve bastante motivado con el nuevo proyecto que ingreso (PataSite) tambien es"&amp;"ta realizando tareas en su career path.
- Project Techs | Learning: 2
- Techs | Research: 4
- Project Techs | Difficulty: 3
- Project Changes | Reasons: Entro en un proyecto interno de la empresa
- Project Changes | Personal Impact: 5
- Project Role | Val"&amp;"ue: 5
- Project role | Notes: esta trabajando en tecnologías que conoce")</f>
        <v>- Interviewee e-Mail: andres.caceres@patagonian.com
- Project Status Check: Empezó a trabajar en un proyecto interno de la empresa
- Project Role | Feeling: 5
- Extra Work Hours | Amount: 0 (Ningúna)
- Techs | Research: Finalizo dos certificaciones de react y typescript.
- Techs | Recomendations: https://blog.angular.io/meet-angulars-new-control-flow-a02c6eee7843
- Collaborator | Seniority: 👍 No, es correcto
- Final notes: Se lo ve bastante motivado con el nuevo proyecto que ingreso (PataSite) tambien esta realizando tareas en su career path.
- Project Techs | Learning: 2
- Techs | Research: 4
- Project Techs | Difficulty: 3
- Project Changes | Reasons: Entro en un proyecto interno de la empresa
- Project Changes | Personal Impact: 5
- Project Role | Value: 5
- Project role | Notes: esta trabajando en tecnologías que conoce</v>
      </c>
      <c r="J672" s="4" t="str">
        <f>IFERROR(__xludf.DUMMYFUNCTION("""COMPUTED_VALUE"""),"Tech Referent - OneOnOne")</f>
        <v>Tech Referent - OneOnOne</v>
      </c>
    </row>
    <row r="673">
      <c r="A673" s="4">
        <f>IFERROR(__xludf.DUMMYFUNCTION("""COMPUTED_VALUE"""),203.0)</f>
        <v>203</v>
      </c>
      <c r="B673" s="4" t="str">
        <f>IFERROR(__xludf.DUMMYFUNCTION("""COMPUTED_VALUE"""),"duverney.hernandez")</f>
        <v>duverney.hernandez</v>
      </c>
      <c r="C673" s="5">
        <f>IFERROR(__xludf.DUMMYFUNCTION("""COMPUTED_VALUE"""),45251.809414606476)</f>
        <v>45251.80941</v>
      </c>
      <c r="D673" s="5">
        <f>IFERROR(__xludf.DUMMYFUNCTION("""COMPUTED_VALUE"""),45244.0)</f>
        <v>45244</v>
      </c>
      <c r="E673" s="4" t="str">
        <f>IFERROR(__xludf.DUMMYFUNCTION("""COMPUTED_VALUE"""),"edgar.bonilla@patagoniansys.com")</f>
        <v>edgar.bonilla@patagoniansys.com</v>
      </c>
      <c r="F673" s="4" t="str">
        <f>IFERROR(__xludf.DUMMYFUNCTION("""COMPUTED_VALUE"""),"duverney.hernandez@patagoniansys.com")</f>
        <v>duverney.hernandez@patagoniansys.com</v>
      </c>
      <c r="G673" s="4" t="str">
        <f>IFERROR(__xludf.DUMMYFUNCTION("""COMPUTED_VALUE"""),"Referent One on One")</f>
        <v>Referent One on One</v>
      </c>
      <c r="H673" s="4"/>
      <c r="I673" s="6" t="str">
        <f>IFERROR(__xludf.DUMMYFUNCTION("""COMPUTED_VALUE"""),"- Interviewee e-Mail: duverney.hernandez@patagoniansys.com
- Project Status Check: Eyethena
- 3 meses lleva en el proyecto.
- Sentía que la PM estaba medio inconforme con su avance. El TL también se muestra inconforme.
- Dice Duverney que él es más de en"&amp;"tender algo que está hecho y adecuarlo. No sabía Redux y tocó aprender. Entonces crear cosas desde cero le está tomando más trabajo. Diferente a como era la dinámica de trabajo en AlMundo.
- Quizás le ha faltado comunicar mejor su status en el proyecto y "&amp;"el trabajo que hace día a día.
- Ha ido poco a poco perdiendo la timidéz de levantar la mano cuando tiene un bloqueo, principalmente apoyándose con Rodrigo Cibils.
- Rodrigo Cibils está apoyando. Duver lo ve como un líder técnico, es quien más le ha dado "&amp;"ayudado. Rodrigo le revisa los PRs.
- Le dí todas las recomendaciones sobre la comunicación tanto escrita como verbal, comentarios en Jira y hacer más visible la trazabilidad de su trabajo.
- Elgió de Career Track Full-stack ya que le interesa complement"&amp;"ar sus conocimientos de desarrollo con habilidades en el back-end.
- Project Role | Feeling: 2
- Extra Work Hours | Amount: 0 (Ningúna)
- Techs | Research: Redux
- Techs | Recomendations: Revisar los materiales del career track de mobile
- Collaborator | "&amp;"Seniority: 👇 Si, es menor al establecido
- Alerts: Los miembros del equipo de Eyethena, incluídos el TL y la PM, han manifestado inconformidad con el desempeño de Duverney, teniendo en cuenta el tiempo que se demora en completar las tareas y la calidad d"&amp;"e su trabajo. Lo mismo con la falta de comunicación, aunque esto lo ha ido mejorando un poco. Manifiestan que su nivel de inglés no está acorde a lo que necesita el proyecto.
Por varias descripciones, tendería a pensar que quizás su seniority puede ser u"&amp;"n poco más bajo que el descrito en su posición. Pero no sé si se deba específicamente a la tecnología React Native o a su seniority como desarrollador en sí. No me atrevería a asegurar nada, pero viendo su desempeño y habilidades me guío a pensar eso, al "&amp;"menos si lo comparo con otros dev semisenior de la compañía. También es cierto que el anterior proyecto donde estuvo era de Staff Augmentation y al parecer las tareas que hacía eran relativamente sencillas. Estaría bueno revisar si hay algún feedback del "&amp;"cliente de ese entonces (AlMundo) que hable sobre su trabajo. O me pregunto que quizás debido la dinámica interna de AlMundo, no se sabía puntualmente cómo se desempeñaba Duverney. Hay un mundo de posibilidades.
Podría pensar que Duverney no es mal dev, "&amp;"sólo no es un fit adecuado para este proyecto, pero desde mi rol de referente técnico y no siendo parte del proyecto ni del anterior donde él estuvo, no tengo mucha información que me pueda dar certeza de cualquier hipótesis.
- Project Techs | Learning: 1"&amp;"6
- Techs | Research: 16
- Project Techs | Difficulty: 2
- Project Changes | Reasons: 🟰 No hubo cambios
- Project Role | Value: 4
- Project role | Notes: Ha sentido dificultad en poder ejecutar sus tareas y cumplir las expectativas")</f>
        <v>- Interviewee e-Mail: duverney.hernandez@patagoniansys.com
- Project Status Check: Eyethena
- 3 meses lleva en el proyecto.
- Sentía que la PM estaba medio inconforme con su avance. El TL también se muestra inconforme.
- Dice Duverney que él es más de entender algo que está hecho y adecuarlo. No sabía Redux y tocó aprender. Entonces crear cosas desde cero le está tomando más trabajo. Diferente a como era la dinámica de trabajo en AlMundo.
- Quizás le ha faltado comunicar mejor su status en el proyecto y el trabajo que hace día a día.
- Ha ido poco a poco perdiendo la timidéz de levantar la mano cuando tiene un bloqueo, principalmente apoyándose con Rodrigo Cibils.
- Rodrigo Cibils está apoyando. Duver lo ve como un líder técnico, es quien más le ha dado ayudado. Rodrigo le revisa los PRs.
- Le dí todas las recomendaciones sobre la comunicación tanto escrita como verbal, comentarios en Jira y hacer más visible la trazabilidad de su trabajo.
- Elgió de Career Track Full-stack ya que le interesa complementar sus conocimientos de desarrollo con habilidades en el back-end.
- Project Role | Feeling: 2
- Extra Work Hours | Amount: 0 (Ningúna)
- Techs | Research: Redux
- Techs | Recomendations: Revisar los materiales del career track de mobile
- Collaborator | Seniority: 👇 Si, es menor al establecido
- Alerts: Los miembros del equipo de Eyethena, incluídos el TL y la PM, han manifestado inconformidad con el desempeño de Duverney, teniendo en cuenta el tiempo que se demora en completar las tareas y la calidad de su trabajo. Lo mismo con la falta de comunicación, aunque esto lo ha ido mejorando un poco. Manifiestan que su nivel de inglés no está acorde a lo que necesita el proyecto.
Por varias descripciones, tendería a pensar que quizás su seniority puede ser un poco más bajo que el descrito en su posición. Pero no sé si se deba específicamente a la tecnología React Native o a su seniority como desarrollador en sí. No me atrevería a asegurar nada, pero viendo su desempeño y habilidades me guío a pensar eso, al menos si lo comparo con otros dev semisenior de la compañía. También es cierto que el anterior proyecto donde estuvo era de Staff Augmentation y al parecer las tareas que hacía eran relativamente sencillas. Estaría bueno revisar si hay algún feedback del cliente de ese entonces (AlMundo) que hable sobre su trabajo. O me pregunto que quizás debido la dinámica interna de AlMundo, no se sabía puntualmente cómo se desempeñaba Duverney. Hay un mundo de posibilidades.
Podría pensar que Duverney no es mal dev, sólo no es un fit adecuado para este proyecto, pero desde mi rol de referente técnico y no siendo parte del proyecto ni del anterior donde él estuvo, no tengo mucha información que me pueda dar certeza de cualquier hipótesis.
- Project Techs | Learning: 16
- Techs | Research: 16
- Project Techs | Difficulty: 2
- Project Changes | Reasons: 🟰 No hubo cambios
- Project Role | Value: 4
- Project role | Notes: Ha sentido dificultad en poder ejecutar sus tareas y cumplir las expectativas</v>
      </c>
      <c r="J673" s="4" t="str">
        <f>IFERROR(__xludf.DUMMYFUNCTION("""COMPUTED_VALUE"""),"Tech Referent - OneOnOne")</f>
        <v>Tech Referent - OneOnOne</v>
      </c>
    </row>
    <row r="674">
      <c r="A674" s="4">
        <f>IFERROR(__xludf.DUMMYFUNCTION("""COMPUTED_VALUE"""),11.0)</f>
        <v>11</v>
      </c>
      <c r="B674" s="4" t="str">
        <f>IFERROR(__xludf.DUMMYFUNCTION("""COMPUTED_VALUE"""),"ernesto.parada")</f>
        <v>ernesto.parada</v>
      </c>
      <c r="C674" s="5">
        <f>IFERROR(__xludf.DUMMYFUNCTION("""COMPUTED_VALUE"""),45251.824530775455)</f>
        <v>45251.82453</v>
      </c>
      <c r="D674" s="5">
        <f>IFERROR(__xludf.DUMMYFUNCTION("""COMPUTED_VALUE"""),45244.0)</f>
        <v>45244</v>
      </c>
      <c r="E674" s="4" t="str">
        <f>IFERROR(__xludf.DUMMYFUNCTION("""COMPUTED_VALUE"""),"edgar.bonilla@patagoniansys.com")</f>
        <v>edgar.bonilla@patagoniansys.com</v>
      </c>
      <c r="F674" s="4" t="str">
        <f>IFERROR(__xludf.DUMMYFUNCTION("""COMPUTED_VALUE"""),"ernesto.parada@patagoniansys.com")</f>
        <v>ernesto.parada@patagoniansys.com</v>
      </c>
      <c r="G674" s="4" t="str">
        <f>IFERROR(__xludf.DUMMYFUNCTION("""COMPUTED_VALUE"""),"Referent One on One")</f>
        <v>Referent One on One</v>
      </c>
      <c r="H674" s="4"/>
      <c r="I674" s="6" t="str">
        <f>IFERROR(__xludf.DUMMYFUNCTION("""COMPUTED_VALUE"""),"- Interviewee e-Mail: ernesto.parada@patagoniansys.com
- Project Status Check: Está con MBody y con Eyethena, en ambos como TL.
Viene bien con ambos, aunque está presentando algunos problemas o disconformidades con el avance de Eyethena, específicamente p"&amp;"or el desempeño de uno de los devs, Duverney. Le preocupa principalmente las entregas al cliente ya que no han podido mostrar lo que han querido en la app mobile.
Está en el career track de back-end, aunque no ha arrancado alguna misión.
- Project Role |"&amp;" Feeling: 3
- Extra Work Hours | Amount: 0 (Ningúna)
- Collaborator | Seniority: 👆 Si, es mayor al establecido
- Project Techs | Learning: 2
- Project Techs | Difficulty: 5
- Project Changes | Reasons: 🟰 No hubo cambios
- Project Role | Value: 4
- Proje"&amp;"ct role | Notes: Anteriormente había mencionado el deseo de cerrar su ciclo en MBody y probar cosas nuevas en temas de arquitectura y cloud. Pero dada la situación de la empresa y el mercado, está bien con seguir liderando ambos proyectos. En un futuro sí"&amp;" quisiera enfocarse en otras cosas.")</f>
        <v>- Interviewee e-Mail: ernesto.parada@patagoniansys.com
- Project Status Check: Está con MBody y con Eyethena, en ambos como TL.
Viene bien con ambos, aunque está presentando algunos problemas o disconformidades con el avance de Eyethena, específicamente por el desempeño de uno de los devs, Duverney. Le preocupa principalmente las entregas al cliente ya que no han podido mostrar lo que han querido en la app mobile.
Está en el career track de back-end, aunque no ha arrancado alguna misión.
- Project Role | Feeling: 3
- Extra Work Hours | Amount: 0 (Ningúna)
- Collaborator | Seniority: 👆 Si, es mayor al establecido
- Project Techs | Learning: 2
- Project Techs | Difficulty: 5
- Project Changes | Reasons: 🟰 No hubo cambios
- Project Role | Value: 4
- Project role | Notes: Anteriormente había mencionado el deseo de cerrar su ciclo en MBody y probar cosas nuevas en temas de arquitectura y cloud. Pero dada la situación de la empresa y el mercado, está bien con seguir liderando ambos proyectos. En un futuro sí quisiera enfocarse en otras cosas.</v>
      </c>
      <c r="J674" s="4" t="str">
        <f>IFERROR(__xludf.DUMMYFUNCTION("""COMPUTED_VALUE"""),"Tech Referent - OneOnOne")</f>
        <v>Tech Referent - OneOnOne</v>
      </c>
    </row>
    <row r="675">
      <c r="A675" s="4">
        <f>IFERROR(__xludf.DUMMYFUNCTION("""COMPUTED_VALUE"""),298.0)</f>
        <v>298</v>
      </c>
      <c r="B675" s="4" t="str">
        <f>IFERROR(__xludf.DUMMYFUNCTION("""COMPUTED_VALUE"""),"manuel.ortega")</f>
        <v>manuel.ortega</v>
      </c>
      <c r="C675" s="5">
        <f>IFERROR(__xludf.DUMMYFUNCTION("""COMPUTED_VALUE"""),45245.527436053235)</f>
        <v>45245.52744</v>
      </c>
      <c r="D675" s="5">
        <f>IFERROR(__xludf.DUMMYFUNCTION("""COMPUTED_VALUE"""),45245.0)</f>
        <v>45245</v>
      </c>
      <c r="E675" s="4" t="str">
        <f>IFERROR(__xludf.DUMMYFUNCTION("""COMPUTED_VALUE"""),"luciano.fuentes@patagoniansys.com")</f>
        <v>luciano.fuentes@patagoniansys.com</v>
      </c>
      <c r="F675" s="4" t="str">
        <f>IFERROR(__xludf.DUMMYFUNCTION("""COMPUTED_VALUE"""),"manuel.ortega@patagonian.com")</f>
        <v>manuel.ortega@patagonian.com</v>
      </c>
      <c r="G675" s="4" t="str">
        <f>IFERROR(__xludf.DUMMYFUNCTION("""COMPUTED_VALUE"""),"Referent One on One")</f>
        <v>Referent One on One</v>
      </c>
      <c r="H675" s="4"/>
      <c r="I675" s="6" t="str">
        <f>IFERROR(__xludf.DUMMYFUNCTION("""COMPUTED_VALUE"""),"- Interviewee e-Mail: manuel.ortega@patagonian.com
- Project Status Check: Esta trabajando proyecto de centriplay
- Project Role | Feeling: 5
- Extra Work Hours | Amount: 0 (Ningúna)
- Collaborator | Seniority: 👍 No, es correcto
- Final notes: Se lo noto"&amp;" contento en el proyecto que se encuentra. También avanzo bastante en su career path.
- Project Techs | Learning: 1
- Project Techs | Difficulty: 3
- Project Role | Value: 4
- Project role | Notes: Se siente bien porque sigue practicando React")</f>
        <v>- Interviewee e-Mail: manuel.ortega@patagonian.com
- Project Status Check: Esta trabajando proyecto de centriplay
- Project Role | Feeling: 5
- Extra Work Hours | Amount: 0 (Ningúna)
- Collaborator | Seniority: 👍 No, es correcto
- Final notes: Se lo noto contento en el proyecto que se encuentra. También avanzo bastante en su career path.
- Project Techs | Learning: 1
- Project Techs | Difficulty: 3
- Project Role | Value: 4
- Project role | Notes: Se siente bien porque sigue practicando React</v>
      </c>
      <c r="J675" s="4" t="str">
        <f>IFERROR(__xludf.DUMMYFUNCTION("""COMPUTED_VALUE"""),"Tech Referent - OneOnOne")</f>
        <v>Tech Referent - OneOnOne</v>
      </c>
    </row>
    <row r="676">
      <c r="A676" s="4">
        <f>IFERROR(__xludf.DUMMYFUNCTION("""COMPUTED_VALUE"""),230.0)</f>
        <v>230</v>
      </c>
      <c r="B676" s="4" t="str">
        <f>IFERROR(__xludf.DUMMYFUNCTION("""COMPUTED_VALUE"""),"jorge.contreras")</f>
        <v>jorge.contreras</v>
      </c>
      <c r="C676" s="5">
        <f>IFERROR(__xludf.DUMMYFUNCTION("""COMPUTED_VALUE"""),45247.51747806713)</f>
        <v>45247.51748</v>
      </c>
      <c r="D676" s="5">
        <f>IFERROR(__xludf.DUMMYFUNCTION("""COMPUTED_VALUE"""),45247.0)</f>
        <v>45247</v>
      </c>
      <c r="E676" s="4" t="str">
        <f>IFERROR(__xludf.DUMMYFUNCTION("""COMPUTED_VALUE"""),"brayan.barrios@patagoniansys.com")</f>
        <v>brayan.barrios@patagoniansys.com</v>
      </c>
      <c r="F676" s="4" t="str">
        <f>IFERROR(__xludf.DUMMYFUNCTION("""COMPUTED_VALUE"""),"jorge.contreras@patagonian.com")</f>
        <v>jorge.contreras@patagonian.com</v>
      </c>
      <c r="G676" s="4" t="str">
        <f>IFERROR(__xludf.DUMMYFUNCTION("""COMPUTED_VALUE"""),"Referent One on One")</f>
        <v>Referent One on One</v>
      </c>
      <c r="H676" s="4"/>
      <c r="I676" s="6" t="str">
        <f>IFERROR(__xludf.DUMMYFUNCTION("""COMPUTED_VALUE"""),"- Interviewee e-Mail: jorge.contreras@patagonian.com
- Project Status Check: Egg Live y Sales Support
- Project Role | Feeling: 4
- Extra Work Hours | Amount: 0 (Ningúna)
- Techs | Recomendations: Certificar en Azure
- Collaborator | Seniority: 👍 No, es "&amp;"correcto
- Project Techs | Learning: 0
- Project Techs | Difficulty: 3
- Project Changes | Reasons: 🟰 No hubo cambios
- Project Role | Value: 5
- Project role | Notes: La consultoría es algo dificil de hacer, si vamos a seguir haciendolo necesitamos capa"&amp;"citacion.")</f>
        <v>- Interviewee e-Mail: jorge.contreras@patagonian.com
- Project Status Check: Egg Live y Sales Support
- Project Role | Feeling: 4
- Extra Work Hours | Amount: 0 (Ningúna)
- Techs | Recomendations: Certificar en Azure
- Collaborator | Seniority: 👍 No, es correcto
- Project Techs | Learning: 0
- Project Techs | Difficulty: 3
- Project Changes | Reasons: 🟰 No hubo cambios
- Project Role | Value: 5
- Project role | Notes: La consultoría es algo dificil de hacer, si vamos a seguir haciendolo necesitamos capacitacion.</v>
      </c>
      <c r="J676" s="4" t="str">
        <f>IFERROR(__xludf.DUMMYFUNCTION("""COMPUTED_VALUE"""),"Tech Referent - OneOnOne")</f>
        <v>Tech Referent - OneOnOne</v>
      </c>
    </row>
    <row r="677">
      <c r="A677" s="4">
        <f>IFERROR(__xludf.DUMMYFUNCTION("""COMPUTED_VALUE"""),330.0)</f>
        <v>330</v>
      </c>
      <c r="B677" s="4" t="str">
        <f>IFERROR(__xludf.DUMMYFUNCTION("""COMPUTED_VALUE"""),"gabriel.ospina")</f>
        <v>gabriel.ospina</v>
      </c>
      <c r="C677" s="5">
        <f>IFERROR(__xludf.DUMMYFUNCTION("""COMPUTED_VALUE"""),45247.783139479165)</f>
        <v>45247.78314</v>
      </c>
      <c r="D677" s="5">
        <f>IFERROR(__xludf.DUMMYFUNCTION("""COMPUTED_VALUE"""),45247.0)</f>
        <v>45247</v>
      </c>
      <c r="E677" s="4" t="str">
        <f>IFERROR(__xludf.DUMMYFUNCTION("""COMPUTED_VALUE"""),"marcela.benavides@patagoniansys.com")</f>
        <v>marcela.benavides@patagoniansys.com</v>
      </c>
      <c r="F677" s="4" t="str">
        <f>IFERROR(__xludf.DUMMYFUNCTION("""COMPUTED_VALUE"""),"gabriel.ospina@patagoniansys.com")</f>
        <v>gabriel.ospina@patagoniansys.com</v>
      </c>
      <c r="G677" s="4" t="str">
        <f>IFERROR(__xludf.DUMMYFUNCTION("""COMPUTED_VALUE"""),"⏱ One on One")</f>
        <v>⏱ One on One</v>
      </c>
      <c r="H677" s="4" t="str">
        <f>IFERROR(__xludf.DUMMYFUNCTION("""COMPUTED_VALUE"""),"🙂 Feliz")</f>
        <v>🙂 Feliz</v>
      </c>
      <c r="I677" s="6" t="str">
        <f>IFERROR(__xludf.DUMMYFUNCTION("""COMPUTED_VALUE"""),"Revisamos la evaluación de desempeño en la cual se le compartío a Gabriel que habíamos notado para el momento de la evaluación oportunidad de mejora en el soft-skill de Autonomía, más q todo en la parte de asistencia a las llamadas de Pata y en la proacti"&amp;"vidad con el reporte de las horas trabajadas. En los últimos 20 días ha habido mejora de su parte en estos aspectos. ")</f>
        <v>Revisamos la evaluación de desempeño en la cual se le compartío a Gabriel que habíamos notado para el momento de la evaluación oportunidad de mejora en el soft-skill de Autonomía, más q todo en la parte de asistencia a las llamadas de Pata y en la proactividad con el reporte de las horas trabajadas. En los últimos 20 días ha habido mejora de su parte en estos aspectos. </v>
      </c>
      <c r="J677" s="4" t="str">
        <f>IFERROR(__xludf.DUMMYFUNCTION("""COMPUTED_VALUE"""),"PX|Referents|RRHH")</f>
        <v>PX|Referents|RRHH</v>
      </c>
    </row>
    <row r="678">
      <c r="A678" s="4">
        <f>IFERROR(__xludf.DUMMYFUNCTION("""COMPUTED_VALUE"""),224.0)</f>
        <v>224</v>
      </c>
      <c r="B678" s="4" t="str">
        <f>IFERROR(__xludf.DUMMYFUNCTION("""COMPUTED_VALUE"""),"luciano.fuentes")</f>
        <v>luciano.fuentes</v>
      </c>
      <c r="C678" s="5">
        <f>IFERROR(__xludf.DUMMYFUNCTION("""COMPUTED_VALUE"""),45236.47820798611)</f>
        <v>45236.47821</v>
      </c>
      <c r="D678" s="5">
        <f>IFERROR(__xludf.DUMMYFUNCTION("""COMPUTED_VALUE"""),45248.0)</f>
        <v>45248</v>
      </c>
      <c r="E678" s="4" t="str">
        <f>IFERROR(__xludf.DUMMYFUNCTION("""COMPUTED_VALUE"""),"micaela.zorzetto@patagoniansys.com")</f>
        <v>micaela.zorzetto@patagoniansys.com</v>
      </c>
      <c r="F678" s="4" t="str">
        <f>IFERROR(__xludf.DUMMYFUNCTION("""COMPUTED_VALUE"""),"luciano.fuentes@patagoniansys.com")</f>
        <v>luciano.fuentes@patagoniansys.com</v>
      </c>
      <c r="G678" s="4" t="str">
        <f>IFERROR(__xludf.DUMMYFUNCTION("""COMPUTED_VALUE"""),"⏱ One on One")</f>
        <v>⏱ One on One</v>
      </c>
      <c r="H678" s="4" t="str">
        <f>IFERROR(__xludf.DUMMYFUNCTION("""COMPUTED_VALUE"""),"🙂 Feliz")</f>
        <v>🙂 Feliz</v>
      </c>
      <c r="I678" s="6" t="str">
        <f>IFERROR(__xludf.DUMMYFUNCTION("""COMPUTED_VALUE"""),"Lucho esta muy bien en el proyecto y equipo, no me cometó nada que necesite seguimiento.")</f>
        <v>Lucho esta muy bien en el proyecto y equipo, no me cometó nada que necesite seguimiento.</v>
      </c>
      <c r="J678" s="4" t="str">
        <f>IFERROR(__xludf.DUMMYFUNCTION("""COMPUTED_VALUE"""),"PX|Referents|RRHH")</f>
        <v>PX|Referents|RRHH</v>
      </c>
    </row>
    <row r="679">
      <c r="A679" s="4">
        <f>IFERROR(__xludf.DUMMYFUNCTION("""COMPUTED_VALUE"""),280.0)</f>
        <v>280</v>
      </c>
      <c r="B679" s="4" t="str">
        <f>IFERROR(__xludf.DUMMYFUNCTION("""COMPUTED_VALUE"""),"jose.flores")</f>
        <v>jose.flores</v>
      </c>
      <c r="C679" s="5">
        <f>IFERROR(__xludf.DUMMYFUNCTION("""COMPUTED_VALUE"""),45251.50194991899)</f>
        <v>45251.50195</v>
      </c>
      <c r="D679" s="5">
        <f>IFERROR(__xludf.DUMMYFUNCTION("""COMPUTED_VALUE"""),45251.0)</f>
        <v>45251</v>
      </c>
      <c r="E679" s="4" t="str">
        <f>IFERROR(__xludf.DUMMYFUNCTION("""COMPUTED_VALUE"""),"luciano.fuentes@patagoniansys.com")</f>
        <v>luciano.fuentes@patagoniansys.com</v>
      </c>
      <c r="F679" s="4" t="str">
        <f>IFERROR(__xludf.DUMMYFUNCTION("""COMPUTED_VALUE"""),"jose.flores@patagonian.com")</f>
        <v>jose.flores@patagonian.com</v>
      </c>
      <c r="G679" s="4" t="str">
        <f>IFERROR(__xludf.DUMMYFUNCTION("""COMPUTED_VALUE"""),"Referent One on One")</f>
        <v>Referent One on One</v>
      </c>
      <c r="H679" s="4"/>
      <c r="I679" s="6" t="str">
        <f>IFERROR(__xludf.DUMMYFUNCTION("""COMPUTED_VALUE"""),"- Interviewee e-Mail: jose.flores@patagonian.com
- Project Role | Feeling: 5
- Extra Work Hours | Amount: 0 (Ningúna)
- Techs | Research: Estuvo investigando sobre la nueva actualización de Angular en su versión 17.
- Techs | Recomendations: https://blog"&amp;".angular.io/meet-angulars-new-control-flow-a02c6eee7843
- Collaborator | Seniority: 👍 No, es correcto
- Final notes: Se siente muy conforme con el proyecto y motivado. 
- Project Techs | Learning: 2
- Project Techs | Difficulty: 5
- Project Changes | Rea"&amp;"sons: 🟰 No hubo cambios
- Project Role | Value: 5
- Project role | Notes: Se siente entusiasmado y cree que le agrega valor como profesional. Se siente cómodo siendo full stack")</f>
        <v>- Interviewee e-Mail: jose.flores@patagonian.com
- Project Role | Feeling: 5
- Extra Work Hours | Amount: 0 (Ningúna)
- Techs | Research: Estuvo investigando sobre la nueva actualización de Angular en su versión 17.
- Techs | Recomendations: https://blog.angular.io/meet-angulars-new-control-flow-a02c6eee7843
- Collaborator | Seniority: 👍 No, es correcto
- Final notes: Se siente muy conforme con el proyecto y motivado. 
- Project Techs | Learning: 2
- Project Techs | Difficulty: 5
- Project Changes | Reasons: 🟰 No hubo cambios
- Project Role | Value: 5
- Project role | Notes: Se siente entusiasmado y cree que le agrega valor como profesional. Se siente cómodo siendo full stack</v>
      </c>
      <c r="J679" s="4" t="str">
        <f>IFERROR(__xludf.DUMMYFUNCTION("""COMPUTED_VALUE"""),"Tech Referent - OneOnOne")</f>
        <v>Tech Referent - OneOnOne</v>
      </c>
    </row>
    <row r="680">
      <c r="A680" s="4">
        <f>IFERROR(__xludf.DUMMYFUNCTION("""COMPUTED_VALUE"""),131.0)</f>
        <v>131</v>
      </c>
      <c r="B680" s="4" t="str">
        <f>IFERROR(__xludf.DUMMYFUNCTION("""COMPUTED_VALUE"""),"luis.luna")</f>
        <v>luis.luna</v>
      </c>
      <c r="C680" s="5">
        <f>IFERROR(__xludf.DUMMYFUNCTION("""COMPUTED_VALUE"""),45253.61122195602)</f>
        <v>45253.61122</v>
      </c>
      <c r="D680" s="5">
        <f>IFERROR(__xludf.DUMMYFUNCTION("""COMPUTED_VALUE"""),45251.0)</f>
        <v>45251</v>
      </c>
      <c r="E680" s="4" t="str">
        <f>IFERROR(__xludf.DUMMYFUNCTION("""COMPUTED_VALUE"""),"marcela.benavides@patagoniansys.com")</f>
        <v>marcela.benavides@patagoniansys.com</v>
      </c>
      <c r="F680" s="4" t="str">
        <f>IFERROR(__xludf.DUMMYFUNCTION("""COMPUTED_VALUE"""),"luis.luna@patagoniansys.com")</f>
        <v>luis.luna@patagoniansys.com</v>
      </c>
      <c r="G680" s="4" t="str">
        <f>IFERROR(__xludf.DUMMYFUNCTION("""COMPUTED_VALUE"""),"⏱ One on One")</f>
        <v>⏱ One on One</v>
      </c>
      <c r="H680" s="4" t="str">
        <f>IFERROR(__xludf.DUMMYFUNCTION("""COMPUTED_VALUE"""),"🙂 Feliz")</f>
        <v>🙂 Feliz</v>
      </c>
      <c r="I680" s="6" t="str">
        <f>IFERROR(__xludf.DUMMYFUNCTION("""COMPUTED_VALUE"""),"Realizamos la devolución de la evaluación de desempeño donde se le recomendó mayor sentido de urgencia al realizar certificaciones o cursos ya que la última que pidío tomo bastante en finalizarse. En cuánto al feedback Luis comentó que sentía debía ser re"&amp;"conocido más en cuánto a flexibilidad ya que se ha adaptado a diferentes proyectos dentro de Forge. Comentó que se siente en el mismo punto a nivel profesional, la idea es seguir revisando esto para impulsarlo. ")</f>
        <v>Realizamos la devolución de la evaluación de desempeño donde se le recomendó mayor sentido de urgencia al realizar certificaciones o cursos ya que la última que pidío tomo bastante en finalizarse. En cuánto al feedback Luis comentó que sentía debía ser reconocido más en cuánto a flexibilidad ya que se ha adaptado a diferentes proyectos dentro de Forge. Comentó que se siente en el mismo punto a nivel profesional, la idea es seguir revisando esto para impulsarlo. </v>
      </c>
      <c r="J680" s="4" t="str">
        <f>IFERROR(__xludf.DUMMYFUNCTION("""COMPUTED_VALUE"""),"PX|Referents|RRHH")</f>
        <v>PX|Referents|RRHH</v>
      </c>
    </row>
    <row r="681">
      <c r="A681" s="4">
        <f>IFERROR(__xludf.DUMMYFUNCTION("""COMPUTED_VALUE"""),227.0)</f>
        <v>227</v>
      </c>
      <c r="B681" s="4" t="str">
        <f>IFERROR(__xludf.DUMMYFUNCTION("""COMPUTED_VALUE"""),"martin.infante")</f>
        <v>martin.infante</v>
      </c>
      <c r="C681" s="5">
        <f>IFERROR(__xludf.DUMMYFUNCTION("""COMPUTED_VALUE"""),45253.613601365745)</f>
        <v>45253.6136</v>
      </c>
      <c r="D681" s="5">
        <f>IFERROR(__xludf.DUMMYFUNCTION("""COMPUTED_VALUE"""),45252.0)</f>
        <v>45252</v>
      </c>
      <c r="E681" s="4" t="str">
        <f>IFERROR(__xludf.DUMMYFUNCTION("""COMPUTED_VALUE"""),"marcela.benavides@patagoniansys.com")</f>
        <v>marcela.benavides@patagoniansys.com</v>
      </c>
      <c r="F681" s="4" t="str">
        <f>IFERROR(__xludf.DUMMYFUNCTION("""COMPUTED_VALUE"""),"martin.infante@patagoniansys.com")</f>
        <v>martin.infante@patagoniansys.com</v>
      </c>
      <c r="G681" s="4" t="str">
        <f>IFERROR(__xludf.DUMMYFUNCTION("""COMPUTED_VALUE"""),"⏱ One on One")</f>
        <v>⏱ One on One</v>
      </c>
      <c r="H681" s="4" t="str">
        <f>IFERROR(__xludf.DUMMYFUNCTION("""COMPUTED_VALUE"""),"🙁 Poco Feliz")</f>
        <v>🙁 Poco Feliz</v>
      </c>
      <c r="I681" s="6" t="str">
        <f>IFERROR(__xludf.DUMMYFUNCTION("""COMPUTED_VALUE"""),"Se realizó la devolución de feedback, donde manifestó estar de acuerdo con la calificación. Expresó el interés de ser considerado para otros proyectos en Patagonian a parte de Forge ya que siente que el tech stack y proyecto no le esta aportando mucho más"&amp;". 
Tech de interés: 
Data: Airflow, Databricks, Snowflake, DBT
Infra: DevOps AWS (pero le falta experiencia formal con Kubernetes como para tomar un rol mas de ""lead"" en algo como eso). ")</f>
        <v>Se realizó la devolución de feedback, donde manifestó estar de acuerdo con la calificación. Expresó el interés de ser considerado para otros proyectos en Patagonian a parte de Forge ya que siente que el tech stack y proyecto no le esta aportando mucho más. 
Tech de interés: 
Data: Airflow, Databricks, Snowflake, DBT
Infra: DevOps AWS (pero le falta experiencia formal con Kubernetes como para tomar un rol mas de "lead" en algo como eso). </v>
      </c>
      <c r="J681" s="4" t="str">
        <f>IFERROR(__xludf.DUMMYFUNCTION("""COMPUTED_VALUE"""),"PX|Referents|RRHH")</f>
        <v>PX|Referents|RRHH</v>
      </c>
    </row>
    <row r="682">
      <c r="A682" s="4">
        <f>IFERROR(__xludf.DUMMYFUNCTION("""COMPUTED_VALUE"""),234.0)</f>
        <v>234</v>
      </c>
      <c r="B682" s="4" t="str">
        <f>IFERROR(__xludf.DUMMYFUNCTION("""COMPUTED_VALUE"""),"matias.gudar")</f>
        <v>matias.gudar</v>
      </c>
      <c r="C682" s="5">
        <f>IFERROR(__xludf.DUMMYFUNCTION("""COMPUTED_VALUE"""),45253.62663969907)</f>
        <v>45253.62664</v>
      </c>
      <c r="D682" s="5">
        <f>IFERROR(__xludf.DUMMYFUNCTION("""COMPUTED_VALUE"""),45253.0)</f>
        <v>45253</v>
      </c>
      <c r="E682" s="4" t="str">
        <f>IFERROR(__xludf.DUMMYFUNCTION("""COMPUTED_VALUE"""),"marcela.benavides@patagoniansys.com")</f>
        <v>marcela.benavides@patagoniansys.com</v>
      </c>
      <c r="F682" s="4" t="str">
        <f>IFERROR(__xludf.DUMMYFUNCTION("""COMPUTED_VALUE"""),"matias.gudar@patagoniansys.com")</f>
        <v>matias.gudar@patagoniansys.com</v>
      </c>
      <c r="G682" s="4" t="str">
        <f>IFERROR(__xludf.DUMMYFUNCTION("""COMPUTED_VALUE"""),"⏱ One on One")</f>
        <v>⏱ One on One</v>
      </c>
      <c r="H682" s="4" t="str">
        <f>IFERROR(__xludf.DUMMYFUNCTION("""COMPUTED_VALUE"""),"😐 Indiferente")</f>
        <v>😐 Indiferente</v>
      </c>
      <c r="I682" s="6" t="str">
        <f>IFERROR(__xludf.DUMMYFUNCTION("""COMPUTED_VALUE"""),"En la 1:1 de Nov realizamos la devolución de la evaluación de desempeño de sus últimos 6 meses en Forge, comento estar apoyando mientras esta en bench el proyecto de Halli con algunas cosas de Data. ")</f>
        <v>En la 1:1 de Nov realizamos la devolución de la evaluación de desempeño de sus últimos 6 meses en Forge, comento estar apoyando mientras esta en bench el proyecto de Halli con algunas cosas de Data. </v>
      </c>
      <c r="J682" s="4" t="str">
        <f>IFERROR(__xludf.DUMMYFUNCTION("""COMPUTED_VALUE"""),"PX|Referents|RRHH")</f>
        <v>PX|Referents|RRHH</v>
      </c>
    </row>
    <row r="683">
      <c r="A683" s="4">
        <f>IFERROR(__xludf.DUMMYFUNCTION("""COMPUTED_VALUE"""),201.0)</f>
        <v>201</v>
      </c>
      <c r="B683" s="4" t="str">
        <f>IFERROR(__xludf.DUMMYFUNCTION("""COMPUTED_VALUE"""),"daniel.cardenas")</f>
        <v>daniel.cardenas</v>
      </c>
      <c r="C683" s="5">
        <f>IFERROR(__xludf.DUMMYFUNCTION("""COMPUTED_VALUE"""),45253.70336321759)</f>
        <v>45253.70336</v>
      </c>
      <c r="D683" s="5">
        <f>IFERROR(__xludf.DUMMYFUNCTION("""COMPUTED_VALUE"""),45253.0)</f>
        <v>45253</v>
      </c>
      <c r="E683" s="4" t="str">
        <f>IFERROR(__xludf.DUMMYFUNCTION("""COMPUTED_VALUE"""),"edgar.bonilla@patagoniansys.com")</f>
        <v>edgar.bonilla@patagoniansys.com</v>
      </c>
      <c r="F683" s="4" t="str">
        <f>IFERROR(__xludf.DUMMYFUNCTION("""COMPUTED_VALUE"""),"daniel.cardenas@patagoniansys.com")</f>
        <v>daniel.cardenas@patagoniansys.com</v>
      </c>
      <c r="G683" s="4" t="str">
        <f>IFERROR(__xludf.DUMMYFUNCTION("""COMPUTED_VALUE"""),"Referent One on One")</f>
        <v>Referent One on One</v>
      </c>
      <c r="H683" s="4"/>
      <c r="I683" s="6" t="str">
        <f>IFERROR(__xludf.DUMMYFUNCTION("""COMPUTED_VALUE"""),"- Interviewee e-Mail: daniel.cardenas@patagoniansys.com
- Project Status Check: - Está en la app mobile BTA, de Connect Americas
- La app está hace un montón de años y tiene muchas cosas deprecadas. Hay que actualizarla y el trabajo es un montón. Está con"&amp;" React Native
- Está solo como dev mobile, y casi que sólo ""en general""
- Sentimiento neutral, no sabe si lo que está haciendo le añade valor como dev
- Han habido problemas en la estimación porque hay muchas sorpresas por el montón de librerías y depen"&amp;"dencias deprecadas, etc. Algo pequeño se convierte en algo grande
- En las primeras ocasiones, no participó en las estimaciones.
- Siente que hay poca colaboración dentro del proyecto
- Hace falta buen management del proyecto, se ponen a estimar sobre alg"&amp;"o que no conocen, sin tener siquiera la opinión de una persona técnica, hasta incluso han llegado a un punto de decir ""creen sus tickets y se los asignan"" a los devs
- Le toca a Daniel hacer un montón de cosas que no son su responsabilidad, hablar con g"&amp;"ente, hacer los tickets. Básicamente él dice qué hacer a la gente. No tiene problema en hacerlo, pero cree que la mala organización del proyecto provoca eso. Pero es proactivo y lo hace.
- El sentimiento del día a día no es tan bueno
- Siente que no le pr"&amp;"estan atención ya que ha tenido que decir y repetir un montón de veces que ha hecho al PM (Juan Se)
- Galo el QA hace bien su trabajo
- Juanse le dice a Galo que revise x cosa, pero eso no está listo y genera confusión
- No hay buena comunicación ni compr"&amp;"omiso en general, ni se tiene claro el estado actual de la app
- Dice que le han pedido estimaciones y la respuesta es ""uh eso no se puede demorar tanto, tiene que salir antes"", y el dice ""no hay forma de que salga antes, es técnicamente imposible"" pe"&amp;"ro igual ponen el plazo más corto y luego se terminan demoran más o menos lo que había dicho inicialmente Daniel.
- Project Role | Feeling: 3
- Extra Work Hours | Amount: 0 (Ningúna)
- Collaborator | Seniority: 👍 No, es correcto
- Project Needs / Oportun"&amp;"ities: Mejor organización y planeación de los tiempos
- Project Techs | Learning: 2
- Project Techs | Difficulty: 4
- Project Changes | Reasons: 🟰 No hubo cambios
- Project Role | Value: 3
- Project role | Notes: Dada la desorganización en el proyecto, s"&amp;"e vuelve un entorno en el que no es tan ameno trabajar")</f>
        <v>- Interviewee e-Mail: daniel.cardenas@patagoniansys.com
- Project Status Check: - Está en la app mobile BTA, de Connect Americas
- La app está hace un montón de años y tiene muchas cosas deprecadas. Hay que actualizarla y el trabajo es un montón. Está con React Native
- Está solo como dev mobile, y casi que sólo "en general"
- Sentimiento neutral, no sabe si lo que está haciendo le añade valor como dev
- Han habido problemas en la estimación porque hay muchas sorpresas por el montón de librerías y dependencias deprecadas, etc. Algo pequeño se convierte en algo grande
- En las primeras ocasiones, no participó en las estimaciones.
- Siente que hay poca colaboración dentro del proyecto
- Hace falta buen management del proyecto, se ponen a estimar sobre algo que no conocen, sin tener siquiera la opinión de una persona técnica, hasta incluso han llegado a un punto de decir "creen sus tickets y se los asignan" a los devs
- Le toca a Daniel hacer un montón de cosas que no son su responsabilidad, hablar con gente, hacer los tickets. Básicamente él dice qué hacer a la gente. No tiene problema en hacerlo, pero cree que la mala organización del proyecto provoca eso. Pero es proactivo y lo hace.
- El sentimiento del día a día no es tan bueno
- Siente que no le prestan atención ya que ha tenido que decir y repetir un montón de veces que ha hecho al PM (Juan Se)
- Galo el QA hace bien su trabajo
- Juanse le dice a Galo que revise x cosa, pero eso no está listo y genera confusión
- No hay buena comunicación ni compromiso en general, ni se tiene claro el estado actual de la app
- Dice que le han pedido estimaciones y la respuesta es "uh eso no se puede demorar tanto, tiene que salir antes", y el dice "no hay forma de que salga antes, es técnicamente imposible" pero igual ponen el plazo más corto y luego se terminan demoran más o menos lo que había dicho inicialmente Daniel.
- Project Role | Feeling: 3
- Extra Work Hours | Amount: 0 (Ningúna)
- Collaborator | Seniority: 👍 No, es correcto
- Project Needs / Oportunities: Mejor organización y planeación de los tiempos
- Project Techs | Learning: 2
- Project Techs | Difficulty: 4
- Project Changes | Reasons: 🟰 No hubo cambios
- Project Role | Value: 3
- Project role | Notes: Dada la desorganización en el proyecto, se vuelve un entorno en el que no es tan ameno trabajar</v>
      </c>
      <c r="J683" s="4" t="str">
        <f>IFERROR(__xludf.DUMMYFUNCTION("""COMPUTED_VALUE"""),"Tech Referent - OneOnOne")</f>
        <v>Tech Referent - OneOnOne</v>
      </c>
    </row>
    <row r="684">
      <c r="A684" s="4">
        <f>IFERROR(__xludf.DUMMYFUNCTION("""COMPUTED_VALUE"""),204.0)</f>
        <v>204</v>
      </c>
      <c r="B684" s="4" t="str">
        <f>IFERROR(__xludf.DUMMYFUNCTION("""COMPUTED_VALUE"""),"luisa.fernandez")</f>
        <v>luisa.fernandez</v>
      </c>
      <c r="C684" s="5">
        <f>IFERROR(__xludf.DUMMYFUNCTION("""COMPUTED_VALUE"""),45254.46913140046)</f>
        <v>45254.46913</v>
      </c>
      <c r="D684" s="5">
        <f>IFERROR(__xludf.DUMMYFUNCTION("""COMPUTED_VALUE"""),45254.0)</f>
        <v>45254</v>
      </c>
      <c r="E684" s="4" t="str">
        <f>IFERROR(__xludf.DUMMYFUNCTION("""COMPUTED_VALUE"""),"martin.infante@patagoniansys.com")</f>
        <v>martin.infante@patagoniansys.com</v>
      </c>
      <c r="F684" s="4" t="str">
        <f>IFERROR(__xludf.DUMMYFUNCTION("""COMPUTED_VALUE"""),"luisa.fernandez@patagoniansys.com")</f>
        <v>luisa.fernandez@patagoniansys.com</v>
      </c>
      <c r="G684" s="4" t="str">
        <f>IFERROR(__xludf.DUMMYFUNCTION("""COMPUTED_VALUE"""),"Referent One on One")</f>
        <v>Referent One on One</v>
      </c>
      <c r="H684" s="4"/>
      <c r="I684" s="6" t="str">
        <f>IFERROR(__xludf.DUMMYFUNCTION("""COMPUTED_VALUE"""),"- Interviewee e-Mail: luisa.fernandez@patagoniansys.com
- Project Status Check: Esta trabajando en digital acceleration y el proyecto de IA relacionado al proyecto interno datos.
- Project Role | Feeling: 3
- Extra Work Hours | Amount: 0 (Ningúna)
- Techs"&amp;" | Recomendations: MLFlow
- Collaborator | Seniority: 👍 No, es correcto
- Final notes: Seria interesante tratar de darle un roadmap o un poco mas de claridad a Lu en cuanto a sus asignaciones.
- Project Techs | Learning: 0
- Project Techs | Difficulty: 3"&amp;"
- Project Changes | Reasons: Cambio completamente de foco
- Project Changes | Personal Impact: 3
- Project Role | Value: 3
- Project role | Notes: Muchas cosas en las que trabaja en desarollo interno nunca ven la luz. Eso es desmotivante.")</f>
        <v>- Interviewee e-Mail: luisa.fernandez@patagoniansys.com
- Project Status Check: Esta trabajando en digital acceleration y el proyecto de IA relacionado al proyecto interno datos.
- Project Role | Feeling: 3
- Extra Work Hours | Amount: 0 (Ningúna)
- Techs | Recomendations: MLFlow
- Collaborator | Seniority: 👍 No, es correcto
- Final notes: Seria interesante tratar de darle un roadmap o un poco mas de claridad a Lu en cuanto a sus asignaciones.
- Project Techs | Learning: 0
- Project Techs | Difficulty: 3
- Project Changes | Reasons: Cambio completamente de foco
- Project Changes | Personal Impact: 3
- Project Role | Value: 3
- Project role | Notes: Muchas cosas en las que trabaja en desarollo interno nunca ven la luz. Eso es desmotivante.</v>
      </c>
      <c r="J684" s="4" t="str">
        <f>IFERROR(__xludf.DUMMYFUNCTION("""COMPUTED_VALUE"""),"Tech Referent - OneOnOne")</f>
        <v>Tech Referent - OneOnOne</v>
      </c>
    </row>
    <row r="685">
      <c r="A685" s="4">
        <f>IFERROR(__xludf.DUMMYFUNCTION("""COMPUTED_VALUE"""),316.0)</f>
        <v>316</v>
      </c>
      <c r="B685" s="4" t="str">
        <f>IFERROR(__xludf.DUMMYFUNCTION("""COMPUTED_VALUE"""),"eddie.brenes")</f>
        <v>eddie.brenes</v>
      </c>
      <c r="C685" s="5">
        <f>IFERROR(__xludf.DUMMYFUNCTION("""COMPUTED_VALUE"""),45254.61623763889)</f>
        <v>45254.61624</v>
      </c>
      <c r="D685" s="5">
        <f>IFERROR(__xludf.DUMMYFUNCTION("""COMPUTED_VALUE"""),45254.0)</f>
        <v>45254</v>
      </c>
      <c r="E685" s="4" t="str">
        <f>IFERROR(__xludf.DUMMYFUNCTION("""COMPUTED_VALUE"""),"marcela.benavides@patagoniansys.com")</f>
        <v>marcela.benavides@patagoniansys.com</v>
      </c>
      <c r="F685" s="4" t="str">
        <f>IFERROR(__xludf.DUMMYFUNCTION("""COMPUTED_VALUE"""),"eddie.brenes@patagoniansys.com")</f>
        <v>eddie.brenes@patagoniansys.com</v>
      </c>
      <c r="G685" s="4" t="str">
        <f>IFERROR(__xludf.DUMMYFUNCTION("""COMPUTED_VALUE"""),"⏱ One on One")</f>
        <v>⏱ One on One</v>
      </c>
      <c r="H685" s="4" t="str">
        <f>IFERROR(__xludf.DUMMYFUNCTION("""COMPUTED_VALUE"""),"🙂 Feliz")</f>
        <v>🙂 Feliz</v>
      </c>
      <c r="I685" s="6" t="str">
        <f>IFERROR(__xludf.DUMMYFUNCTION("""COMPUTED_VALUE"""),"Revisamos la evaluación de desempeño y Eddie estuvo de acuerdo con el feedback. ")</f>
        <v>Revisamos la evaluación de desempeño y Eddie estuvo de acuerdo con el feedback. </v>
      </c>
      <c r="J685" s="4" t="str">
        <f>IFERROR(__xludf.DUMMYFUNCTION("""COMPUTED_VALUE"""),"PX|Referents|RRHH")</f>
        <v>PX|Referents|RRHH</v>
      </c>
    </row>
    <row r="686">
      <c r="A686" s="4">
        <f>IFERROR(__xludf.DUMMYFUNCTION("""COMPUTED_VALUE"""),332.0)</f>
        <v>332</v>
      </c>
      <c r="B686" s="4" t="str">
        <f>IFERROR(__xludf.DUMMYFUNCTION("""COMPUTED_VALUE"""),"jose.rodriguez")</f>
        <v>jose.rodriguez</v>
      </c>
      <c r="C686" s="5">
        <f>IFERROR(__xludf.DUMMYFUNCTION("""COMPUTED_VALUE"""),45257.630201643515)</f>
        <v>45257.6302</v>
      </c>
      <c r="D686" s="5">
        <f>IFERROR(__xludf.DUMMYFUNCTION("""COMPUTED_VALUE"""),45257.0)</f>
        <v>45257</v>
      </c>
      <c r="E686" s="4" t="str">
        <f>IFERROR(__xludf.DUMMYFUNCTION("""COMPUTED_VALUE"""),"marcela.benavides@patagoniansys.com")</f>
        <v>marcela.benavides@patagoniansys.com</v>
      </c>
      <c r="F686" s="4" t="str">
        <f>IFERROR(__xludf.DUMMYFUNCTION("""COMPUTED_VALUE"""),"jose.rodriguez@patagoniansys.com")</f>
        <v>jose.rodriguez@patagoniansys.com</v>
      </c>
      <c r="G686" s="4" t="str">
        <f>IFERROR(__xludf.DUMMYFUNCTION("""COMPUTED_VALUE"""),"⏱ One on One")</f>
        <v>⏱ One on One</v>
      </c>
      <c r="H686" s="4" t="str">
        <f>IFERROR(__xludf.DUMMYFUNCTION("""COMPUTED_VALUE"""),"🙂 Feliz")</f>
        <v>🙂 Feliz</v>
      </c>
      <c r="I686" s="6" t="str">
        <f>IFERROR(__xludf.DUMMYFUNCTION("""COMPUTED_VALUE"""),"Se realizó la devolución de la evaluación de desempeño. José estuvo de acuerdo con el feedback recibido. Manifesto que le gustaría direccionarse a ser QA líder ya sea en su proyecto o en Pata y que quisiera sea revisado su seniority para ver q le falta pa"&amp;"ra una recategorización y pasar a Senior. ")</f>
        <v>Se realizó la devolución de la evaluación de desempeño. José estuvo de acuerdo con el feedback recibido. Manifesto que le gustaría direccionarse a ser QA líder ya sea en su proyecto o en Pata y que quisiera sea revisado su seniority para ver q le falta para una recategorización y pasar a Senior. </v>
      </c>
      <c r="J686" s="4" t="str">
        <f>IFERROR(__xludf.DUMMYFUNCTION("""COMPUTED_VALUE"""),"PX|Referents|RRHH")</f>
        <v>PX|Referents|RRHH</v>
      </c>
    </row>
    <row r="687">
      <c r="A687" s="4">
        <f>IFERROR(__xludf.DUMMYFUNCTION("""COMPUTED_VALUE"""),279.0)</f>
        <v>279</v>
      </c>
      <c r="B687" s="4" t="str">
        <f>IFERROR(__xludf.DUMMYFUNCTION("""COMPUTED_VALUE"""),"emerson.pereira")</f>
        <v>emerson.pereira</v>
      </c>
      <c r="C687" s="5">
        <f>IFERROR(__xludf.DUMMYFUNCTION("""COMPUTED_VALUE"""),45257.68522288194)</f>
        <v>45257.68522</v>
      </c>
      <c r="D687" s="5">
        <f>IFERROR(__xludf.DUMMYFUNCTION("""COMPUTED_VALUE"""),45257.0)</f>
        <v>45257</v>
      </c>
      <c r="E687" s="4" t="str">
        <f>IFERROR(__xludf.DUMMYFUNCTION("""COMPUTED_VALUE"""),"ivan.vasquez@patagoniansys.com")</f>
        <v>ivan.vasquez@patagoniansys.com</v>
      </c>
      <c r="F687" s="4" t="str">
        <f>IFERROR(__xludf.DUMMYFUNCTION("""COMPUTED_VALUE"""),"emerson.pereira@patagoniansys.com")</f>
        <v>emerson.pereira@patagoniansys.com</v>
      </c>
      <c r="G687" s="4" t="str">
        <f>IFERROR(__xludf.DUMMYFUNCTION("""COMPUTED_VALUE"""),"Referent One on One")</f>
        <v>Referent One on One</v>
      </c>
      <c r="H687" s="4"/>
      <c r="I687" s="6" t="str">
        <f>IFERROR(__xludf.DUMMYFUNCTION("""COMPUTED_VALUE"""),"- Interviewee e-Mail: emerson.pereira@patagoniansys.com
- Project Status Check: Continua con su proyecto, aprendiendo un tool que el equipo utiliza para hacer sus TCs. No necesita ayuda
- Project Role | Feeling: 4
- Extra Work Hours | Amount: 0 (Ningúna)
"&amp;"- Techs | Research: continua con selenium con python
- Techs | Recomendations: si! le presente una pagina para que ejercite python https://exercism.org
- Techs | Recomendations check: si lo hice
- Collaborator | Seniority: 👍 No, es correcto
- Alerts: nin"&amp;"guna alerta, esta enfocado en su proyecto y esta motivado
- Project Needs / Oportunities: actualmente Patagonian esta apoyando con el voucher ISTQB
- Final notes: sin comentarios
- Project Techs | Learning: 1
- Techs | Research: 1
- Project Techs | Diffic"&amp;"ulty: 3
- Project Changes | Reasons: 🟰 No hubo cambios
- Project Role | Value: 4
- Project role | Notes: esta bastante comodo con su proyecto, es el unico recurso QA dentro del proyecto")</f>
        <v>- Interviewee e-Mail: emerson.pereira@patagoniansys.com
- Project Status Check: Continua con su proyecto, aprendiendo un tool que el equipo utiliza para hacer sus TCs. No necesita ayuda
- Project Role | Feeling: 4
- Extra Work Hours | Amount: 0 (Ningúna)
- Techs | Research: continua con selenium con python
- Techs | Recomendations: si! le presente una pagina para que ejercite python https://exercism.org
- Techs | Recomendations check: si lo hice
- Collaborator | Seniority: 👍 No, es correcto
- Alerts: ninguna alerta, esta enfocado en su proyecto y esta motivado
- Project Needs / Oportunities: actualmente Patagonian esta apoyando con el voucher ISTQB
- Final notes: sin comentarios
- Project Techs | Learning: 1
- Techs | Research: 1
- Project Techs | Difficulty: 3
- Project Changes | Reasons: 🟰 No hubo cambios
- Project Role | Value: 4
- Project role | Notes: esta bastante comodo con su proyecto, es el unico recurso QA dentro del proyecto</v>
      </c>
      <c r="J687" s="4" t="str">
        <f>IFERROR(__xludf.DUMMYFUNCTION("""COMPUTED_VALUE"""),"Tech Referent - OneOnOne")</f>
        <v>Tech Referent - OneOnOne</v>
      </c>
    </row>
    <row r="688">
      <c r="A688" s="4">
        <f>IFERROR(__xludf.DUMMYFUNCTION("""COMPUTED_VALUE"""),254.0)</f>
        <v>254</v>
      </c>
      <c r="B688" s="4" t="str">
        <f>IFERROR(__xludf.DUMMYFUNCTION("""COMPUTED_VALUE"""),"ismael.cespedes")</f>
        <v>ismael.cespedes</v>
      </c>
      <c r="C688" s="5">
        <f>IFERROR(__xludf.DUMMYFUNCTION("""COMPUTED_VALUE"""),45258.699376041666)</f>
        <v>45258.69938</v>
      </c>
      <c r="D688" s="5">
        <f>IFERROR(__xludf.DUMMYFUNCTION("""COMPUTED_VALUE"""),45258.0)</f>
        <v>45258</v>
      </c>
      <c r="E688" s="4" t="str">
        <f>IFERROR(__xludf.DUMMYFUNCTION("""COMPUTED_VALUE"""),"juan.calou@patagoniansys.com")</f>
        <v>juan.calou@patagoniansys.com</v>
      </c>
      <c r="F688" s="4" t="str">
        <f>IFERROR(__xludf.DUMMYFUNCTION("""COMPUTED_VALUE"""),"ismael.cespedes@patagoniansys.com")</f>
        <v>ismael.cespedes@patagoniansys.com</v>
      </c>
      <c r="G688" s="4" t="str">
        <f>IFERROR(__xludf.DUMMYFUNCTION("""COMPUTED_VALUE"""),"Referent One on One")</f>
        <v>Referent One on One</v>
      </c>
      <c r="H688" s="4"/>
      <c r="I688" s="6" t="str">
        <f>IFERROR(__xludf.DUMMYFUNCTION("""COMPUTED_VALUE"""),"- Interviewee e-Mail: ismael.cespedes@patagoniansys.com
- Project Status Check: Terminando proyecto Sukarevicius
- Project Role | Feeling: 3
- Extra Work Hours | Amount: 0 (Ningúna)
- Collaborator | Seniority: 👍 No, es correcto
- Alerts: Termino su proye"&amp;"cto y esta esperando en bench que le asignen otro. Esta un poco a la expectativa. 
- Project Needs / Oportunities: -
- Final notes: Lo veo bien pero como a la espera. Es dificil para el porque no sabe como va a seguir, y creo que la gente que entra en ben"&amp;"ch, como que se ponen a pensar en eso y les cuesta un poco mirar con optimismo el futuro. Pero es una persona tranquila.
- Project Techs | Learning: 0
- Project Techs | Difficulty: 3
- Project Changes | Reasons: terminando proyecto
- Project Changes | Per"&amp;"sonal Impact: 3
- Project Role | Value: 3
- Project role | Notes: esta terminando el proyecto, haciendo algunas cosas que pide el cliente, esperando en bench")</f>
        <v>- Interviewee e-Mail: ismael.cespedes@patagoniansys.com
- Project Status Check: Terminando proyecto Sukarevicius
- Project Role | Feeling: 3
- Extra Work Hours | Amount: 0 (Ningúna)
- Collaborator | Seniority: 👍 No, es correcto
- Alerts: Termino su proyecto y esta esperando en bench que le asignen otro. Esta un poco a la expectativa. 
- Project Needs / Oportunities: -
- Final notes: Lo veo bien pero como a la espera. Es dificil para el porque no sabe como va a seguir, y creo que la gente que entra en bench, como que se ponen a pensar en eso y les cuesta un poco mirar con optimismo el futuro. Pero es una persona tranquila.
- Project Techs | Learning: 0
- Project Techs | Difficulty: 3
- Project Changes | Reasons: terminando proyecto
- Project Changes | Personal Impact: 3
- Project Role | Value: 3
- Project role | Notes: esta terminando el proyecto, haciendo algunas cosas que pide el cliente, esperando en bench</v>
      </c>
      <c r="J688" s="4" t="str">
        <f>IFERROR(__xludf.DUMMYFUNCTION("""COMPUTED_VALUE"""),"Tech Referent - OneOnOne")</f>
        <v>Tech Referent - OneOnOne</v>
      </c>
    </row>
    <row r="689">
      <c r="A689" s="4">
        <f>IFERROR(__xludf.DUMMYFUNCTION("""COMPUTED_VALUE"""),272.0)</f>
        <v>272</v>
      </c>
      <c r="B689" s="4" t="str">
        <f>IFERROR(__xludf.DUMMYFUNCTION("""COMPUTED_VALUE"""),"santiago.grossi")</f>
        <v>santiago.grossi</v>
      </c>
      <c r="C689" s="5">
        <f>IFERROR(__xludf.DUMMYFUNCTION("""COMPUTED_VALUE"""),45259.649182650464)</f>
        <v>45259.64918</v>
      </c>
      <c r="D689" s="5">
        <f>IFERROR(__xludf.DUMMYFUNCTION("""COMPUTED_VALUE"""),45259.0)</f>
        <v>45259</v>
      </c>
      <c r="E689" s="4" t="str">
        <f>IFERROR(__xludf.DUMMYFUNCTION("""COMPUTED_VALUE"""),"bruno.molina@patagoniansys.com")</f>
        <v>bruno.molina@patagoniansys.com</v>
      </c>
      <c r="F689" s="4" t="str">
        <f>IFERROR(__xludf.DUMMYFUNCTION("""COMPUTED_VALUE"""),"santiago.grossi@patagonian.it")</f>
        <v>santiago.grossi@patagonian.it</v>
      </c>
      <c r="G689" s="4" t="str">
        <f>IFERROR(__xludf.DUMMYFUNCTION("""COMPUTED_VALUE"""),"Referent One on One")</f>
        <v>Referent One on One</v>
      </c>
      <c r="H689" s="4"/>
      <c r="I689" s="6" t="str">
        <f>IFERROR(__xludf.DUMMYFUNCTION("""COMPUTED_VALUE"""),"- Interviewee e-Mail: santiago.grossi@patagonian.it
- Project Status Check: Ha seguido colaborando en todos los proyectos de ConnectAmericas y sus derivados
- Project Changes | Notes: Stuard dejo el equipo , los chicos siguen con sus tareas , pero se lo e"&amp;"xtraña en el ambito del equipo.
- Project Role | Feeling: 5
- Extra Work Hours | Amount: 10+ (Más de 10)
- Extra Work Hours | Reason: ⏱ Mala estimación de los tiempos y tareas, 🙋Decisión propia
- Techs | Research: Aprendio mucho de AWS , Node y Python de"&amp;" forma personal.
- Techs | Recomendations: Mismo que la vez anterior 
- Techs | Recomendations check: El proyecto esta mas en orden , Santiago parece estar mas comodo en lineas generales.
- Collaborator | Seniority: 👍 No, es correcto
- Alerts: Nada para "&amp;"comentar
- Project Needs / Oportunities: No encuentro oportunidades de mejoras
- Final notes: Ningun comentario adicional
- Project Techs | Learning: 0
- Techs | Research: 40
- Project Techs | Difficulty: 3
- Project Changes | Reasons: ⬇️ Reducción del eq"&amp;"uipo
- Project Changes | Personal Impact: 3
- Project Role | Value: 5
- Project role | Notes: Se siente a gusto y comodo con sus asignaciones actuales.")</f>
        <v>- Interviewee e-Mail: santiago.grossi@patagonian.it
- Project Status Check: Ha seguido colaborando en todos los proyectos de ConnectAmericas y sus derivados
- Project Changes | Notes: Stuard dejo el equipo , los chicos siguen con sus tareas , pero se lo extraña en el ambito del equipo.
- Project Role | Feeling: 5
- Extra Work Hours | Amount: 10+ (Más de 10)
- Extra Work Hours | Reason: ⏱ Mala estimación de los tiempos y tareas, 🙋Decisión propia
- Techs | Research: Aprendio mucho de AWS , Node y Python de forma personal.
- Techs | Recomendations: Mismo que la vez anterior 
- Techs | Recomendations check: El proyecto esta mas en orden , Santiago parece estar mas comodo en lineas generales.
- Collaborator | Seniority: 👍 No, es correcto
- Alerts: Nada para comentar
- Project Needs / Oportunities: No encuentro oportunidades de mejoras
- Final notes: Ningun comentario adicional
- Project Techs | Learning: 0
- Techs | Research: 40
- Project Techs | Difficulty: 3
- Project Changes | Reasons: ⬇️ Reducción del equipo
- Project Changes | Personal Impact: 3
- Project Role | Value: 5
- Project role | Notes: Se siente a gusto y comodo con sus asignaciones actuales.</v>
      </c>
      <c r="J689" s="4" t="str">
        <f>IFERROR(__xludf.DUMMYFUNCTION("""COMPUTED_VALUE"""),"Tech Referent - OneOnOne")</f>
        <v>Tech Referent - OneOnOne</v>
      </c>
    </row>
    <row r="690">
      <c r="A690" s="4">
        <f>IFERROR(__xludf.DUMMYFUNCTION("""COMPUTED_VALUE"""),255.0)</f>
        <v>255</v>
      </c>
      <c r="B690" s="4" t="str">
        <f>IFERROR(__xludf.DUMMYFUNCTION("""COMPUTED_VALUE"""),"hubert.alfaro")</f>
        <v>hubert.alfaro</v>
      </c>
      <c r="C690" s="5">
        <f>IFERROR(__xludf.DUMMYFUNCTION("""COMPUTED_VALUE"""),45259.72277324074)</f>
        <v>45259.72277</v>
      </c>
      <c r="D690" s="5">
        <f>IFERROR(__xludf.DUMMYFUNCTION("""COMPUTED_VALUE"""),45259.0)</f>
        <v>45259</v>
      </c>
      <c r="E690" s="4" t="str">
        <f>IFERROR(__xludf.DUMMYFUNCTION("""COMPUTED_VALUE"""),"henry.tong@patagoniansys.com")</f>
        <v>henry.tong@patagoniansys.com</v>
      </c>
      <c r="F690" s="4" t="str">
        <f>IFERROR(__xludf.DUMMYFUNCTION("""COMPUTED_VALUE"""),"hubert.alfaro@patagoniansys.com")</f>
        <v>hubert.alfaro@patagoniansys.com</v>
      </c>
      <c r="G690" s="4" t="str">
        <f>IFERROR(__xludf.DUMMYFUNCTION("""COMPUTED_VALUE"""),"Referent One on One")</f>
        <v>Referent One on One</v>
      </c>
      <c r="H690" s="4"/>
      <c r="I690" s="6" t="str">
        <f>IFERROR(__xludf.DUMMYFUNCTION("""COMPUTED_VALUE"""),"- Interviewee e-Mail: hubert.alfaro@patagoniansys.com
- Project Status Check: Ha estado cambiando constantemente de proyectos (Bird City, Santa App) porque los clientes van/vienen con cambios puntuales. Actualmente está en Bird City pero cerrando temas pa"&amp;"ra pasar a otro proyecto
- Project Role | Feeling: 4
- Extra Work Hours | Amount: 0 (Ningúna)
- Collaborator | Seniority: 👍 No, es correcto
- Alerts: Debido a que cambia constamente de proyecto o de asignaciones y tienen que ser hechas rápidamente, no ha"&amp;" tenido tiempo de revisar deuda técnica en los proyectos que va tocando, la cual seguramente debe estar escondida actualmente.
- Project Needs / Oportunities: Se le asignó acceso a SonarQube pero no lo ha implementado todavía y lo tiene planificado para e"&amp;"l futuro.
- Project Techs | Learning: 1
- Project Techs | Difficulty: 4
- Project Changes | Reasons: 🟰 No hubo cambios
- Project Changes | Personal Impact: 3
- Project Role | Value: 4
- Project role | Notes: Está tranquilo haciendo los proyectos que ya c"&amp;"onoce")</f>
        <v>- Interviewee e-Mail: hubert.alfaro@patagoniansys.com
- Project Status Check: Ha estado cambiando constantemente de proyectos (Bird City, Santa App) porque los clientes van/vienen con cambios puntuales. Actualmente está en Bird City pero cerrando temas para pasar a otro proyecto
- Project Role | Feeling: 4
- Extra Work Hours | Amount: 0 (Ningúna)
- Collaborator | Seniority: 👍 No, es correcto
- Alerts: Debido a que cambia constamente de proyecto o de asignaciones y tienen que ser hechas rápidamente, no ha tenido tiempo de revisar deuda técnica en los proyectos que va tocando, la cual seguramente debe estar escondida actualmente.
- Project Needs / Oportunities: Se le asignó acceso a SonarQube pero no lo ha implementado todavía y lo tiene planificado para el futuro.
- Project Techs | Learning: 1
- Project Techs | Difficulty: 4
- Project Changes | Reasons: 🟰 No hubo cambios
- Project Changes | Personal Impact: 3
- Project Role | Value: 4
- Project role | Notes: Está tranquilo haciendo los proyectos que ya conoce</v>
      </c>
      <c r="J690" s="4" t="str">
        <f>IFERROR(__xludf.DUMMYFUNCTION("""COMPUTED_VALUE"""),"Tech Referent - OneOnOne")</f>
        <v>Tech Referent - OneOnOne</v>
      </c>
    </row>
    <row r="691">
      <c r="A691" s="4">
        <f>IFERROR(__xludf.DUMMYFUNCTION("""COMPUTED_VALUE"""),152.0)</f>
        <v>152</v>
      </c>
      <c r="B691" s="4" t="str">
        <f>IFERROR(__xludf.DUMMYFUNCTION("""COMPUTED_VALUE"""),"omar.fandino")</f>
        <v>omar.fandino</v>
      </c>
      <c r="C691" s="5">
        <f>IFERROR(__xludf.DUMMYFUNCTION("""COMPUTED_VALUE"""),45260.60525076389)</f>
        <v>45260.60525</v>
      </c>
      <c r="D691" s="5">
        <f>IFERROR(__xludf.DUMMYFUNCTION("""COMPUTED_VALUE"""),45260.0)</f>
        <v>45260</v>
      </c>
      <c r="E691" s="4" t="str">
        <f>IFERROR(__xludf.DUMMYFUNCTION("""COMPUTED_VALUE"""),"marcela.benavides@patagoniansys.com")</f>
        <v>marcela.benavides@patagoniansys.com</v>
      </c>
      <c r="F691" s="4" t="str">
        <f>IFERROR(__xludf.DUMMYFUNCTION("""COMPUTED_VALUE"""),"omar.fandino@patagoniansys.com")</f>
        <v>omar.fandino@patagoniansys.com</v>
      </c>
      <c r="G691" s="4" t="str">
        <f>IFERROR(__xludf.DUMMYFUNCTION("""COMPUTED_VALUE"""),"⏱ One on One")</f>
        <v>⏱ One on One</v>
      </c>
      <c r="H691" s="4" t="str">
        <f>IFERROR(__xludf.DUMMYFUNCTION("""COMPUTED_VALUE"""),"🙂 Feliz")</f>
        <v>🙂 Feliz</v>
      </c>
      <c r="I691" s="6" t="str">
        <f>IFERROR(__xludf.DUMMYFUNCTION("""COMPUTED_VALUE"""),"Omar siente que el proyecto le esta aportando mucho porque puede crear cosas y no solo resolver problemas como en Conversify. Adicional siente que esta fortaleciendo sus habilidades al apoyar a Fer que esta como Junior+ en el proyecto. ")</f>
        <v>Omar siente que el proyecto le esta aportando mucho porque puede crear cosas y no solo resolver problemas como en Conversify. Adicional siente que esta fortaleciendo sus habilidades al apoyar a Fer que esta como Junior+ en el proyecto. </v>
      </c>
      <c r="J691" s="4" t="str">
        <f>IFERROR(__xludf.DUMMYFUNCTION("""COMPUTED_VALUE"""),"PX|Referents|RRHH")</f>
        <v>PX|Referents|RRHH</v>
      </c>
    </row>
    <row r="692">
      <c r="A692" s="4">
        <f>IFERROR(__xludf.DUMMYFUNCTION("""COMPUTED_VALUE"""),145.0)</f>
        <v>145</v>
      </c>
      <c r="B692" s="4" t="str">
        <f>IFERROR(__xludf.DUMMYFUNCTION("""COMPUTED_VALUE"""),"victor.abitu")</f>
        <v>victor.abitu</v>
      </c>
      <c r="C692" s="5">
        <f>IFERROR(__xludf.DUMMYFUNCTION("""COMPUTED_VALUE"""),45261.48629918981)</f>
        <v>45261.4863</v>
      </c>
      <c r="D692" s="5">
        <f>IFERROR(__xludf.DUMMYFUNCTION("""COMPUTED_VALUE"""),45261.0)</f>
        <v>45261</v>
      </c>
      <c r="E692" s="4" t="str">
        <f>IFERROR(__xludf.DUMMYFUNCTION("""COMPUTED_VALUE"""),"rodrigo.cibils@patagoniansys.com")</f>
        <v>rodrigo.cibils@patagoniansys.com</v>
      </c>
      <c r="F692" s="4" t="str">
        <f>IFERROR(__xludf.DUMMYFUNCTION("""COMPUTED_VALUE"""),"victor.abitu@patagoniansys.com")</f>
        <v>victor.abitu@patagoniansys.com</v>
      </c>
      <c r="G692" s="4" t="str">
        <f>IFERROR(__xludf.DUMMYFUNCTION("""COMPUTED_VALUE"""),"Referent One on One")</f>
        <v>Referent One on One</v>
      </c>
      <c r="H692" s="4"/>
      <c r="I692" s="6" t="str">
        <f>IFERROR(__xludf.DUMMYFUNCTION("""COMPUTED_VALUE"""),"- Interviewee e-Mail: victor.abitu@patagoniansys.com
- Project Role | Feeling: 3
- Extra Work Hours | Amount: 0 (Ningúna)
- Collaborator | Seniority: 👍 No, es correcto
- Final notes: No se presento a la reunion
- Project Techs | Learning: 0
- Project Tec"&amp;"hs | Difficulty: 3
- Project Role | Value: 3
- Project role | Notes: No se presento a la reunion")</f>
        <v>- Interviewee e-Mail: victor.abitu@patagoniansys.com
- Project Role | Feeling: 3
- Extra Work Hours | Amount: 0 (Ningúna)
- Collaborator | Seniority: 👍 No, es correcto
- Final notes: No se presento a la reunion
- Project Techs | Learning: 0
- Project Techs | Difficulty: 3
- Project Role | Value: 3
- Project role | Notes: No se presento a la reunion</v>
      </c>
      <c r="J692" s="4" t="str">
        <f>IFERROR(__xludf.DUMMYFUNCTION("""COMPUTED_VALUE"""),"Tech Referent - OneOnOne")</f>
        <v>Tech Referent - OneOnOne</v>
      </c>
    </row>
    <row r="693">
      <c r="A693" s="4">
        <f>IFERROR(__xludf.DUMMYFUNCTION("""COMPUTED_VALUE"""),220.0)</f>
        <v>220</v>
      </c>
      <c r="B693" s="4" t="str">
        <f>IFERROR(__xludf.DUMMYFUNCTION("""COMPUTED_VALUE"""),"andres.rudqvist")</f>
        <v>andres.rudqvist</v>
      </c>
      <c r="C693" s="5">
        <f>IFERROR(__xludf.DUMMYFUNCTION("""COMPUTED_VALUE"""),45264.66383276621)</f>
        <v>45264.66383</v>
      </c>
      <c r="D693" s="5">
        <f>IFERROR(__xludf.DUMMYFUNCTION("""COMPUTED_VALUE"""),45264.0)</f>
        <v>45264</v>
      </c>
      <c r="E693" s="4" t="str">
        <f>IFERROR(__xludf.DUMMYFUNCTION("""COMPUTED_VALUE"""),"jorge.contreras@patagoniansys.com")</f>
        <v>jorge.contreras@patagoniansys.com</v>
      </c>
      <c r="F693" s="4" t="str">
        <f>IFERROR(__xludf.DUMMYFUNCTION("""COMPUTED_VALUE"""),"andres.rudqvist@patagonian.com")</f>
        <v>andres.rudqvist@patagonian.com</v>
      </c>
      <c r="G693" s="4" t="str">
        <f>IFERROR(__xludf.DUMMYFUNCTION("""COMPUTED_VALUE"""),"Referent One on One")</f>
        <v>Referent One on One</v>
      </c>
      <c r="H693" s="4"/>
      <c r="I693" s="6" t="str">
        <f>IFERROR(__xludf.DUMMYFUNCTION("""COMPUTED_VALUE"""),"- Interviewee e-Mail: andres.rudqvist@patagonian.com
- Project Status Check: Podvisory
- Project Role | Feeling: 5
- Extra Work Hours | Amount: 1 - 5 (Entre 1 y 5)
- Extra Work Hours | Reason: 🙋Decisión propia
- Techs | Research: Kafka
- Collaborator | S"&amp;"eniority: 👍 No, es correcto
- Alerts: Ninguna
- Project Needs / Oportunities: Ninguno
- Project Techs | Learning: 1
- Techs | Research: 1
- Project Techs | Difficulty: 5
- Project Changes | Reasons: 🟰 No hubo cambios
- Project Changes | Personal Impact:"&amp;" 5
- Project Role | Value: 5
- Project role | Notes: Estoy como backend y continuo trabajando de forma normal")</f>
        <v>- Interviewee e-Mail: andres.rudqvist@patagonian.com
- Project Status Check: Podvisory
- Project Role | Feeling: 5
- Extra Work Hours | Amount: 1 - 5 (Entre 1 y 5)
- Extra Work Hours | Reason: 🙋Decisión propia
- Techs | Research: Kafka
- Collaborator | Seniority: 👍 No, es correcto
- Alerts: Ninguna
- Project Needs / Oportunities: Ninguno
- Project Techs | Learning: 1
- Techs | Research: 1
- Project Techs | Difficulty: 5
- Project Changes | Reasons: 🟰 No hubo cambios
- Project Changes | Personal Impact: 5
- Project Role | Value: 5
- Project role | Notes: Estoy como backend y continuo trabajando de forma normal</v>
      </c>
      <c r="J693" s="4" t="str">
        <f>IFERROR(__xludf.DUMMYFUNCTION("""COMPUTED_VALUE"""),"Tech Referent - OneOnOne")</f>
        <v>Tech Referent - OneOnOne</v>
      </c>
    </row>
    <row r="694">
      <c r="A694" s="4">
        <f>IFERROR(__xludf.DUMMYFUNCTION("""COMPUTED_VALUE"""),88.0)</f>
        <v>88</v>
      </c>
      <c r="B694" s="4" t="str">
        <f>IFERROR(__xludf.DUMMYFUNCTION("""COMPUTED_VALUE"""),"andres.bolocco")</f>
        <v>andres.bolocco</v>
      </c>
      <c r="C694" s="5">
        <f>IFERROR(__xludf.DUMMYFUNCTION("""COMPUTED_VALUE"""),45265.53502502315)</f>
        <v>45265.53503</v>
      </c>
      <c r="D694" s="5">
        <f>IFERROR(__xludf.DUMMYFUNCTION("""COMPUTED_VALUE"""),45265.0)</f>
        <v>45265</v>
      </c>
      <c r="E694" s="4" t="str">
        <f>IFERROR(__xludf.DUMMYFUNCTION("""COMPUTED_VALUE"""),"brayan.barrios@patagoniansys.com")</f>
        <v>brayan.barrios@patagoniansys.com</v>
      </c>
      <c r="F694" s="4" t="str">
        <f>IFERROR(__xludf.DUMMYFUNCTION("""COMPUTED_VALUE"""),"andres.bolocco@patagonian.com")</f>
        <v>andres.bolocco@patagonian.com</v>
      </c>
      <c r="G694" s="4" t="str">
        <f>IFERROR(__xludf.DUMMYFUNCTION("""COMPUTED_VALUE"""),"Referent One on One")</f>
        <v>Referent One on One</v>
      </c>
      <c r="H694" s="4"/>
      <c r="I694" s="6" t="str">
        <f>IFERROR(__xludf.DUMMYFUNCTION("""COMPUTED_VALUE"""),"- Interviewee e-Mail: andres.bolocco@patagonian.com
- Project Status Check: Ha estado trabajando en analisis de datos con metabase
- Project Changes | Notes: Han habido cambios culturales en la forma en que cada uno ve sus partes y eso ayuda a que fluya m"&amp;"as el proceso.
- Project Role | Feeling: 5
- Extra Work Hours | Amount: 0 (Ningúna)
- Collaborator | Seniority: 👍 No, es correcto
- Project Techs | Learning: 10
- Project Techs | Difficulty: 3
- Project Changes | Reasons: 🟰 No hubo cambios
- Project Cha"&amp;"nges | Personal Impact: 4
- Project Role | Value: 5
- Project role | Notes: Va aprendiendo, mucho mas tranquilo y muy contento de este rol.")</f>
        <v>- Interviewee e-Mail: andres.bolocco@patagonian.com
- Project Status Check: Ha estado trabajando en analisis de datos con metabase
- Project Changes | Notes: Han habido cambios culturales en la forma en que cada uno ve sus partes y eso ayuda a que fluya mas el proceso.
- Project Role | Feeling: 5
- Extra Work Hours | Amount: 0 (Ningúna)
- Collaborator | Seniority: 👍 No, es correcto
- Project Techs | Learning: 10
- Project Techs | Difficulty: 3
- Project Changes | Reasons: 🟰 No hubo cambios
- Project Changes | Personal Impact: 4
- Project Role | Value: 5
- Project role | Notes: Va aprendiendo, mucho mas tranquilo y muy contento de este rol.</v>
      </c>
      <c r="J694" s="4" t="str">
        <f>IFERROR(__xludf.DUMMYFUNCTION("""COMPUTED_VALUE"""),"Tech Referent - OneOnOne")</f>
        <v>Tech Referent - OneOnOne</v>
      </c>
    </row>
    <row r="695">
      <c r="A695" s="4">
        <f>IFERROR(__xludf.DUMMYFUNCTION("""COMPUTED_VALUE"""),41.0)</f>
        <v>41</v>
      </c>
      <c r="B695" s="4" t="str">
        <f>IFERROR(__xludf.DUMMYFUNCTION("""COMPUTED_VALUE"""),"ezequiel.cortes")</f>
        <v>ezequiel.cortes</v>
      </c>
      <c r="C695" s="5">
        <f>IFERROR(__xludf.DUMMYFUNCTION("""COMPUTED_VALUE"""),45265.63860695602)</f>
        <v>45265.63861</v>
      </c>
      <c r="D695" s="5">
        <f>IFERROR(__xludf.DUMMYFUNCTION("""COMPUTED_VALUE"""),45265.0)</f>
        <v>45265</v>
      </c>
      <c r="E695" s="4" t="str">
        <f>IFERROR(__xludf.DUMMYFUNCTION("""COMPUTED_VALUE"""),"jorge.contreras@patagoniansys.com")</f>
        <v>jorge.contreras@patagoniansys.com</v>
      </c>
      <c r="F695" s="4" t="str">
        <f>IFERROR(__xludf.DUMMYFUNCTION("""COMPUTED_VALUE"""),"ezequiel.cortes@patagonian.com")</f>
        <v>ezequiel.cortes@patagonian.com</v>
      </c>
      <c r="G695" s="4" t="str">
        <f>IFERROR(__xludf.DUMMYFUNCTION("""COMPUTED_VALUE"""),"Referent One on One")</f>
        <v>Referent One on One</v>
      </c>
      <c r="H695" s="4"/>
      <c r="I695" s="6" t="str">
        <f>IFERROR(__xludf.DUMMYFUNCTION("""COMPUTED_VALUE"""),"- Interviewee e-Mail: ezequiel.cortes@patagonian.com
- Project Status Check: Sigo en Overplay
- Project Changes | Notes: Todo igual. Va a cambiar el modelo organizativo. No vamos a tener el PM y van a asignar un PO. También van a asignar un TL. Creo que v"&amp;"amos a estar más cómodos porque vamos a tener una línea o un camino a seguir más alineado al negocio.
- Project Role | Feeling: 5
- Extra Work Hours | Amount: 0 (Ningúna)
- Techs | Research: Cosas que se puedan hacer con inteligencia artificial. AWS prese"&amp;"ntó unas nuevas tecnologías.
- Techs | Recomendations: Ninguno
- Techs | Recomendations check: Ninguna
- Collaborator | Seniority: 👍 No, es correcto
- Alerts: Ninguna
- Project Needs / Oportunities: Ninguna
- Project Techs | Learning: 0
- Techs | Researc"&amp;"h: 0
- Project Techs | Difficulty: 5
- Project Changes | Reasons: 🟰 No hubo cambios
- Project Changes | Personal Impact: 5
- Project Role | Value: 5
- Project role | Notes: Desarrollador")</f>
        <v>- Interviewee e-Mail: ezequiel.cortes@patagonian.com
- Project Status Check: Sigo en Overplay
- Project Changes | Notes: Todo igual. Va a cambiar el modelo organizativo. No vamos a tener el PM y van a asignar un PO. También van a asignar un TL. Creo que vamos a estar más cómodos porque vamos a tener una línea o un camino a seguir más alineado al negocio.
- Project Role | Feeling: 5
- Extra Work Hours | Amount: 0 (Ningúna)
- Techs | Research: Cosas que se puedan hacer con inteligencia artificial. AWS presentó unas nuevas tecnologías.
- Techs | Recomendations: Ninguno
- Techs | Recomendations check: Ninguna
- Collaborator | Seniority: 👍 No, es correcto
- Alerts: Ninguna
- Project Needs / Oportunities: Ninguna
- Project Techs | Learning: 0
- Techs | Research: 0
- Project Techs | Difficulty: 5
- Project Changes | Reasons: 🟰 No hubo cambios
- Project Changes | Personal Impact: 5
- Project Role | Value: 5
- Project role | Notes: Desarrollador</v>
      </c>
      <c r="J695" s="4" t="str">
        <f>IFERROR(__xludf.DUMMYFUNCTION("""COMPUTED_VALUE"""),"Tech Referent - OneOnOne")</f>
        <v>Tech Referent - OneOnOne</v>
      </c>
    </row>
    <row r="696">
      <c r="A696" s="4">
        <f>IFERROR(__xludf.DUMMYFUNCTION("""COMPUTED_VALUE"""),243.0)</f>
        <v>243</v>
      </c>
      <c r="B696" s="4" t="str">
        <f>IFERROR(__xludf.DUMMYFUNCTION("""COMPUTED_VALUE"""),"fernando.estevez")</f>
        <v>fernando.estevez</v>
      </c>
      <c r="C696" s="5">
        <f>IFERROR(__xludf.DUMMYFUNCTION("""COMPUTED_VALUE"""),45266.489287662036)</f>
        <v>45266.48929</v>
      </c>
      <c r="D696" s="5">
        <f>IFERROR(__xludf.DUMMYFUNCTION("""COMPUTED_VALUE"""),45266.0)</f>
        <v>45266</v>
      </c>
      <c r="E696" s="4" t="str">
        <f>IFERROR(__xludf.DUMMYFUNCTION("""COMPUTED_VALUE"""),"juan.calou@patagoniansys.com")</f>
        <v>juan.calou@patagoniansys.com</v>
      </c>
      <c r="F696" s="4" t="str">
        <f>IFERROR(__xludf.DUMMYFUNCTION("""COMPUTED_VALUE"""),"fernando.estevez@patagonian.com")</f>
        <v>fernando.estevez@patagonian.com</v>
      </c>
      <c r="G696" s="4" t="str">
        <f>IFERROR(__xludf.DUMMYFUNCTION("""COMPUTED_VALUE"""),"Referent One on One")</f>
        <v>Referent One on One</v>
      </c>
      <c r="H696" s="4"/>
      <c r="I696" s="6" t="str">
        <f>IFERROR(__xludf.DUMMYFUNCTION("""COMPUTED_VALUE"""),"- Interviewee e-Mail: fernando.estevez@patagonian.com
- Project Status Check: Mitad ready build mitad nuevo proyecto del BID
- Project Changes | Notes: esta contento porque el nuevo proyecto trae otros desafios
- Project Role | Feeling: 4
- Extra Work Hou"&amp;"rs | Amount: 0 (Ningúna)
- Collaborator | Seniority: 👍 No, es correcto
- Alerts: No encuentro alertas, lo veo muy contento a Fer
- Project Needs / Oportunities: -
- Final notes: Lo vi muy bien, el ya estaba contento con ready build y Omar, y ahora lo asi"&amp;"gnaron un 50%.a otro proyecto donde puede aplicar su conocimiento del idioma y tambien puede aprender sobre technical writing. Esta contento con eso. Tambien solicito un cambio de seniority y esta esperando la respuesta.
- Project Techs | Learning: 1
- Pr"&amp;"oject Techs | Difficulty: 4
- Project Changes | Reasons: Lo asignaron 50% a otro proyecto
- Project Changes | Personal Impact: 4
- Project Role | Value: 4
- Project role | Notes: -")</f>
        <v>- Interviewee e-Mail: fernando.estevez@patagonian.com
- Project Status Check: Mitad ready build mitad nuevo proyecto del BID
- Project Changes | Notes: esta contento porque el nuevo proyecto trae otros desafios
- Project Role | Feeling: 4
- Extra Work Hours | Amount: 0 (Ningúna)
- Collaborator | Seniority: 👍 No, es correcto
- Alerts: No encuentro alertas, lo veo muy contento a Fer
- Project Needs / Oportunities: -
- Final notes: Lo vi muy bien, el ya estaba contento con ready build y Omar, y ahora lo asignaron un 50%.a otro proyecto donde puede aplicar su conocimiento del idioma y tambien puede aprender sobre technical writing. Esta contento con eso. Tambien solicito un cambio de seniority y esta esperando la respuesta.
- Project Techs | Learning: 1
- Project Techs | Difficulty: 4
- Project Changes | Reasons: Lo asignaron 50% a otro proyecto
- Project Changes | Personal Impact: 4
- Project Role | Value: 4
- Project role | Notes: -</v>
      </c>
      <c r="J696" s="4" t="str">
        <f>IFERROR(__xludf.DUMMYFUNCTION("""COMPUTED_VALUE"""),"Tech Referent - OneOnOne")</f>
        <v>Tech Referent - OneOnOne</v>
      </c>
    </row>
    <row r="697">
      <c r="A697" s="4">
        <f>IFERROR(__xludf.DUMMYFUNCTION("""COMPUTED_VALUE"""),249.0)</f>
        <v>249</v>
      </c>
      <c r="B697" s="4" t="str">
        <f>IFERROR(__xludf.DUMMYFUNCTION("""COMPUTED_VALUE"""),"nahuel.diaz")</f>
        <v>nahuel.diaz</v>
      </c>
      <c r="C697" s="5">
        <f>IFERROR(__xludf.DUMMYFUNCTION("""COMPUTED_VALUE"""),45266.765577708335)</f>
        <v>45266.76558</v>
      </c>
      <c r="D697" s="5">
        <f>IFERROR(__xludf.DUMMYFUNCTION("""COMPUTED_VALUE"""),45266.0)</f>
        <v>45266</v>
      </c>
      <c r="E697" s="4" t="str">
        <f>IFERROR(__xludf.DUMMYFUNCTION("""COMPUTED_VALUE"""),"henry.tong@patagoniansys.com")</f>
        <v>henry.tong@patagoniansys.com</v>
      </c>
      <c r="F697" s="4" t="str">
        <f>IFERROR(__xludf.DUMMYFUNCTION("""COMPUTED_VALUE"""),"nahuel.diaz@patagonian.com")</f>
        <v>nahuel.diaz@patagonian.com</v>
      </c>
      <c r="G697" s="4" t="str">
        <f>IFERROR(__xludf.DUMMYFUNCTION("""COMPUTED_VALUE"""),"Referent One on One")</f>
        <v>Referent One on One</v>
      </c>
      <c r="H697" s="4"/>
      <c r="I697" s="6" t="str">
        <f>IFERROR(__xludf.DUMMYFUNCTION("""COMPUTED_VALUE"""),"- Interviewee e-Mail: nahuel.diaz@patagonian.com
- Project Status Check: nahuel.diaz@patagonian.com
- Project Role | Feeling: 4
- Extra Work Hours | Amount: 0 (Ningúna)
- Collaborator | Seniority: 👍 No, es correcto
- Final notes: Continua en el mismo pro"&amp;"yecto (Bird City) para ABC Bird. Hoy terminan la implementación y mañana probablemente pase a Bench u otro proyecto.
Una noticia interesante es que luego del proyecto PiwePowers hecha con PowerApps va a preparar un documento para que los demás conozcan s"&amp;"obre esa tecnología
- Project Techs | Learning: 0
- Project Techs | Difficulty: 4
- Project Changes | Reasons: 🟰 No hubo cambios
- Project Changes | Personal Impact: 4
- Project Role | Value: 4
- Project role | Notes: Dev")</f>
        <v>- Interviewee e-Mail: nahuel.diaz@patagonian.com
- Project Status Check: nahuel.diaz@patagonian.com
- Project Role | Feeling: 4
- Extra Work Hours | Amount: 0 (Ningúna)
- Collaborator | Seniority: 👍 No, es correcto
- Final notes: Continua en el mismo proyecto (Bird City) para ABC Bird. Hoy terminan la implementación y mañana probablemente pase a Bench u otro proyecto.
Una noticia interesante es que luego del proyecto PiwePowers hecha con PowerApps va a preparar un documento para que los demás conozcan sobre esa tecnología
- Project Techs | Learning: 0
- Project Techs | Difficulty: 4
- Project Changes | Reasons: 🟰 No hubo cambios
- Project Changes | Personal Impact: 4
- Project Role | Value: 4
- Project role | Notes: Dev</v>
      </c>
      <c r="J697" s="4" t="str">
        <f>IFERROR(__xludf.DUMMYFUNCTION("""COMPUTED_VALUE"""),"Tech Referent - OneOnOne")</f>
        <v>Tech Referent - OneOnOne</v>
      </c>
    </row>
    <row r="698">
      <c r="A698" s="4">
        <f>IFERROR(__xludf.DUMMYFUNCTION("""COMPUTED_VALUE"""),82.0)</f>
        <v>82</v>
      </c>
      <c r="B698" s="4" t="str">
        <f>IFERROR(__xludf.DUMMYFUNCTION("""COMPUTED_VALUE"""),"juan.calou")</f>
        <v>juan.calou</v>
      </c>
      <c r="C698" s="5">
        <f>IFERROR(__xludf.DUMMYFUNCTION("""COMPUTED_VALUE"""),45267.763901631944)</f>
        <v>45267.7639</v>
      </c>
      <c r="D698" s="5">
        <f>IFERROR(__xludf.DUMMYFUNCTION("""COMPUTED_VALUE"""),45267.0)</f>
        <v>45267</v>
      </c>
      <c r="E698" s="4" t="str">
        <f>IFERROR(__xludf.DUMMYFUNCTION("""COMPUTED_VALUE"""),"marcela.benavides@patagoniansys.com")</f>
        <v>marcela.benavides@patagoniansys.com</v>
      </c>
      <c r="F698" s="4" t="str">
        <f>IFERROR(__xludf.DUMMYFUNCTION("""COMPUTED_VALUE"""),"juan.calou@patagoniansys.com")</f>
        <v>juan.calou@patagoniansys.com</v>
      </c>
      <c r="G698" s="4" t="str">
        <f>IFERROR(__xludf.DUMMYFUNCTION("""COMPUTED_VALUE"""),"⏱ One on One")</f>
        <v>⏱ One on One</v>
      </c>
      <c r="H698" s="4" t="str">
        <f>IFERROR(__xludf.DUMMYFUNCTION("""COMPUTED_VALUE"""),"🙂 Feliz")</f>
        <v>🙂 Feliz</v>
      </c>
      <c r="I698" s="6" t="str">
        <f>IFERROR(__xludf.DUMMYFUNCTION("""COMPUTED_VALUE"""),"Juan tenía inquietud y quería indagar en cuánto a su evaluación de desempeño ya que considera que comparandolo con el año pasado los números dirían que bajo en cuánto desempeño, se aclaro como se lleva la dinámica. ")</f>
        <v>Juan tenía inquietud y quería indagar en cuánto a su evaluación de desempeño ya que considera que comparandolo con el año pasado los números dirían que bajo en cuánto desempeño, se aclaro como se lleva la dinámica. </v>
      </c>
      <c r="J698" s="4" t="str">
        <f>IFERROR(__xludf.DUMMYFUNCTION("""COMPUTED_VALUE"""),"PX|Referents|RRHH")</f>
        <v>PX|Referents|RRHH</v>
      </c>
    </row>
    <row r="699">
      <c r="A699" s="4"/>
      <c r="B699" s="4"/>
      <c r="C699" s="5"/>
      <c r="D699" s="5"/>
      <c r="E699" s="4"/>
      <c r="F699" s="4"/>
      <c r="G699" s="4"/>
      <c r="H699" s="4"/>
      <c r="I699" s="6"/>
      <c r="J699" s="4"/>
    </row>
    <row r="700">
      <c r="A700" s="4"/>
      <c r="B700" s="4"/>
      <c r="C700" s="5"/>
      <c r="D700" s="5"/>
      <c r="E700" s="4"/>
      <c r="F700" s="4"/>
      <c r="G700" s="4"/>
      <c r="H700" s="4"/>
      <c r="I700" s="6"/>
      <c r="J700" s="4"/>
    </row>
    <row r="701">
      <c r="A701" s="4"/>
      <c r="B701" s="4"/>
      <c r="C701" s="5"/>
      <c r="D701" s="5"/>
      <c r="E701" s="4"/>
      <c r="F701" s="4"/>
      <c r="G701" s="4"/>
      <c r="H701" s="4"/>
      <c r="I701" s="6"/>
      <c r="J701" s="4"/>
    </row>
    <row r="702">
      <c r="A702" s="4"/>
      <c r="B702" s="4"/>
      <c r="C702" s="5"/>
      <c r="D702" s="5"/>
      <c r="E702" s="4"/>
      <c r="F702" s="4"/>
      <c r="G702" s="4"/>
      <c r="H702" s="4"/>
      <c r="I702" s="6"/>
      <c r="J702" s="4"/>
    </row>
    <row r="703">
      <c r="A703" s="4"/>
      <c r="B703" s="4"/>
      <c r="C703" s="5"/>
      <c r="D703" s="5"/>
      <c r="E703" s="4"/>
      <c r="F703" s="4"/>
      <c r="G703" s="4"/>
      <c r="H703" s="4"/>
      <c r="I703" s="6"/>
      <c r="J703" s="4"/>
    </row>
    <row r="704">
      <c r="A704" s="4"/>
      <c r="B704" s="4"/>
      <c r="C704" s="5"/>
      <c r="D704" s="5"/>
      <c r="E704" s="4"/>
      <c r="F704" s="4"/>
      <c r="G704" s="4"/>
      <c r="H704" s="4"/>
      <c r="I704" s="6"/>
      <c r="J704" s="4"/>
    </row>
    <row r="705">
      <c r="A705" s="4"/>
      <c r="B705" s="4"/>
      <c r="C705" s="5"/>
      <c r="D705" s="5"/>
      <c r="E705" s="4"/>
      <c r="F705" s="4"/>
      <c r="G705" s="4"/>
      <c r="H705" s="4"/>
      <c r="I705" s="6"/>
      <c r="J705" s="4"/>
    </row>
    <row r="706">
      <c r="A706" s="4"/>
      <c r="B706" s="4"/>
      <c r="C706" s="5"/>
      <c r="D706" s="5"/>
      <c r="E706" s="4"/>
      <c r="F706" s="4"/>
      <c r="G706" s="4"/>
      <c r="H706" s="4"/>
      <c r="I706" s="6"/>
      <c r="J706" s="4"/>
    </row>
    <row r="707">
      <c r="A707" s="4"/>
      <c r="B707" s="4"/>
      <c r="C707" s="5"/>
      <c r="D707" s="5"/>
      <c r="E707" s="4"/>
      <c r="F707" s="4"/>
      <c r="G707" s="4"/>
      <c r="H707" s="4"/>
      <c r="I707" s="6"/>
      <c r="J707" s="4"/>
    </row>
    <row r="708">
      <c r="A708" s="4"/>
      <c r="B708" s="4"/>
      <c r="C708" s="5"/>
      <c r="D708" s="5"/>
      <c r="E708" s="4"/>
      <c r="F708" s="4"/>
      <c r="G708" s="4"/>
      <c r="H708" s="4"/>
      <c r="I708" s="6"/>
      <c r="J708" s="4"/>
    </row>
    <row r="709">
      <c r="A709" s="4"/>
      <c r="B709" s="4"/>
      <c r="C709" s="5"/>
      <c r="D709" s="5"/>
      <c r="E709" s="4"/>
      <c r="F709" s="4"/>
      <c r="G709" s="4"/>
      <c r="H709" s="4"/>
      <c r="I709" s="6"/>
      <c r="J709" s="4"/>
    </row>
    <row r="710">
      <c r="A710" s="4"/>
      <c r="B710" s="4"/>
      <c r="C710" s="5"/>
      <c r="D710" s="5"/>
      <c r="E710" s="4"/>
      <c r="F710" s="4"/>
      <c r="G710" s="4"/>
      <c r="H710" s="4"/>
      <c r="I710" s="6"/>
      <c r="J710" s="4"/>
    </row>
    <row r="711">
      <c r="A711" s="4"/>
      <c r="B711" s="4"/>
      <c r="C711" s="5"/>
      <c r="D711" s="5"/>
      <c r="E711" s="4"/>
      <c r="F711" s="4"/>
      <c r="G711" s="4"/>
      <c r="H711" s="4"/>
      <c r="I711" s="6"/>
      <c r="J711" s="4"/>
    </row>
    <row r="712">
      <c r="A712" s="4"/>
      <c r="B712" s="4"/>
      <c r="C712" s="5"/>
      <c r="D712" s="5"/>
      <c r="E712" s="4"/>
      <c r="F712" s="4"/>
      <c r="G712" s="4"/>
      <c r="H712" s="4"/>
      <c r="I712" s="6"/>
      <c r="J712" s="4"/>
    </row>
    <row r="713">
      <c r="A713" s="4"/>
      <c r="B713" s="4"/>
      <c r="C713" s="5"/>
      <c r="D713" s="5"/>
      <c r="E713" s="4"/>
      <c r="F713" s="4"/>
      <c r="G713" s="4"/>
      <c r="H713" s="4"/>
      <c r="I713" s="6"/>
      <c r="J713" s="4"/>
    </row>
    <row r="714">
      <c r="A714" s="4"/>
      <c r="B714" s="4"/>
      <c r="C714" s="5"/>
      <c r="D714" s="5"/>
      <c r="E714" s="4"/>
      <c r="F714" s="4"/>
      <c r="G714" s="4"/>
      <c r="H714" s="4"/>
      <c r="I714" s="6"/>
      <c r="J714" s="4"/>
    </row>
    <row r="715">
      <c r="A715" s="4"/>
      <c r="B715" s="4"/>
      <c r="C715" s="5"/>
      <c r="D715" s="5"/>
      <c r="E715" s="4"/>
      <c r="F715" s="4"/>
      <c r="G715" s="4"/>
      <c r="H715" s="4"/>
      <c r="I715" s="6"/>
      <c r="J715" s="4"/>
    </row>
    <row r="716">
      <c r="A716" s="4"/>
      <c r="B716" s="4"/>
      <c r="C716" s="5"/>
      <c r="D716" s="5"/>
      <c r="E716" s="4"/>
      <c r="F716" s="4"/>
      <c r="G716" s="4"/>
      <c r="H716" s="4"/>
      <c r="I716" s="6"/>
      <c r="J716" s="4"/>
    </row>
    <row r="717">
      <c r="A717" s="4"/>
      <c r="B717" s="4"/>
      <c r="C717" s="5"/>
      <c r="D717" s="5"/>
      <c r="E717" s="4"/>
      <c r="F717" s="4"/>
      <c r="G717" s="4"/>
      <c r="H717" s="4"/>
      <c r="I717" s="6"/>
      <c r="J717" s="4"/>
    </row>
    <row r="718">
      <c r="A718" s="4"/>
      <c r="B718" s="4"/>
      <c r="C718" s="5"/>
      <c r="D718" s="5"/>
      <c r="E718" s="4"/>
      <c r="F718" s="4"/>
      <c r="G718" s="4"/>
      <c r="H718" s="4"/>
      <c r="I718" s="6"/>
      <c r="J718" s="4"/>
    </row>
    <row r="719">
      <c r="A719" s="4"/>
      <c r="B719" s="4"/>
      <c r="C719" s="5"/>
      <c r="D719" s="5"/>
      <c r="E719" s="4"/>
      <c r="F719" s="4"/>
      <c r="G719" s="4"/>
      <c r="H719" s="4"/>
      <c r="I719" s="6"/>
      <c r="J719" s="4"/>
    </row>
    <row r="720">
      <c r="A720" s="4"/>
      <c r="B720" s="4"/>
      <c r="C720" s="5"/>
      <c r="D720" s="5"/>
      <c r="E720" s="4"/>
      <c r="F720" s="4"/>
      <c r="G720" s="4"/>
      <c r="H720" s="4"/>
      <c r="I720" s="6"/>
      <c r="J720" s="4"/>
    </row>
    <row r="721">
      <c r="A721" s="4"/>
      <c r="B721" s="4"/>
      <c r="C721" s="5"/>
      <c r="D721" s="5"/>
      <c r="E721" s="4"/>
      <c r="F721" s="4"/>
      <c r="G721" s="4"/>
      <c r="H721" s="4"/>
      <c r="I721" s="6"/>
      <c r="J721" s="4"/>
    </row>
    <row r="722">
      <c r="A722" s="4"/>
      <c r="B722" s="4"/>
      <c r="C722" s="5"/>
      <c r="D722" s="5"/>
      <c r="E722" s="4"/>
      <c r="F722" s="4"/>
      <c r="G722" s="4"/>
      <c r="H722" s="4"/>
      <c r="I722" s="6"/>
      <c r="J722" s="4"/>
    </row>
    <row r="723">
      <c r="A723" s="4"/>
      <c r="B723" s="4"/>
      <c r="C723" s="5"/>
      <c r="D723" s="5"/>
      <c r="E723" s="4"/>
      <c r="F723" s="4"/>
      <c r="G723" s="4"/>
      <c r="H723" s="4"/>
      <c r="I723" s="6"/>
      <c r="J723" s="4"/>
    </row>
    <row r="724">
      <c r="A724" s="4"/>
      <c r="B724" s="4"/>
      <c r="C724" s="5"/>
      <c r="D724" s="5"/>
      <c r="E724" s="4"/>
      <c r="F724" s="4"/>
      <c r="G724" s="4"/>
      <c r="H724" s="4"/>
      <c r="I724" s="6"/>
      <c r="J724" s="4"/>
    </row>
    <row r="725">
      <c r="A725" s="4"/>
      <c r="B725" s="4"/>
      <c r="C725" s="5"/>
      <c r="D725" s="5"/>
      <c r="E725" s="4"/>
      <c r="F725" s="4"/>
      <c r="G725" s="4"/>
      <c r="H725" s="4"/>
      <c r="I725" s="6"/>
      <c r="J725" s="4"/>
    </row>
    <row r="726">
      <c r="A726" s="4"/>
      <c r="B726" s="4"/>
      <c r="C726" s="5"/>
      <c r="D726" s="5"/>
      <c r="E726" s="4"/>
      <c r="F726" s="4"/>
      <c r="G726" s="4"/>
      <c r="H726" s="4"/>
      <c r="I726" s="6"/>
      <c r="J726" s="4"/>
    </row>
    <row r="727">
      <c r="A727" s="4"/>
      <c r="B727" s="4"/>
      <c r="C727" s="5"/>
      <c r="D727" s="5"/>
      <c r="E727" s="4"/>
      <c r="F727" s="4"/>
      <c r="G727" s="4"/>
      <c r="H727" s="4"/>
      <c r="I727" s="6"/>
      <c r="J727" s="4"/>
    </row>
    <row r="728">
      <c r="A728" s="4"/>
      <c r="B728" s="4"/>
      <c r="C728" s="5"/>
      <c r="D728" s="5"/>
      <c r="E728" s="4"/>
      <c r="F728" s="4"/>
      <c r="G728" s="4"/>
      <c r="H728" s="4"/>
      <c r="I728" s="6"/>
      <c r="J728" s="4"/>
    </row>
    <row r="729">
      <c r="A729" s="4"/>
      <c r="B729" s="4"/>
      <c r="C729" s="5"/>
      <c r="D729" s="5"/>
      <c r="E729" s="4"/>
      <c r="F729" s="4"/>
      <c r="G729" s="4"/>
      <c r="H729" s="4"/>
      <c r="I729" s="6"/>
      <c r="J729" s="4"/>
    </row>
    <row r="730">
      <c r="A730" s="4"/>
      <c r="B730" s="4"/>
      <c r="C730" s="5"/>
      <c r="D730" s="5"/>
      <c r="E730" s="4"/>
      <c r="F730" s="4"/>
      <c r="G730" s="4"/>
      <c r="H730" s="4"/>
      <c r="I730" s="6"/>
      <c r="J730" s="4"/>
    </row>
    <row r="731">
      <c r="A731" s="4"/>
      <c r="B731" s="4"/>
      <c r="C731" s="5"/>
      <c r="D731" s="5"/>
      <c r="E731" s="4"/>
      <c r="F731" s="4"/>
      <c r="G731" s="4"/>
      <c r="H731" s="4"/>
      <c r="I731" s="6"/>
      <c r="J731" s="4"/>
    </row>
    <row r="732">
      <c r="A732" s="4"/>
      <c r="B732" s="4"/>
      <c r="C732" s="5"/>
      <c r="D732" s="5"/>
      <c r="E732" s="4"/>
      <c r="F732" s="4"/>
      <c r="G732" s="4"/>
      <c r="H732" s="4"/>
      <c r="I732" s="6"/>
      <c r="J732" s="4"/>
    </row>
    <row r="733">
      <c r="A733" s="4"/>
      <c r="B733" s="4"/>
      <c r="C733" s="5"/>
      <c r="D733" s="5"/>
      <c r="E733" s="4"/>
      <c r="F733" s="4"/>
      <c r="G733" s="4"/>
      <c r="H733" s="4"/>
      <c r="I733" s="6"/>
      <c r="J733" s="4"/>
    </row>
    <row r="734">
      <c r="A734" s="4"/>
      <c r="B734" s="4"/>
      <c r="C734" s="5"/>
      <c r="D734" s="5"/>
      <c r="E734" s="4"/>
      <c r="F734" s="4"/>
      <c r="G734" s="4"/>
      <c r="H734" s="4"/>
      <c r="I734" s="6"/>
      <c r="J734" s="4"/>
    </row>
    <row r="735">
      <c r="A735" s="4"/>
      <c r="B735" s="4"/>
      <c r="C735" s="5"/>
      <c r="D735" s="5"/>
      <c r="E735" s="4"/>
      <c r="F735" s="4"/>
      <c r="G735" s="4"/>
      <c r="H735" s="4"/>
      <c r="I735" s="6"/>
      <c r="J735" s="4"/>
    </row>
    <row r="736">
      <c r="A736" s="4"/>
      <c r="B736" s="4"/>
      <c r="C736" s="5"/>
      <c r="D736" s="5"/>
      <c r="E736" s="4"/>
      <c r="F736" s="4"/>
      <c r="G736" s="4"/>
      <c r="H736" s="4"/>
      <c r="I736" s="6"/>
      <c r="J736" s="4"/>
    </row>
    <row r="737">
      <c r="A737" s="4"/>
      <c r="B737" s="4"/>
      <c r="C737" s="5"/>
      <c r="D737" s="5"/>
      <c r="E737" s="4"/>
      <c r="F737" s="4"/>
      <c r="G737" s="4"/>
      <c r="H737" s="4"/>
      <c r="I737" s="6"/>
      <c r="J737" s="4"/>
    </row>
    <row r="738">
      <c r="A738" s="4"/>
      <c r="B738" s="4"/>
      <c r="C738" s="5"/>
      <c r="D738" s="5"/>
      <c r="E738" s="4"/>
      <c r="F738" s="4"/>
      <c r="G738" s="4"/>
      <c r="H738" s="4"/>
      <c r="I738" s="6"/>
      <c r="J738" s="4"/>
    </row>
    <row r="739">
      <c r="A739" s="4"/>
      <c r="B739" s="4"/>
      <c r="C739" s="5"/>
      <c r="D739" s="5"/>
      <c r="E739" s="4"/>
      <c r="F739" s="4"/>
      <c r="G739" s="4"/>
      <c r="H739" s="4"/>
      <c r="I739" s="6"/>
      <c r="J739" s="4"/>
    </row>
    <row r="740">
      <c r="A740" s="4"/>
      <c r="B740" s="4"/>
      <c r="C740" s="5"/>
      <c r="D740" s="5"/>
      <c r="E740" s="4"/>
      <c r="F740" s="4"/>
      <c r="G740" s="4"/>
      <c r="H740" s="4"/>
      <c r="I740" s="6"/>
      <c r="J740" s="4"/>
    </row>
    <row r="741">
      <c r="A741" s="4"/>
      <c r="B741" s="4"/>
      <c r="C741" s="5"/>
      <c r="D741" s="5"/>
      <c r="E741" s="4"/>
      <c r="F741" s="4"/>
      <c r="G741" s="4"/>
      <c r="H741" s="4"/>
      <c r="I741" s="6"/>
      <c r="J741" s="4"/>
    </row>
    <row r="742">
      <c r="A742" s="4"/>
      <c r="B742" s="4"/>
      <c r="C742" s="5"/>
      <c r="D742" s="5"/>
      <c r="E742" s="4"/>
      <c r="F742" s="4"/>
      <c r="G742" s="4"/>
      <c r="H742" s="4"/>
      <c r="I742" s="6"/>
      <c r="J742" s="4"/>
    </row>
    <row r="743">
      <c r="A743" s="4"/>
      <c r="B743" s="4"/>
      <c r="C743" s="5"/>
      <c r="D743" s="5"/>
      <c r="E743" s="4"/>
      <c r="F743" s="4"/>
      <c r="G743" s="4"/>
      <c r="H743" s="4"/>
      <c r="I743" s="6"/>
      <c r="J743" s="4"/>
    </row>
    <row r="744">
      <c r="A744" s="4"/>
      <c r="B744" s="4"/>
      <c r="C744" s="5"/>
      <c r="D744" s="5"/>
      <c r="E744" s="4"/>
      <c r="F744" s="4"/>
      <c r="G744" s="4"/>
      <c r="H744" s="4"/>
      <c r="I744" s="6"/>
      <c r="J744" s="4"/>
    </row>
    <row r="745">
      <c r="A745" s="4"/>
      <c r="B745" s="4"/>
      <c r="C745" s="5"/>
      <c r="D745" s="5"/>
      <c r="E745" s="4"/>
      <c r="F745" s="4"/>
      <c r="G745" s="4"/>
      <c r="H745" s="4"/>
      <c r="I745" s="6"/>
      <c r="J745" s="4"/>
    </row>
    <row r="746">
      <c r="A746" s="4"/>
      <c r="B746" s="4"/>
      <c r="C746" s="5"/>
      <c r="D746" s="5"/>
      <c r="E746" s="4"/>
      <c r="F746" s="4"/>
      <c r="G746" s="4"/>
      <c r="H746" s="4"/>
      <c r="I746" s="6"/>
      <c r="J746" s="4"/>
    </row>
    <row r="747">
      <c r="A747" s="4"/>
      <c r="B747" s="4"/>
      <c r="C747" s="5"/>
      <c r="D747" s="5"/>
      <c r="E747" s="4"/>
      <c r="F747" s="4"/>
      <c r="G747" s="4"/>
      <c r="H747" s="4"/>
      <c r="I747" s="6"/>
      <c r="J747" s="4"/>
    </row>
    <row r="748">
      <c r="A748" s="4"/>
      <c r="B748" s="4"/>
      <c r="C748" s="5"/>
      <c r="D748" s="5"/>
      <c r="E748" s="4"/>
      <c r="F748" s="4"/>
      <c r="G748" s="4"/>
      <c r="H748" s="4"/>
      <c r="I748" s="6"/>
      <c r="J748" s="4"/>
    </row>
    <row r="749">
      <c r="A749" s="4"/>
      <c r="B749" s="4"/>
      <c r="C749" s="5"/>
      <c r="D749" s="5"/>
      <c r="E749" s="4"/>
      <c r="F749" s="4"/>
      <c r="G749" s="4"/>
      <c r="H749" s="4"/>
      <c r="I749" s="6"/>
      <c r="J749" s="4"/>
    </row>
    <row r="750">
      <c r="A750" s="4"/>
      <c r="B750" s="4"/>
      <c r="C750" s="5"/>
      <c r="D750" s="5"/>
      <c r="E750" s="4"/>
      <c r="F750" s="4"/>
      <c r="G750" s="4"/>
      <c r="H750" s="4"/>
      <c r="I750" s="6"/>
      <c r="J750" s="4"/>
    </row>
    <row r="751">
      <c r="A751" s="4"/>
      <c r="B751" s="4"/>
      <c r="C751" s="5"/>
      <c r="D751" s="5"/>
      <c r="E751" s="4"/>
      <c r="F751" s="4"/>
      <c r="G751" s="4"/>
      <c r="H751" s="4"/>
      <c r="I751" s="6"/>
      <c r="J751" s="4"/>
    </row>
    <row r="752">
      <c r="A752" s="4"/>
      <c r="B752" s="4"/>
      <c r="C752" s="5"/>
      <c r="D752" s="5"/>
      <c r="E752" s="4"/>
      <c r="F752" s="4"/>
      <c r="G752" s="4"/>
      <c r="H752" s="4"/>
      <c r="I752" s="6"/>
      <c r="J752" s="4"/>
    </row>
    <row r="753">
      <c r="A753" s="4"/>
      <c r="B753" s="4"/>
      <c r="C753" s="5"/>
      <c r="D753" s="5"/>
      <c r="E753" s="4"/>
      <c r="F753" s="4"/>
      <c r="G753" s="4"/>
      <c r="H753" s="4"/>
      <c r="I753" s="6"/>
      <c r="J753" s="4"/>
    </row>
    <row r="754">
      <c r="A754" s="4"/>
      <c r="B754" s="4"/>
      <c r="C754" s="5"/>
      <c r="D754" s="5"/>
      <c r="E754" s="4"/>
      <c r="F754" s="4"/>
      <c r="G754" s="4"/>
      <c r="H754" s="4"/>
      <c r="I754" s="6"/>
      <c r="J754" s="4"/>
    </row>
    <row r="755">
      <c r="A755" s="4"/>
      <c r="B755" s="4"/>
      <c r="C755" s="5"/>
      <c r="D755" s="5"/>
      <c r="E755" s="4"/>
      <c r="F755" s="4"/>
      <c r="G755" s="4"/>
      <c r="H755" s="4"/>
      <c r="I755" s="6"/>
      <c r="J755" s="4"/>
    </row>
    <row r="756">
      <c r="A756" s="4"/>
      <c r="B756" s="4"/>
      <c r="C756" s="5"/>
      <c r="D756" s="5"/>
      <c r="E756" s="4"/>
      <c r="F756" s="4"/>
      <c r="G756" s="4"/>
      <c r="H756" s="4"/>
      <c r="I756" s="6"/>
      <c r="J756" s="4"/>
    </row>
    <row r="757">
      <c r="A757" s="4"/>
      <c r="B757" s="4"/>
      <c r="C757" s="5"/>
      <c r="D757" s="5"/>
      <c r="E757" s="4"/>
      <c r="F757" s="4"/>
      <c r="G757" s="4"/>
      <c r="H757" s="4"/>
      <c r="I757" s="6"/>
      <c r="J757" s="4"/>
    </row>
    <row r="758">
      <c r="A758" s="4"/>
      <c r="B758" s="4"/>
      <c r="C758" s="5"/>
      <c r="D758" s="5"/>
      <c r="E758" s="4"/>
      <c r="F758" s="4"/>
      <c r="G758" s="4"/>
      <c r="H758" s="4"/>
      <c r="I758" s="6"/>
      <c r="J758" s="4"/>
    </row>
    <row r="759">
      <c r="A759" s="4"/>
      <c r="B759" s="4"/>
      <c r="C759" s="5"/>
      <c r="D759" s="5"/>
      <c r="E759" s="4"/>
      <c r="F759" s="4"/>
      <c r="G759" s="4"/>
      <c r="H759" s="4"/>
      <c r="I759" s="6"/>
      <c r="J759" s="4"/>
    </row>
    <row r="760">
      <c r="A760" s="4"/>
      <c r="B760" s="4"/>
      <c r="C760" s="5"/>
      <c r="D760" s="5"/>
      <c r="E760" s="4"/>
      <c r="F760" s="4"/>
      <c r="G760" s="4"/>
      <c r="H760" s="4"/>
      <c r="I760" s="6"/>
      <c r="J760" s="4"/>
    </row>
    <row r="761">
      <c r="A761" s="4"/>
      <c r="B761" s="4"/>
      <c r="C761" s="5"/>
      <c r="D761" s="5"/>
      <c r="E761" s="4"/>
      <c r="F761" s="4"/>
      <c r="G761" s="4"/>
      <c r="H761" s="4"/>
      <c r="I761" s="6"/>
      <c r="J761" s="4"/>
    </row>
    <row r="762">
      <c r="A762" s="4"/>
      <c r="B762" s="4"/>
      <c r="C762" s="5"/>
      <c r="D762" s="5"/>
      <c r="E762" s="4"/>
      <c r="F762" s="4"/>
      <c r="G762" s="4"/>
      <c r="H762" s="4"/>
      <c r="I762" s="6"/>
      <c r="J762" s="4"/>
    </row>
    <row r="763">
      <c r="A763" s="4"/>
      <c r="B763" s="4"/>
      <c r="C763" s="5"/>
      <c r="D763" s="5"/>
      <c r="E763" s="4"/>
      <c r="F763" s="4"/>
      <c r="G763" s="4"/>
      <c r="H763" s="4"/>
      <c r="I763" s="6"/>
      <c r="J763" s="4"/>
    </row>
    <row r="764">
      <c r="A764" s="4"/>
      <c r="B764" s="4"/>
      <c r="C764" s="5"/>
      <c r="D764" s="5"/>
      <c r="E764" s="4"/>
      <c r="F764" s="4"/>
      <c r="G764" s="4"/>
      <c r="H764" s="4"/>
      <c r="I764" s="6"/>
      <c r="J764" s="4"/>
    </row>
    <row r="765">
      <c r="A765" s="4"/>
      <c r="B765" s="4"/>
      <c r="C765" s="5"/>
      <c r="D765" s="5"/>
      <c r="E765" s="4"/>
      <c r="F765" s="4"/>
      <c r="G765" s="4"/>
      <c r="H765" s="4"/>
      <c r="I765" s="6"/>
      <c r="J765" s="4"/>
    </row>
    <row r="766">
      <c r="A766" s="4"/>
      <c r="B766" s="4"/>
      <c r="C766" s="5"/>
      <c r="D766" s="5"/>
      <c r="E766" s="4"/>
      <c r="F766" s="4"/>
      <c r="G766" s="4"/>
      <c r="H766" s="4"/>
      <c r="I766" s="6"/>
      <c r="J766" s="4"/>
    </row>
    <row r="767">
      <c r="A767" s="4"/>
      <c r="B767" s="4"/>
      <c r="C767" s="5"/>
      <c r="D767" s="5"/>
      <c r="E767" s="4"/>
      <c r="F767" s="4"/>
      <c r="G767" s="4"/>
      <c r="H767" s="4"/>
      <c r="I767" s="6"/>
      <c r="J767" s="4"/>
    </row>
    <row r="768">
      <c r="A768" s="4"/>
      <c r="B768" s="4"/>
      <c r="C768" s="5"/>
      <c r="D768" s="5"/>
      <c r="E768" s="4"/>
      <c r="F768" s="4"/>
      <c r="G768" s="4"/>
      <c r="H768" s="4"/>
      <c r="I768" s="6"/>
      <c r="J768" s="4"/>
    </row>
    <row r="769">
      <c r="A769" s="4"/>
      <c r="B769" s="4"/>
      <c r="C769" s="5"/>
      <c r="D769" s="5"/>
      <c r="E769" s="4"/>
      <c r="F769" s="4"/>
      <c r="G769" s="4"/>
      <c r="H769" s="4"/>
      <c r="I769" s="6"/>
      <c r="J769" s="4"/>
    </row>
    <row r="770">
      <c r="A770" s="4"/>
      <c r="B770" s="4"/>
      <c r="C770" s="5"/>
      <c r="D770" s="5"/>
      <c r="E770" s="4"/>
      <c r="F770" s="4"/>
      <c r="G770" s="4"/>
      <c r="H770" s="4"/>
      <c r="I770" s="6"/>
      <c r="J770" s="4"/>
    </row>
    <row r="771">
      <c r="A771" s="4"/>
      <c r="B771" s="4"/>
      <c r="C771" s="5"/>
      <c r="D771" s="5"/>
      <c r="E771" s="4"/>
      <c r="F771" s="4"/>
      <c r="G771" s="4"/>
      <c r="H771" s="4"/>
      <c r="I771" s="6"/>
      <c r="J771" s="4"/>
    </row>
    <row r="772">
      <c r="A772" s="4"/>
      <c r="B772" s="4"/>
      <c r="C772" s="5"/>
      <c r="D772" s="5"/>
      <c r="E772" s="4"/>
      <c r="F772" s="4"/>
      <c r="G772" s="4"/>
      <c r="H772" s="4"/>
      <c r="I772" s="6"/>
      <c r="J772" s="4"/>
    </row>
    <row r="773">
      <c r="A773" s="4"/>
      <c r="B773" s="4"/>
      <c r="C773" s="5"/>
      <c r="D773" s="5"/>
      <c r="E773" s="4"/>
      <c r="F773" s="4"/>
      <c r="G773" s="4"/>
      <c r="H773" s="4"/>
      <c r="I773" s="6"/>
      <c r="J773" s="4"/>
    </row>
    <row r="774">
      <c r="A774" s="4"/>
      <c r="B774" s="4"/>
      <c r="C774" s="5"/>
      <c r="D774" s="5"/>
      <c r="E774" s="4"/>
      <c r="F774" s="4"/>
      <c r="G774" s="4"/>
      <c r="H774" s="4"/>
      <c r="I774" s="6"/>
      <c r="J774" s="4"/>
    </row>
    <row r="775">
      <c r="A775" s="4"/>
      <c r="B775" s="4"/>
      <c r="C775" s="5"/>
      <c r="D775" s="5"/>
      <c r="E775" s="4"/>
      <c r="F775" s="4"/>
      <c r="G775" s="4"/>
      <c r="H775" s="4"/>
      <c r="I775" s="6"/>
      <c r="J775" s="4"/>
    </row>
    <row r="776">
      <c r="A776" s="4"/>
      <c r="B776" s="4"/>
      <c r="C776" s="5"/>
      <c r="D776" s="5"/>
      <c r="E776" s="4"/>
      <c r="F776" s="4"/>
      <c r="G776" s="4"/>
      <c r="H776" s="4"/>
      <c r="I776" s="6"/>
      <c r="J776" s="4"/>
    </row>
    <row r="777">
      <c r="A777" s="4"/>
      <c r="B777" s="4"/>
      <c r="C777" s="5"/>
      <c r="D777" s="5"/>
      <c r="E777" s="4"/>
      <c r="F777" s="4"/>
      <c r="G777" s="4"/>
      <c r="H777" s="4"/>
      <c r="I777" s="6"/>
      <c r="J777" s="4"/>
    </row>
    <row r="778">
      <c r="A778" s="4"/>
      <c r="B778" s="4"/>
      <c r="C778" s="5"/>
      <c r="D778" s="5"/>
      <c r="E778" s="4"/>
      <c r="F778" s="4"/>
      <c r="G778" s="4"/>
      <c r="H778" s="4"/>
      <c r="I778" s="6"/>
      <c r="J778" s="4"/>
    </row>
    <row r="779">
      <c r="A779" s="4"/>
      <c r="B779" s="4"/>
      <c r="C779" s="5"/>
      <c r="D779" s="5"/>
      <c r="E779" s="4"/>
      <c r="F779" s="4"/>
      <c r="G779" s="4"/>
      <c r="H779" s="4"/>
      <c r="I779" s="6"/>
      <c r="J779" s="4"/>
    </row>
    <row r="780">
      <c r="A780" s="4"/>
      <c r="B780" s="4"/>
      <c r="C780" s="5"/>
      <c r="D780" s="5"/>
      <c r="E780" s="4"/>
      <c r="F780" s="4"/>
      <c r="G780" s="4"/>
      <c r="H780" s="4"/>
      <c r="I780" s="6"/>
      <c r="J780" s="4"/>
    </row>
    <row r="781">
      <c r="A781" s="4"/>
      <c r="B781" s="4"/>
      <c r="C781" s="5"/>
      <c r="D781" s="5"/>
      <c r="E781" s="4"/>
      <c r="F781" s="4"/>
      <c r="G781" s="4"/>
      <c r="H781" s="4"/>
      <c r="I781" s="6"/>
      <c r="J781" s="4"/>
    </row>
    <row r="782">
      <c r="A782" s="4"/>
      <c r="B782" s="4"/>
      <c r="C782" s="5"/>
      <c r="D782" s="5"/>
      <c r="E782" s="4"/>
      <c r="F782" s="4"/>
      <c r="G782" s="4"/>
      <c r="H782" s="4"/>
      <c r="I782" s="6"/>
      <c r="J782" s="4"/>
    </row>
    <row r="783">
      <c r="A783" s="4"/>
      <c r="B783" s="4"/>
      <c r="C783" s="5"/>
      <c r="D783" s="5"/>
      <c r="E783" s="4"/>
      <c r="F783" s="4"/>
      <c r="G783" s="4"/>
      <c r="H783" s="4"/>
      <c r="I783" s="6"/>
      <c r="J783" s="4"/>
    </row>
    <row r="784">
      <c r="A784" s="4"/>
      <c r="B784" s="4"/>
      <c r="C784" s="5"/>
      <c r="D784" s="5"/>
      <c r="E784" s="4"/>
      <c r="F784" s="4"/>
      <c r="G784" s="4"/>
      <c r="H784" s="4"/>
      <c r="I784" s="6"/>
      <c r="J784" s="4"/>
    </row>
    <row r="785">
      <c r="A785" s="4"/>
      <c r="B785" s="4"/>
      <c r="C785" s="5"/>
      <c r="D785" s="5"/>
      <c r="E785" s="4"/>
      <c r="F785" s="4"/>
      <c r="G785" s="4"/>
      <c r="H785" s="4"/>
      <c r="I785" s="6"/>
      <c r="J785" s="4"/>
    </row>
    <row r="786">
      <c r="A786" s="4"/>
      <c r="B786" s="4"/>
      <c r="C786" s="5"/>
      <c r="D786" s="5"/>
      <c r="E786" s="4"/>
      <c r="F786" s="4"/>
      <c r="G786" s="4"/>
      <c r="H786" s="4"/>
      <c r="I786" s="6"/>
      <c r="J786" s="4"/>
    </row>
    <row r="787">
      <c r="A787" s="4"/>
      <c r="B787" s="4"/>
      <c r="C787" s="5"/>
      <c r="D787" s="5"/>
      <c r="E787" s="4"/>
      <c r="F787" s="4"/>
      <c r="G787" s="4"/>
      <c r="H787" s="4"/>
      <c r="I787" s="6"/>
      <c r="J787" s="4"/>
    </row>
    <row r="788">
      <c r="A788" s="4"/>
      <c r="B788" s="4"/>
      <c r="C788" s="5"/>
      <c r="D788" s="5"/>
      <c r="E788" s="4"/>
      <c r="F788" s="4"/>
      <c r="G788" s="4"/>
      <c r="H788" s="4"/>
      <c r="I788" s="6"/>
      <c r="J788" s="4"/>
    </row>
    <row r="789">
      <c r="A789" s="4"/>
      <c r="B789" s="4"/>
      <c r="C789" s="5"/>
      <c r="D789" s="5"/>
      <c r="E789" s="4"/>
      <c r="F789" s="4"/>
      <c r="G789" s="4"/>
      <c r="H789" s="4"/>
      <c r="I789" s="6"/>
      <c r="J789" s="4"/>
    </row>
    <row r="790">
      <c r="A790" s="4"/>
      <c r="B790" s="4"/>
      <c r="C790" s="5"/>
      <c r="D790" s="5"/>
      <c r="E790" s="4"/>
      <c r="F790" s="4"/>
      <c r="G790" s="4"/>
      <c r="H790" s="4"/>
      <c r="I790" s="6"/>
      <c r="J790" s="4"/>
    </row>
    <row r="791">
      <c r="A791" s="4"/>
      <c r="B791" s="4"/>
      <c r="C791" s="5"/>
      <c r="D791" s="5"/>
      <c r="E791" s="4"/>
      <c r="F791" s="4"/>
      <c r="G791" s="4"/>
      <c r="H791" s="4"/>
      <c r="I791" s="6"/>
      <c r="J791" s="4"/>
    </row>
    <row r="792">
      <c r="A792" s="4"/>
      <c r="B792" s="4"/>
      <c r="C792" s="5"/>
      <c r="D792" s="5"/>
      <c r="E792" s="4"/>
      <c r="F792" s="4"/>
      <c r="G792" s="4"/>
      <c r="H792" s="4"/>
      <c r="I792" s="6"/>
      <c r="J792" s="4"/>
    </row>
    <row r="793">
      <c r="A793" s="4"/>
      <c r="B793" s="4"/>
      <c r="C793" s="5"/>
      <c r="D793" s="5"/>
      <c r="E793" s="4"/>
      <c r="F793" s="4"/>
      <c r="G793" s="4"/>
      <c r="H793" s="4"/>
      <c r="I793" s="6"/>
      <c r="J793" s="4"/>
    </row>
    <row r="794">
      <c r="A794" s="4"/>
      <c r="B794" s="4"/>
      <c r="C794" s="5"/>
      <c r="D794" s="5"/>
      <c r="E794" s="4"/>
      <c r="F794" s="4"/>
      <c r="G794" s="4"/>
      <c r="H794" s="4"/>
      <c r="I794" s="6"/>
      <c r="J794" s="4"/>
    </row>
    <row r="795">
      <c r="A795" s="4"/>
      <c r="B795" s="4"/>
      <c r="C795" s="5"/>
      <c r="D795" s="5"/>
      <c r="E795" s="4"/>
      <c r="F795" s="4"/>
      <c r="G795" s="4"/>
      <c r="H795" s="4"/>
      <c r="I795" s="6"/>
      <c r="J795" s="4"/>
    </row>
    <row r="796">
      <c r="A796" s="4"/>
      <c r="B796" s="4"/>
      <c r="C796" s="5"/>
      <c r="D796" s="5"/>
      <c r="E796" s="4"/>
      <c r="F796" s="4"/>
      <c r="G796" s="4"/>
      <c r="H796" s="4"/>
      <c r="I796" s="6"/>
      <c r="J796" s="4"/>
    </row>
    <row r="797">
      <c r="A797" s="4"/>
      <c r="B797" s="4"/>
      <c r="C797" s="5"/>
      <c r="D797" s="5"/>
      <c r="E797" s="4"/>
      <c r="F797" s="4"/>
      <c r="G797" s="4"/>
      <c r="H797" s="4"/>
      <c r="I797" s="6"/>
      <c r="J797" s="4"/>
    </row>
    <row r="798">
      <c r="A798" s="4"/>
      <c r="B798" s="4"/>
      <c r="C798" s="5"/>
      <c r="D798" s="5"/>
      <c r="E798" s="4"/>
      <c r="F798" s="4"/>
      <c r="G798" s="4"/>
      <c r="H798" s="4"/>
      <c r="I798" s="6"/>
      <c r="J798" s="4"/>
    </row>
    <row r="799">
      <c r="A799" s="4"/>
      <c r="B799" s="4"/>
      <c r="C799" s="5"/>
      <c r="D799" s="5"/>
      <c r="E799" s="4"/>
      <c r="F799" s="4"/>
      <c r="G799" s="4"/>
      <c r="H799" s="4"/>
      <c r="I799" s="6"/>
      <c r="J799" s="4"/>
    </row>
    <row r="800">
      <c r="A800" s="4"/>
      <c r="B800" s="4"/>
      <c r="C800" s="5"/>
      <c r="D800" s="5"/>
      <c r="E800" s="4"/>
      <c r="F800" s="4"/>
      <c r="G800" s="4"/>
      <c r="H800" s="4"/>
      <c r="I800" s="6"/>
      <c r="J800" s="4"/>
    </row>
    <row r="801">
      <c r="A801" s="4"/>
      <c r="B801" s="4"/>
      <c r="C801" s="5"/>
      <c r="D801" s="5"/>
      <c r="E801" s="4"/>
      <c r="F801" s="4"/>
      <c r="G801" s="4"/>
      <c r="H801" s="4"/>
      <c r="I801" s="6"/>
      <c r="J801" s="4"/>
    </row>
    <row r="802">
      <c r="A802" s="4"/>
      <c r="B802" s="4"/>
      <c r="C802" s="5"/>
      <c r="D802" s="5"/>
      <c r="E802" s="4"/>
      <c r="F802" s="4"/>
      <c r="G802" s="4"/>
      <c r="H802" s="4"/>
      <c r="I802" s="6"/>
      <c r="J802" s="4"/>
    </row>
    <row r="803">
      <c r="A803" s="4"/>
      <c r="B803" s="4"/>
      <c r="C803" s="5"/>
      <c r="D803" s="5"/>
      <c r="E803" s="4"/>
      <c r="F803" s="4"/>
      <c r="G803" s="4"/>
      <c r="H803" s="4"/>
      <c r="I803" s="6"/>
      <c r="J803" s="4"/>
    </row>
    <row r="804">
      <c r="A804" s="4"/>
      <c r="B804" s="4"/>
      <c r="C804" s="5"/>
      <c r="D804" s="5"/>
      <c r="E804" s="4"/>
      <c r="F804" s="4"/>
      <c r="G804" s="4"/>
      <c r="H804" s="4"/>
      <c r="I804" s="6"/>
      <c r="J804" s="4"/>
    </row>
    <row r="805">
      <c r="A805" s="4"/>
      <c r="B805" s="4"/>
      <c r="C805" s="5"/>
      <c r="D805" s="5"/>
      <c r="E805" s="4"/>
      <c r="F805" s="4"/>
      <c r="G805" s="4"/>
      <c r="H805" s="4"/>
      <c r="I805" s="6"/>
      <c r="J805" s="4"/>
    </row>
    <row r="806">
      <c r="A806" s="4"/>
      <c r="B806" s="4"/>
      <c r="C806" s="5"/>
      <c r="D806" s="5"/>
      <c r="E806" s="4"/>
      <c r="F806" s="4"/>
      <c r="G806" s="4"/>
      <c r="H806" s="4"/>
      <c r="I806" s="6"/>
      <c r="J806" s="4"/>
    </row>
    <row r="807">
      <c r="A807" s="4"/>
      <c r="B807" s="4"/>
      <c r="C807" s="5"/>
      <c r="D807" s="5"/>
      <c r="E807" s="4"/>
      <c r="F807" s="4"/>
      <c r="G807" s="4"/>
      <c r="H807" s="4"/>
      <c r="I807" s="6"/>
      <c r="J807" s="4"/>
    </row>
    <row r="808">
      <c r="A808" s="4"/>
      <c r="B808" s="4"/>
      <c r="C808" s="5"/>
      <c r="D808" s="5"/>
      <c r="E808" s="4"/>
      <c r="F808" s="4"/>
      <c r="G808" s="4"/>
      <c r="H808" s="4"/>
      <c r="I808" s="6"/>
      <c r="J808" s="4"/>
    </row>
    <row r="809">
      <c r="A809" s="4"/>
      <c r="B809" s="4"/>
      <c r="C809" s="5"/>
      <c r="D809" s="5"/>
      <c r="E809" s="4"/>
      <c r="F809" s="4"/>
      <c r="G809" s="4"/>
      <c r="H809" s="4"/>
      <c r="I809" s="6"/>
      <c r="J809" s="4"/>
    </row>
    <row r="810">
      <c r="A810" s="4"/>
      <c r="B810" s="4"/>
      <c r="C810" s="5"/>
      <c r="D810" s="5"/>
      <c r="E810" s="4"/>
      <c r="F810" s="4"/>
      <c r="G810" s="4"/>
      <c r="H810" s="4"/>
      <c r="I810" s="6"/>
      <c r="J810" s="4"/>
    </row>
    <row r="811">
      <c r="A811" s="4"/>
      <c r="B811" s="4"/>
      <c r="C811" s="5"/>
      <c r="D811" s="5"/>
      <c r="E811" s="4"/>
      <c r="F811" s="4"/>
      <c r="G811" s="4"/>
      <c r="H811" s="4"/>
      <c r="I811" s="6"/>
      <c r="J811" s="4"/>
    </row>
    <row r="812">
      <c r="A812" s="4"/>
      <c r="B812" s="4"/>
      <c r="C812" s="5"/>
      <c r="D812" s="5"/>
      <c r="E812" s="4"/>
      <c r="F812" s="4"/>
      <c r="G812" s="4"/>
      <c r="H812" s="4"/>
      <c r="I812" s="6"/>
      <c r="J812" s="4"/>
    </row>
    <row r="813">
      <c r="A813" s="4"/>
      <c r="B813" s="4"/>
      <c r="C813" s="5"/>
      <c r="D813" s="5"/>
      <c r="E813" s="4"/>
      <c r="F813" s="4"/>
      <c r="G813" s="4"/>
      <c r="H813" s="4"/>
      <c r="I813" s="6"/>
      <c r="J813" s="4"/>
    </row>
    <row r="814">
      <c r="A814" s="4"/>
      <c r="B814" s="4"/>
      <c r="C814" s="5"/>
      <c r="D814" s="5"/>
      <c r="E814" s="4"/>
      <c r="F814" s="4"/>
      <c r="G814" s="4"/>
      <c r="H814" s="4"/>
      <c r="I814" s="6"/>
      <c r="J814" s="4"/>
    </row>
    <row r="815">
      <c r="A815" s="4"/>
      <c r="B815" s="4"/>
      <c r="C815" s="5"/>
      <c r="D815" s="5"/>
      <c r="E815" s="4"/>
      <c r="F815" s="4"/>
      <c r="G815" s="4"/>
      <c r="H815" s="4"/>
      <c r="I815" s="6"/>
      <c r="J815" s="4"/>
    </row>
    <row r="816">
      <c r="A816" s="4"/>
      <c r="B816" s="4"/>
      <c r="C816" s="5"/>
      <c r="D816" s="5"/>
      <c r="E816" s="4"/>
      <c r="F816" s="4"/>
      <c r="G816" s="4"/>
      <c r="H816" s="4"/>
      <c r="I816" s="6"/>
      <c r="J816" s="4"/>
    </row>
    <row r="817">
      <c r="A817" s="4"/>
      <c r="B817" s="4"/>
      <c r="C817" s="5"/>
      <c r="D817" s="5"/>
      <c r="E817" s="4"/>
      <c r="F817" s="4"/>
      <c r="G817" s="4"/>
      <c r="H817" s="4"/>
      <c r="I817" s="6"/>
      <c r="J817" s="4"/>
    </row>
    <row r="818">
      <c r="A818" s="4"/>
      <c r="B818" s="4"/>
      <c r="C818" s="5"/>
      <c r="D818" s="5"/>
      <c r="E818" s="4"/>
      <c r="F818" s="4"/>
      <c r="G818" s="4"/>
      <c r="H818" s="4"/>
      <c r="I818" s="6"/>
      <c r="J818" s="4"/>
    </row>
    <row r="819">
      <c r="A819" s="4"/>
      <c r="B819" s="4"/>
      <c r="C819" s="5"/>
      <c r="D819" s="5"/>
      <c r="E819" s="4"/>
      <c r="F819" s="4"/>
      <c r="G819" s="4"/>
      <c r="H819" s="4"/>
      <c r="I819" s="6"/>
      <c r="J819" s="4"/>
    </row>
    <row r="820">
      <c r="A820" s="4"/>
      <c r="B820" s="4"/>
      <c r="C820" s="5"/>
      <c r="D820" s="5"/>
      <c r="E820" s="4"/>
      <c r="F820" s="4"/>
      <c r="G820" s="4"/>
      <c r="H820" s="4"/>
      <c r="I820" s="6"/>
      <c r="J820" s="4"/>
    </row>
    <row r="821">
      <c r="A821" s="4"/>
      <c r="B821" s="4"/>
      <c r="C821" s="5"/>
      <c r="D821" s="5"/>
      <c r="E821" s="4"/>
      <c r="F821" s="4"/>
      <c r="G821" s="4"/>
      <c r="H821" s="4"/>
      <c r="I821" s="6"/>
      <c r="J821" s="4"/>
    </row>
    <row r="822">
      <c r="A822" s="4"/>
      <c r="B822" s="4"/>
      <c r="C822" s="5"/>
      <c r="D822" s="5"/>
      <c r="E822" s="4"/>
      <c r="F822" s="4"/>
      <c r="G822" s="4"/>
      <c r="H822" s="4"/>
      <c r="I822" s="6"/>
      <c r="J822" s="4"/>
    </row>
    <row r="823">
      <c r="A823" s="4"/>
      <c r="B823" s="4"/>
      <c r="C823" s="5"/>
      <c r="D823" s="5"/>
      <c r="E823" s="4"/>
      <c r="F823" s="4"/>
      <c r="G823" s="4"/>
      <c r="H823" s="4"/>
      <c r="I823" s="6"/>
      <c r="J823" s="4"/>
    </row>
    <row r="824">
      <c r="A824" s="4"/>
      <c r="B824" s="4"/>
      <c r="C824" s="5"/>
      <c r="D824" s="5"/>
      <c r="E824" s="4"/>
      <c r="F824" s="4"/>
      <c r="G824" s="4"/>
      <c r="H824" s="4"/>
      <c r="I824" s="6"/>
      <c r="J824" s="4"/>
    </row>
    <row r="825">
      <c r="A825" s="4"/>
      <c r="B825" s="4"/>
      <c r="C825" s="5"/>
      <c r="D825" s="5"/>
      <c r="E825" s="4"/>
      <c r="F825" s="4"/>
      <c r="G825" s="4"/>
      <c r="H825" s="4"/>
      <c r="I825" s="6"/>
      <c r="J825" s="4"/>
    </row>
    <row r="826">
      <c r="A826" s="4"/>
      <c r="B826" s="4"/>
      <c r="C826" s="5"/>
      <c r="D826" s="5"/>
      <c r="E826" s="4"/>
      <c r="F826" s="4"/>
      <c r="G826" s="4"/>
      <c r="H826" s="4"/>
      <c r="I826" s="6"/>
      <c r="J826" s="4"/>
    </row>
    <row r="827">
      <c r="A827" s="4"/>
      <c r="B827" s="4"/>
      <c r="C827" s="5"/>
      <c r="D827" s="5"/>
      <c r="E827" s="4"/>
      <c r="F827" s="4"/>
      <c r="G827" s="4"/>
      <c r="H827" s="4"/>
      <c r="I827" s="6"/>
      <c r="J827" s="4"/>
    </row>
    <row r="828">
      <c r="A828" s="4"/>
      <c r="B828" s="4"/>
      <c r="C828" s="5"/>
      <c r="D828" s="5"/>
      <c r="E828" s="4"/>
      <c r="F828" s="4"/>
      <c r="G828" s="4"/>
      <c r="H828" s="4"/>
      <c r="I828" s="6"/>
      <c r="J828" s="4"/>
    </row>
    <row r="829">
      <c r="A829" s="4"/>
      <c r="B829" s="4"/>
      <c r="C829" s="5"/>
      <c r="D829" s="5"/>
      <c r="E829" s="4"/>
      <c r="F829" s="4"/>
      <c r="G829" s="4"/>
      <c r="H829" s="4"/>
      <c r="I829" s="6"/>
      <c r="J829" s="4"/>
    </row>
    <row r="830">
      <c r="A830" s="4"/>
      <c r="B830" s="4"/>
      <c r="C830" s="5"/>
      <c r="D830" s="5"/>
      <c r="E830" s="4"/>
      <c r="F830" s="4"/>
      <c r="G830" s="4"/>
      <c r="H830" s="4"/>
      <c r="I830" s="6"/>
      <c r="J830" s="4"/>
    </row>
    <row r="831">
      <c r="A831" s="4"/>
      <c r="B831" s="4"/>
      <c r="C831" s="5"/>
      <c r="D831" s="5"/>
      <c r="E831" s="4"/>
      <c r="F831" s="4"/>
      <c r="G831" s="4"/>
      <c r="H831" s="4"/>
      <c r="I831" s="6"/>
      <c r="J831" s="4"/>
    </row>
    <row r="832">
      <c r="A832" s="4"/>
      <c r="B832" s="4"/>
      <c r="C832" s="5"/>
      <c r="D832" s="5"/>
      <c r="E832" s="4"/>
      <c r="F832" s="4"/>
      <c r="G832" s="4"/>
      <c r="H832" s="4"/>
      <c r="I832" s="6"/>
      <c r="J832" s="4"/>
    </row>
    <row r="833">
      <c r="A833" s="4"/>
      <c r="B833" s="4"/>
      <c r="C833" s="5"/>
      <c r="D833" s="5"/>
      <c r="E833" s="4"/>
      <c r="F833" s="4"/>
      <c r="G833" s="4"/>
      <c r="H833" s="4"/>
      <c r="I833" s="6"/>
      <c r="J833" s="4"/>
    </row>
    <row r="834">
      <c r="A834" s="4"/>
      <c r="B834" s="4"/>
      <c r="C834" s="5"/>
      <c r="D834" s="5"/>
      <c r="E834" s="4"/>
      <c r="F834" s="4"/>
      <c r="G834" s="4"/>
      <c r="H834" s="4"/>
      <c r="I834" s="6"/>
      <c r="J834" s="4"/>
    </row>
    <row r="835">
      <c r="A835" s="4"/>
      <c r="B835" s="4"/>
      <c r="C835" s="5"/>
      <c r="D835" s="5"/>
      <c r="E835" s="4"/>
      <c r="F835" s="4"/>
      <c r="G835" s="4"/>
      <c r="H835" s="4"/>
      <c r="I835" s="6"/>
      <c r="J835" s="4"/>
    </row>
    <row r="836">
      <c r="A836" s="4"/>
      <c r="B836" s="4"/>
      <c r="C836" s="5"/>
      <c r="D836" s="5"/>
      <c r="E836" s="4"/>
      <c r="F836" s="4"/>
      <c r="G836" s="4"/>
      <c r="H836" s="4"/>
      <c r="I836" s="6"/>
      <c r="J836" s="4"/>
    </row>
    <row r="837">
      <c r="A837" s="4"/>
      <c r="B837" s="4"/>
      <c r="C837" s="5"/>
      <c r="D837" s="5"/>
      <c r="E837" s="4"/>
      <c r="F837" s="4"/>
      <c r="G837" s="4"/>
      <c r="H837" s="4"/>
      <c r="I837" s="6"/>
      <c r="J837" s="4"/>
    </row>
    <row r="838">
      <c r="A838" s="4"/>
      <c r="B838" s="4"/>
      <c r="C838" s="5"/>
      <c r="D838" s="5"/>
      <c r="E838" s="4"/>
      <c r="F838" s="4"/>
      <c r="G838" s="4"/>
      <c r="H838" s="4"/>
      <c r="I838" s="6"/>
      <c r="J838" s="4"/>
    </row>
    <row r="839">
      <c r="A839" s="4"/>
      <c r="B839" s="4"/>
      <c r="C839" s="5"/>
      <c r="D839" s="5"/>
      <c r="E839" s="4"/>
      <c r="F839" s="4"/>
      <c r="G839" s="4"/>
      <c r="H839" s="4"/>
      <c r="I839" s="6"/>
      <c r="J839" s="4"/>
    </row>
    <row r="840">
      <c r="A840" s="4"/>
      <c r="B840" s="4"/>
      <c r="C840" s="5"/>
      <c r="D840" s="5"/>
      <c r="E840" s="4"/>
      <c r="F840" s="4"/>
      <c r="G840" s="4"/>
      <c r="H840" s="4"/>
      <c r="I840" s="6"/>
      <c r="J840" s="4"/>
    </row>
    <row r="841">
      <c r="A841" s="4"/>
      <c r="B841" s="4"/>
      <c r="C841" s="5"/>
      <c r="D841" s="5"/>
      <c r="E841" s="4"/>
      <c r="F841" s="4"/>
      <c r="G841" s="4"/>
      <c r="H841" s="4"/>
      <c r="I841" s="6"/>
      <c r="J841" s="4"/>
    </row>
    <row r="842">
      <c r="A842" s="4"/>
      <c r="B842" s="4"/>
      <c r="C842" s="5"/>
      <c r="D842" s="5"/>
      <c r="E842" s="4"/>
      <c r="F842" s="4"/>
      <c r="G842" s="4"/>
      <c r="H842" s="4"/>
      <c r="I842" s="6"/>
      <c r="J842" s="4"/>
    </row>
    <row r="843">
      <c r="A843" s="4"/>
      <c r="B843" s="4"/>
      <c r="C843" s="5"/>
      <c r="D843" s="5"/>
      <c r="E843" s="4"/>
      <c r="F843" s="4"/>
      <c r="G843" s="4"/>
      <c r="H843" s="4"/>
      <c r="I843" s="6"/>
      <c r="J843" s="4"/>
    </row>
    <row r="844">
      <c r="A844" s="4"/>
      <c r="B844" s="4"/>
      <c r="C844" s="5"/>
      <c r="D844" s="5"/>
      <c r="E844" s="4"/>
      <c r="F844" s="4"/>
      <c r="G844" s="4"/>
      <c r="H844" s="4"/>
      <c r="I844" s="6"/>
      <c r="J844" s="4"/>
    </row>
    <row r="845">
      <c r="A845" s="4"/>
      <c r="B845" s="4"/>
      <c r="C845" s="5"/>
      <c r="D845" s="5"/>
      <c r="E845" s="4"/>
      <c r="F845" s="4"/>
      <c r="G845" s="4"/>
      <c r="H845" s="4"/>
      <c r="I845" s="6"/>
      <c r="J845" s="4"/>
    </row>
    <row r="846">
      <c r="A846" s="4"/>
      <c r="B846" s="4"/>
      <c r="C846" s="5"/>
      <c r="D846" s="5"/>
      <c r="E846" s="4"/>
      <c r="F846" s="4"/>
      <c r="G846" s="4"/>
      <c r="H846" s="4"/>
      <c r="I846" s="6"/>
      <c r="J846" s="4"/>
    </row>
    <row r="847">
      <c r="A847" s="4"/>
      <c r="B847" s="4"/>
      <c r="C847" s="5"/>
      <c r="D847" s="5"/>
      <c r="E847" s="4"/>
      <c r="F847" s="4"/>
      <c r="G847" s="4"/>
      <c r="H847" s="4"/>
      <c r="I847" s="6"/>
      <c r="J847" s="4"/>
    </row>
    <row r="848">
      <c r="A848" s="4"/>
      <c r="B848" s="4"/>
      <c r="C848" s="5"/>
      <c r="D848" s="5"/>
      <c r="E848" s="4"/>
      <c r="F848" s="4"/>
      <c r="G848" s="4"/>
      <c r="H848" s="4"/>
      <c r="I848" s="6"/>
      <c r="J848" s="4"/>
    </row>
    <row r="849">
      <c r="A849" s="4"/>
      <c r="B849" s="4"/>
      <c r="C849" s="5"/>
      <c r="D849" s="5"/>
      <c r="E849" s="4"/>
      <c r="F849" s="4"/>
      <c r="G849" s="4"/>
      <c r="H849" s="4"/>
      <c r="I849" s="6"/>
      <c r="J849" s="4"/>
    </row>
    <row r="850">
      <c r="A850" s="4"/>
      <c r="B850" s="4"/>
      <c r="C850" s="5"/>
      <c r="D850" s="5"/>
      <c r="E850" s="4"/>
      <c r="F850" s="4"/>
      <c r="G850" s="4"/>
      <c r="H850" s="4"/>
      <c r="I850" s="6"/>
      <c r="J850" s="4"/>
    </row>
    <row r="851">
      <c r="A851" s="4"/>
      <c r="B851" s="4"/>
      <c r="C851" s="5"/>
      <c r="D851" s="5"/>
      <c r="E851" s="4"/>
      <c r="F851" s="4"/>
      <c r="G851" s="4"/>
      <c r="H851" s="4"/>
      <c r="I851" s="6"/>
      <c r="J851" s="4"/>
    </row>
    <row r="852">
      <c r="A852" s="4"/>
      <c r="B852" s="4"/>
      <c r="C852" s="5"/>
      <c r="D852" s="5"/>
      <c r="E852" s="4"/>
      <c r="F852" s="4"/>
      <c r="G852" s="4"/>
      <c r="H852" s="4"/>
      <c r="I852" s="6"/>
      <c r="J852" s="4"/>
    </row>
    <row r="853">
      <c r="A853" s="4"/>
      <c r="B853" s="4"/>
      <c r="C853" s="5"/>
      <c r="D853" s="5"/>
      <c r="E853" s="4"/>
      <c r="F853" s="4"/>
      <c r="G853" s="4"/>
      <c r="H853" s="4"/>
      <c r="I853" s="6"/>
      <c r="J853" s="4"/>
    </row>
    <row r="854">
      <c r="A854" s="4"/>
      <c r="B854" s="4"/>
      <c r="C854" s="5"/>
      <c r="D854" s="5"/>
      <c r="E854" s="4"/>
      <c r="F854" s="4"/>
      <c r="G854" s="4"/>
      <c r="H854" s="4"/>
      <c r="I854" s="6"/>
      <c r="J854" s="4"/>
    </row>
    <row r="855">
      <c r="A855" s="4"/>
      <c r="B855" s="4"/>
      <c r="C855" s="5"/>
      <c r="D855" s="5"/>
      <c r="E855" s="4"/>
      <c r="F855" s="4"/>
      <c r="G855" s="4"/>
      <c r="H855" s="4"/>
      <c r="I855" s="6"/>
      <c r="J855" s="4"/>
    </row>
    <row r="856">
      <c r="A856" s="4"/>
      <c r="B856" s="4"/>
      <c r="C856" s="5"/>
      <c r="D856" s="5"/>
      <c r="E856" s="4"/>
      <c r="F856" s="4"/>
      <c r="G856" s="4"/>
      <c r="H856" s="4"/>
      <c r="I856" s="6"/>
      <c r="J856" s="4"/>
    </row>
    <row r="857">
      <c r="A857" s="4"/>
      <c r="B857" s="4"/>
      <c r="C857" s="5"/>
      <c r="D857" s="5"/>
      <c r="E857" s="4"/>
      <c r="F857" s="4"/>
      <c r="G857" s="4"/>
      <c r="H857" s="4"/>
      <c r="I857" s="6"/>
      <c r="J857" s="4"/>
    </row>
    <row r="858">
      <c r="A858" s="4"/>
      <c r="B858" s="4"/>
      <c r="C858" s="5"/>
      <c r="D858" s="5"/>
      <c r="E858" s="4"/>
      <c r="F858" s="4"/>
      <c r="G858" s="4"/>
      <c r="H858" s="4"/>
      <c r="I858" s="6"/>
      <c r="J858" s="4"/>
    </row>
    <row r="859">
      <c r="A859" s="4"/>
      <c r="B859" s="4"/>
      <c r="C859" s="5"/>
      <c r="D859" s="5"/>
      <c r="E859" s="4"/>
      <c r="F859" s="4"/>
      <c r="G859" s="4"/>
      <c r="H859" s="4"/>
      <c r="I859" s="6"/>
      <c r="J859" s="4"/>
    </row>
    <row r="860">
      <c r="A860" s="4"/>
      <c r="B860" s="4"/>
      <c r="C860" s="5"/>
      <c r="D860" s="5"/>
      <c r="E860" s="4"/>
      <c r="F860" s="4"/>
      <c r="G860" s="4"/>
      <c r="H860" s="4"/>
      <c r="I860" s="6"/>
      <c r="J860" s="4"/>
    </row>
    <row r="861">
      <c r="A861" s="4"/>
      <c r="B861" s="4"/>
      <c r="C861" s="5"/>
      <c r="D861" s="5"/>
      <c r="E861" s="4"/>
      <c r="F861" s="4"/>
      <c r="G861" s="4"/>
      <c r="H861" s="4"/>
      <c r="I861" s="6"/>
      <c r="J861" s="4"/>
    </row>
    <row r="862">
      <c r="A862" s="4"/>
      <c r="B862" s="4"/>
      <c r="C862" s="5"/>
      <c r="D862" s="5"/>
      <c r="E862" s="4"/>
      <c r="F862" s="4"/>
      <c r="G862" s="4"/>
      <c r="H862" s="4"/>
      <c r="I862" s="6"/>
      <c r="J862" s="4"/>
    </row>
    <row r="863">
      <c r="A863" s="4"/>
      <c r="B863" s="4"/>
      <c r="C863" s="5"/>
      <c r="D863" s="5"/>
      <c r="E863" s="4"/>
      <c r="F863" s="4"/>
      <c r="G863" s="4"/>
      <c r="H863" s="4"/>
      <c r="I863" s="6"/>
      <c r="J863" s="4"/>
    </row>
    <row r="864">
      <c r="A864" s="4"/>
      <c r="B864" s="4"/>
      <c r="C864" s="5"/>
      <c r="D864" s="5"/>
      <c r="E864" s="4"/>
      <c r="F864" s="4"/>
      <c r="G864" s="4"/>
      <c r="H864" s="4"/>
      <c r="I864" s="6"/>
      <c r="J864" s="4"/>
    </row>
    <row r="865">
      <c r="A865" s="4"/>
      <c r="B865" s="4"/>
      <c r="C865" s="5"/>
      <c r="D865" s="5"/>
      <c r="E865" s="4"/>
      <c r="F865" s="4"/>
      <c r="G865" s="4"/>
      <c r="H865" s="4"/>
      <c r="I865" s="6"/>
      <c r="J865" s="4"/>
    </row>
    <row r="866">
      <c r="A866" s="4"/>
      <c r="B866" s="4"/>
      <c r="C866" s="5"/>
      <c r="D866" s="5"/>
      <c r="E866" s="4"/>
      <c r="F866" s="4"/>
      <c r="G866" s="4"/>
      <c r="H866" s="4"/>
      <c r="I866" s="6"/>
      <c r="J866" s="4"/>
    </row>
    <row r="867">
      <c r="A867" s="4"/>
      <c r="B867" s="4"/>
      <c r="C867" s="5"/>
      <c r="D867" s="5"/>
      <c r="E867" s="4"/>
      <c r="F867" s="4"/>
      <c r="G867" s="4"/>
      <c r="H867" s="4"/>
      <c r="I867" s="6"/>
      <c r="J867" s="4"/>
    </row>
    <row r="868">
      <c r="A868" s="4"/>
      <c r="B868" s="4"/>
      <c r="C868" s="5"/>
      <c r="D868" s="5"/>
      <c r="E868" s="4"/>
      <c r="F868" s="4"/>
      <c r="G868" s="4"/>
      <c r="H868" s="4"/>
      <c r="I868" s="6"/>
      <c r="J868" s="4"/>
    </row>
    <row r="869">
      <c r="A869" s="4"/>
      <c r="B869" s="4"/>
      <c r="C869" s="5"/>
      <c r="D869" s="5"/>
      <c r="E869" s="4"/>
      <c r="F869" s="4"/>
      <c r="G869" s="4"/>
      <c r="H869" s="4"/>
      <c r="I869" s="6"/>
      <c r="J869" s="4"/>
    </row>
    <row r="870">
      <c r="A870" s="4"/>
      <c r="B870" s="4"/>
      <c r="C870" s="5"/>
      <c r="D870" s="5"/>
      <c r="E870" s="4"/>
      <c r="F870" s="4"/>
      <c r="G870" s="4"/>
      <c r="H870" s="4"/>
      <c r="I870" s="6"/>
      <c r="J870" s="4"/>
    </row>
    <row r="871">
      <c r="A871" s="4"/>
      <c r="B871" s="4"/>
      <c r="C871" s="5"/>
      <c r="D871" s="5"/>
      <c r="E871" s="4"/>
      <c r="F871" s="4"/>
      <c r="G871" s="4"/>
      <c r="H871" s="4"/>
      <c r="I871" s="6"/>
      <c r="J871" s="4"/>
    </row>
    <row r="872">
      <c r="A872" s="4"/>
      <c r="B872" s="4"/>
      <c r="C872" s="5"/>
      <c r="D872" s="5"/>
      <c r="E872" s="4"/>
      <c r="F872" s="4"/>
      <c r="G872" s="4"/>
      <c r="H872" s="4"/>
      <c r="I872" s="6"/>
      <c r="J872" s="4"/>
    </row>
    <row r="873">
      <c r="A873" s="4"/>
      <c r="B873" s="4"/>
      <c r="C873" s="5"/>
      <c r="D873" s="5"/>
      <c r="E873" s="4"/>
      <c r="F873" s="4"/>
      <c r="G873" s="4"/>
      <c r="H873" s="4"/>
      <c r="I873" s="6"/>
      <c r="J873" s="4"/>
    </row>
    <row r="874">
      <c r="A874" s="4"/>
      <c r="B874" s="4"/>
      <c r="C874" s="5"/>
      <c r="D874" s="5"/>
      <c r="E874" s="4"/>
      <c r="F874" s="4"/>
      <c r="G874" s="4"/>
      <c r="H874" s="4"/>
      <c r="I874" s="6"/>
      <c r="J874" s="4"/>
    </row>
    <row r="875">
      <c r="A875" s="4"/>
      <c r="B875" s="4"/>
      <c r="C875" s="5"/>
      <c r="D875" s="5"/>
      <c r="E875" s="4"/>
      <c r="F875" s="4"/>
      <c r="G875" s="4"/>
      <c r="H875" s="4"/>
      <c r="I875" s="6"/>
      <c r="J875" s="4"/>
    </row>
    <row r="876">
      <c r="A876" s="4"/>
      <c r="B876" s="4"/>
      <c r="C876" s="5"/>
      <c r="D876" s="5"/>
      <c r="E876" s="4"/>
      <c r="F876" s="4"/>
      <c r="G876" s="4"/>
      <c r="H876" s="4"/>
      <c r="I876" s="6"/>
      <c r="J876" s="4"/>
    </row>
    <row r="877">
      <c r="A877" s="4"/>
      <c r="B877" s="4"/>
      <c r="C877" s="5"/>
      <c r="D877" s="5"/>
      <c r="E877" s="4"/>
      <c r="F877" s="4"/>
      <c r="G877" s="4"/>
      <c r="H877" s="4"/>
      <c r="I877" s="6"/>
      <c r="J877" s="4"/>
    </row>
    <row r="878">
      <c r="A878" s="4"/>
      <c r="B878" s="4"/>
      <c r="C878" s="5"/>
      <c r="D878" s="5"/>
      <c r="E878" s="4"/>
      <c r="F878" s="4"/>
      <c r="G878" s="4"/>
      <c r="H878" s="4"/>
      <c r="I878" s="6"/>
      <c r="J878" s="4"/>
    </row>
    <row r="879">
      <c r="A879" s="4"/>
      <c r="B879" s="4"/>
      <c r="C879" s="5"/>
      <c r="D879" s="5"/>
      <c r="E879" s="4"/>
      <c r="F879" s="4"/>
      <c r="G879" s="4"/>
      <c r="H879" s="4"/>
      <c r="I879" s="6"/>
      <c r="J879" s="4"/>
    </row>
    <row r="880">
      <c r="A880" s="4"/>
      <c r="B880" s="4"/>
      <c r="C880" s="5"/>
      <c r="D880" s="5"/>
      <c r="E880" s="4"/>
      <c r="F880" s="4"/>
      <c r="G880" s="4"/>
      <c r="H880" s="4"/>
      <c r="I880" s="6"/>
      <c r="J880" s="4"/>
    </row>
    <row r="881">
      <c r="A881" s="4"/>
      <c r="B881" s="4"/>
      <c r="C881" s="5"/>
      <c r="D881" s="5"/>
      <c r="E881" s="4"/>
      <c r="F881" s="4"/>
      <c r="G881" s="4"/>
      <c r="H881" s="4"/>
      <c r="I881" s="6"/>
      <c r="J881" s="4"/>
    </row>
    <row r="882">
      <c r="A882" s="4"/>
      <c r="B882" s="4"/>
      <c r="C882" s="5"/>
      <c r="D882" s="5"/>
      <c r="E882" s="4"/>
      <c r="F882" s="4"/>
      <c r="G882" s="4"/>
      <c r="H882" s="4"/>
      <c r="I882" s="6"/>
      <c r="J882" s="4"/>
    </row>
    <row r="883">
      <c r="A883" s="4"/>
      <c r="B883" s="4"/>
      <c r="C883" s="5"/>
      <c r="D883" s="5"/>
      <c r="E883" s="4"/>
      <c r="F883" s="4"/>
      <c r="G883" s="4"/>
      <c r="H883" s="4"/>
      <c r="I883" s="6"/>
      <c r="J883" s="4"/>
    </row>
    <row r="884">
      <c r="A884" s="4"/>
      <c r="B884" s="4"/>
      <c r="C884" s="5"/>
      <c r="D884" s="5"/>
      <c r="E884" s="4"/>
      <c r="F884" s="4"/>
      <c r="G884" s="4"/>
      <c r="H884" s="4"/>
      <c r="I884" s="6"/>
      <c r="J884" s="4"/>
    </row>
    <row r="885">
      <c r="A885" s="4"/>
      <c r="B885" s="4"/>
      <c r="C885" s="5"/>
      <c r="D885" s="5"/>
      <c r="E885" s="4"/>
      <c r="F885" s="4"/>
      <c r="G885" s="4"/>
      <c r="H885" s="4"/>
      <c r="I885" s="6"/>
      <c r="J885" s="4"/>
    </row>
    <row r="886">
      <c r="A886" s="4"/>
      <c r="B886" s="4"/>
      <c r="C886" s="5"/>
      <c r="D886" s="5"/>
      <c r="E886" s="4"/>
      <c r="F886" s="4"/>
      <c r="G886" s="4"/>
      <c r="H886" s="4"/>
      <c r="I886" s="6"/>
      <c r="J886" s="4"/>
    </row>
    <row r="887">
      <c r="A887" s="4"/>
      <c r="B887" s="4"/>
      <c r="C887" s="5"/>
      <c r="D887" s="5"/>
      <c r="E887" s="4"/>
      <c r="F887" s="4"/>
      <c r="G887" s="4"/>
      <c r="H887" s="4"/>
      <c r="I887" s="6"/>
      <c r="J887" s="4"/>
    </row>
    <row r="888">
      <c r="A888" s="4"/>
      <c r="B888" s="4"/>
      <c r="C888" s="5"/>
      <c r="D888" s="5"/>
      <c r="E888" s="4"/>
      <c r="F888" s="4"/>
      <c r="G888" s="4"/>
      <c r="H888" s="4"/>
      <c r="I888" s="6"/>
      <c r="J888" s="4"/>
    </row>
    <row r="889">
      <c r="A889" s="4"/>
      <c r="B889" s="4"/>
      <c r="C889" s="5"/>
      <c r="D889" s="5"/>
      <c r="E889" s="4"/>
      <c r="F889" s="4"/>
      <c r="G889" s="4"/>
      <c r="H889" s="4"/>
      <c r="I889" s="6"/>
      <c r="J889" s="4"/>
    </row>
    <row r="890">
      <c r="A890" s="4"/>
      <c r="B890" s="4"/>
      <c r="C890" s="5"/>
      <c r="D890" s="5"/>
      <c r="E890" s="4"/>
      <c r="F890" s="4"/>
      <c r="G890" s="4"/>
      <c r="H890" s="4"/>
      <c r="I890" s="6"/>
      <c r="J890" s="4"/>
    </row>
    <row r="891">
      <c r="A891" s="4"/>
      <c r="B891" s="4"/>
      <c r="C891" s="5"/>
      <c r="D891" s="5"/>
      <c r="E891" s="4"/>
      <c r="F891" s="4"/>
      <c r="G891" s="4"/>
      <c r="H891" s="4"/>
      <c r="I891" s="6"/>
      <c r="J891" s="4"/>
    </row>
    <row r="892">
      <c r="A892" s="4"/>
      <c r="B892" s="4"/>
      <c r="C892" s="5"/>
      <c r="D892" s="5"/>
      <c r="E892" s="4"/>
      <c r="F892" s="4"/>
      <c r="G892" s="4"/>
      <c r="H892" s="4"/>
      <c r="I892" s="6"/>
      <c r="J892" s="4"/>
    </row>
    <row r="893">
      <c r="A893" s="4"/>
      <c r="B893" s="4"/>
      <c r="C893" s="5"/>
      <c r="D893" s="5"/>
      <c r="E893" s="4"/>
      <c r="F893" s="4"/>
      <c r="G893" s="4"/>
      <c r="H893" s="4"/>
      <c r="I893" s="6"/>
      <c r="J893" s="4"/>
    </row>
    <row r="894">
      <c r="A894" s="4"/>
      <c r="B894" s="4"/>
      <c r="C894" s="5"/>
      <c r="D894" s="5"/>
      <c r="E894" s="4"/>
      <c r="F894" s="4"/>
      <c r="G894" s="4"/>
      <c r="H894" s="4"/>
      <c r="I894" s="6"/>
      <c r="J894" s="4"/>
    </row>
    <row r="895">
      <c r="A895" s="4"/>
      <c r="B895" s="4"/>
      <c r="C895" s="5"/>
      <c r="D895" s="5"/>
      <c r="E895" s="4"/>
      <c r="F895" s="4"/>
      <c r="G895" s="4"/>
      <c r="H895" s="4"/>
      <c r="I895" s="6"/>
      <c r="J895" s="4"/>
    </row>
    <row r="896">
      <c r="A896" s="4"/>
      <c r="B896" s="4"/>
      <c r="C896" s="5"/>
      <c r="D896" s="5"/>
      <c r="E896" s="4"/>
      <c r="F896" s="4"/>
      <c r="G896" s="4"/>
      <c r="H896" s="4"/>
      <c r="I896" s="6"/>
      <c r="J896" s="4"/>
    </row>
    <row r="897">
      <c r="A897" s="4"/>
      <c r="B897" s="4"/>
      <c r="C897" s="5"/>
      <c r="D897" s="5"/>
      <c r="E897" s="4"/>
      <c r="F897" s="4"/>
      <c r="G897" s="4"/>
      <c r="H897" s="4"/>
      <c r="I897" s="6"/>
      <c r="J897" s="4"/>
    </row>
    <row r="898">
      <c r="A898" s="4"/>
      <c r="B898" s="4"/>
      <c r="C898" s="5"/>
      <c r="D898" s="5"/>
      <c r="E898" s="4"/>
      <c r="F898" s="4"/>
      <c r="G898" s="4"/>
      <c r="H898" s="4"/>
      <c r="I898" s="6"/>
      <c r="J898" s="4"/>
    </row>
    <row r="899">
      <c r="A899" s="4"/>
      <c r="B899" s="4"/>
      <c r="C899" s="5"/>
      <c r="D899" s="5"/>
      <c r="E899" s="4"/>
      <c r="F899" s="4"/>
      <c r="G899" s="4"/>
      <c r="H899" s="4"/>
      <c r="I899" s="6"/>
      <c r="J899" s="4"/>
    </row>
    <row r="900">
      <c r="A900" s="4"/>
      <c r="B900" s="4"/>
      <c r="C900" s="5"/>
      <c r="D900" s="5"/>
      <c r="E900" s="4"/>
      <c r="F900" s="4"/>
      <c r="G900" s="4"/>
      <c r="H900" s="4"/>
      <c r="I900" s="6"/>
      <c r="J900" s="4"/>
    </row>
    <row r="901">
      <c r="A901" s="4"/>
      <c r="B901" s="4"/>
      <c r="C901" s="5"/>
      <c r="D901" s="5"/>
      <c r="E901" s="4"/>
      <c r="F901" s="4"/>
      <c r="G901" s="4"/>
      <c r="H901" s="4"/>
      <c r="I901" s="6"/>
      <c r="J901" s="4"/>
    </row>
    <row r="902">
      <c r="A902" s="4"/>
      <c r="B902" s="4"/>
      <c r="C902" s="5"/>
      <c r="D902" s="5"/>
      <c r="E902" s="4"/>
      <c r="F902" s="4"/>
      <c r="G902" s="4"/>
      <c r="H902" s="4"/>
      <c r="I902" s="6"/>
      <c r="J902" s="4"/>
    </row>
    <row r="903">
      <c r="A903" s="4"/>
      <c r="B903" s="4"/>
      <c r="C903" s="5"/>
      <c r="D903" s="5"/>
      <c r="E903" s="4"/>
      <c r="F903" s="4"/>
      <c r="G903" s="4"/>
      <c r="H903" s="4"/>
      <c r="I903" s="6"/>
      <c r="J903" s="4"/>
    </row>
    <row r="904">
      <c r="A904" s="4"/>
      <c r="B904" s="4"/>
      <c r="C904" s="5"/>
      <c r="D904" s="5"/>
      <c r="E904" s="4"/>
      <c r="F904" s="4"/>
      <c r="G904" s="4"/>
      <c r="H904" s="4"/>
      <c r="I904" s="6"/>
      <c r="J904" s="4"/>
    </row>
    <row r="905">
      <c r="A905" s="4"/>
      <c r="B905" s="4"/>
      <c r="C905" s="5"/>
      <c r="D905" s="5"/>
      <c r="E905" s="4"/>
      <c r="F905" s="4"/>
      <c r="G905" s="4"/>
      <c r="H905" s="4"/>
      <c r="I905" s="6"/>
      <c r="J905" s="4"/>
    </row>
    <row r="906">
      <c r="A906" s="4"/>
      <c r="B906" s="4"/>
      <c r="C906" s="5"/>
      <c r="D906" s="5"/>
      <c r="E906" s="4"/>
      <c r="F906" s="4"/>
      <c r="G906" s="4"/>
      <c r="H906" s="4"/>
      <c r="I906" s="6"/>
      <c r="J906" s="4"/>
    </row>
    <row r="907">
      <c r="A907" s="4"/>
      <c r="B907" s="4"/>
      <c r="C907" s="5"/>
      <c r="D907" s="5"/>
      <c r="E907" s="4"/>
      <c r="F907" s="4"/>
      <c r="G907" s="4"/>
      <c r="H907" s="4"/>
      <c r="I907" s="6"/>
      <c r="J907" s="4"/>
    </row>
    <row r="908">
      <c r="A908" s="4"/>
      <c r="B908" s="4"/>
      <c r="C908" s="5"/>
      <c r="D908" s="5"/>
      <c r="E908" s="4"/>
      <c r="F908" s="4"/>
      <c r="G908" s="4"/>
      <c r="H908" s="4"/>
      <c r="I908" s="6"/>
      <c r="J908" s="4"/>
    </row>
    <row r="909">
      <c r="A909" s="4"/>
      <c r="B909" s="4"/>
      <c r="C909" s="5"/>
      <c r="D909" s="5"/>
      <c r="E909" s="4"/>
      <c r="F909" s="4"/>
      <c r="G909" s="4"/>
      <c r="H909" s="4"/>
      <c r="I909" s="6"/>
      <c r="J909" s="4"/>
    </row>
    <row r="910">
      <c r="A910" s="4"/>
      <c r="B910" s="4"/>
      <c r="C910" s="5"/>
      <c r="D910" s="5"/>
      <c r="E910" s="4"/>
      <c r="F910" s="4"/>
      <c r="G910" s="4"/>
      <c r="H910" s="4"/>
      <c r="I910" s="6"/>
      <c r="J910" s="4"/>
    </row>
    <row r="911">
      <c r="A911" s="4"/>
      <c r="B911" s="4"/>
      <c r="C911" s="5"/>
      <c r="D911" s="5"/>
      <c r="E911" s="4"/>
      <c r="F911" s="4"/>
      <c r="G911" s="4"/>
      <c r="H911" s="4"/>
      <c r="I911" s="6"/>
      <c r="J911" s="4"/>
    </row>
    <row r="912">
      <c r="A912" s="4"/>
      <c r="B912" s="4"/>
      <c r="C912" s="5"/>
      <c r="D912" s="5"/>
      <c r="E912" s="4"/>
      <c r="F912" s="4"/>
      <c r="G912" s="4"/>
      <c r="H912" s="4"/>
      <c r="I912" s="6"/>
      <c r="J912" s="4"/>
    </row>
    <row r="913">
      <c r="A913" s="4"/>
      <c r="B913" s="4"/>
      <c r="C913" s="5"/>
      <c r="D913" s="5"/>
      <c r="E913" s="4"/>
      <c r="F913" s="4"/>
      <c r="G913" s="4"/>
      <c r="H913" s="4"/>
      <c r="I913" s="6"/>
      <c r="J913" s="4"/>
    </row>
    <row r="914">
      <c r="A914" s="4"/>
      <c r="B914" s="4"/>
      <c r="C914" s="5"/>
      <c r="D914" s="5"/>
      <c r="E914" s="4"/>
      <c r="F914" s="4"/>
      <c r="G914" s="4"/>
      <c r="H914" s="4"/>
      <c r="I914" s="6"/>
      <c r="J914" s="4"/>
    </row>
    <row r="915">
      <c r="A915" s="4"/>
      <c r="B915" s="4"/>
      <c r="C915" s="5"/>
      <c r="D915" s="5"/>
      <c r="E915" s="4"/>
      <c r="F915" s="4"/>
      <c r="G915" s="4"/>
      <c r="H915" s="4"/>
      <c r="I915" s="6"/>
      <c r="J915" s="4"/>
    </row>
    <row r="916">
      <c r="A916" s="4"/>
      <c r="B916" s="4"/>
      <c r="C916" s="5"/>
      <c r="D916" s="5"/>
      <c r="E916" s="4"/>
      <c r="F916" s="4"/>
      <c r="G916" s="4"/>
      <c r="H916" s="4"/>
      <c r="I916" s="6"/>
      <c r="J916" s="4"/>
    </row>
    <row r="917">
      <c r="A917" s="4"/>
      <c r="B917" s="4"/>
      <c r="C917" s="5"/>
      <c r="D917" s="5"/>
      <c r="E917" s="4"/>
      <c r="F917" s="4"/>
      <c r="G917" s="4"/>
      <c r="H917" s="4"/>
      <c r="I917" s="6"/>
      <c r="J917" s="4"/>
    </row>
    <row r="918">
      <c r="A918" s="4"/>
      <c r="B918" s="4"/>
      <c r="C918" s="5"/>
      <c r="D918" s="5"/>
      <c r="E918" s="4"/>
      <c r="F918" s="4"/>
      <c r="G918" s="4"/>
      <c r="H918" s="4"/>
      <c r="I918" s="6"/>
      <c r="J918" s="4"/>
    </row>
    <row r="919">
      <c r="A919" s="4"/>
      <c r="B919" s="4"/>
      <c r="C919" s="5"/>
      <c r="D919" s="5"/>
      <c r="E919" s="4"/>
      <c r="F919" s="4"/>
      <c r="G919" s="4"/>
      <c r="H919" s="4"/>
      <c r="I919" s="6"/>
      <c r="J919" s="4"/>
    </row>
    <row r="920">
      <c r="A920" s="4"/>
      <c r="B920" s="4"/>
      <c r="C920" s="5"/>
      <c r="D920" s="5"/>
      <c r="E920" s="4"/>
      <c r="F920" s="4"/>
      <c r="G920" s="4"/>
      <c r="H920" s="4"/>
      <c r="I920" s="6"/>
      <c r="J920" s="4"/>
    </row>
    <row r="921">
      <c r="A921" s="4"/>
      <c r="B921" s="4"/>
      <c r="C921" s="5"/>
      <c r="D921" s="5"/>
      <c r="E921" s="4"/>
      <c r="F921" s="4"/>
      <c r="G921" s="4"/>
      <c r="H921" s="4"/>
      <c r="I921" s="6"/>
      <c r="J921" s="4"/>
    </row>
    <row r="922">
      <c r="A922" s="4"/>
      <c r="B922" s="4"/>
      <c r="C922" s="5"/>
      <c r="D922" s="5"/>
      <c r="E922" s="4"/>
      <c r="F922" s="4"/>
      <c r="G922" s="4"/>
      <c r="H922" s="4"/>
      <c r="I922" s="6"/>
      <c r="J922" s="4"/>
    </row>
    <row r="923">
      <c r="A923" s="4"/>
      <c r="B923" s="4"/>
      <c r="C923" s="5"/>
      <c r="D923" s="5"/>
      <c r="E923" s="4"/>
      <c r="F923" s="4"/>
      <c r="G923" s="4"/>
      <c r="H923" s="4"/>
      <c r="I923" s="6"/>
      <c r="J923" s="4"/>
    </row>
    <row r="924">
      <c r="A924" s="4"/>
      <c r="B924" s="4"/>
      <c r="C924" s="5"/>
      <c r="D924" s="5"/>
      <c r="E924" s="4"/>
      <c r="F924" s="4"/>
      <c r="G924" s="4"/>
      <c r="H924" s="4"/>
      <c r="I924" s="6"/>
      <c r="J924" s="4"/>
    </row>
    <row r="925">
      <c r="A925" s="4"/>
      <c r="B925" s="4"/>
      <c r="C925" s="5"/>
      <c r="D925" s="5"/>
      <c r="E925" s="4"/>
      <c r="F925" s="4"/>
      <c r="G925" s="4"/>
      <c r="H925" s="4"/>
      <c r="I925" s="6"/>
      <c r="J925" s="4"/>
    </row>
    <row r="926">
      <c r="A926" s="4"/>
      <c r="B926" s="4"/>
      <c r="C926" s="5"/>
      <c r="D926" s="5"/>
      <c r="E926" s="4"/>
      <c r="F926" s="4"/>
      <c r="G926" s="4"/>
      <c r="H926" s="4"/>
      <c r="I926" s="6"/>
      <c r="J926" s="4"/>
    </row>
    <row r="927">
      <c r="A927" s="4"/>
      <c r="B927" s="4"/>
      <c r="C927" s="5"/>
      <c r="D927" s="5"/>
      <c r="E927" s="4"/>
      <c r="F927" s="4"/>
      <c r="G927" s="4"/>
      <c r="H927" s="4"/>
      <c r="I927" s="6"/>
      <c r="J927" s="4"/>
    </row>
    <row r="928">
      <c r="A928" s="4"/>
      <c r="B928" s="4"/>
      <c r="C928" s="5"/>
      <c r="D928" s="5"/>
      <c r="E928" s="4"/>
      <c r="F928" s="4"/>
      <c r="G928" s="4"/>
      <c r="H928" s="4"/>
      <c r="I928" s="6"/>
      <c r="J928" s="4"/>
    </row>
    <row r="929">
      <c r="A929" s="4"/>
      <c r="B929" s="4"/>
      <c r="C929" s="5"/>
      <c r="D929" s="5"/>
      <c r="E929" s="4"/>
      <c r="F929" s="4"/>
      <c r="G929" s="4"/>
      <c r="H929" s="4"/>
      <c r="I929" s="6"/>
      <c r="J929" s="4"/>
    </row>
    <row r="930">
      <c r="A930" s="4"/>
      <c r="B930" s="4"/>
      <c r="C930" s="5"/>
      <c r="D930" s="5"/>
      <c r="E930" s="4"/>
      <c r="F930" s="4"/>
      <c r="G930" s="4"/>
      <c r="H930" s="4"/>
      <c r="I930" s="6"/>
      <c r="J930" s="4"/>
    </row>
    <row r="931">
      <c r="A931" s="4"/>
      <c r="B931" s="4"/>
      <c r="C931" s="5"/>
      <c r="D931" s="5"/>
      <c r="E931" s="4"/>
      <c r="F931" s="4"/>
      <c r="G931" s="4"/>
      <c r="H931" s="4"/>
      <c r="I931" s="6"/>
      <c r="J931" s="4"/>
    </row>
    <row r="932">
      <c r="A932" s="4"/>
      <c r="B932" s="4"/>
      <c r="C932" s="5"/>
      <c r="D932" s="5"/>
      <c r="E932" s="4"/>
      <c r="F932" s="4"/>
      <c r="G932" s="4"/>
      <c r="H932" s="4"/>
      <c r="I932" s="6"/>
      <c r="J932" s="4"/>
    </row>
    <row r="933">
      <c r="A933" s="4"/>
      <c r="B933" s="4"/>
      <c r="C933" s="5"/>
      <c r="D933" s="5"/>
      <c r="E933" s="4"/>
      <c r="F933" s="4"/>
      <c r="G933" s="4"/>
      <c r="H933" s="4"/>
      <c r="I933" s="6"/>
      <c r="J933" s="4"/>
    </row>
    <row r="934">
      <c r="A934" s="4"/>
      <c r="B934" s="4"/>
      <c r="C934" s="5"/>
      <c r="D934" s="5"/>
      <c r="E934" s="4"/>
      <c r="F934" s="4"/>
      <c r="G934" s="4"/>
      <c r="H934" s="4"/>
      <c r="I934" s="6"/>
      <c r="J934" s="4"/>
    </row>
    <row r="935">
      <c r="A935" s="4"/>
      <c r="B935" s="4"/>
      <c r="C935" s="5"/>
      <c r="D935" s="5"/>
      <c r="E935" s="4"/>
      <c r="F935" s="4"/>
      <c r="G935" s="4"/>
      <c r="H935" s="4"/>
      <c r="I935" s="6"/>
      <c r="J935" s="4"/>
    </row>
    <row r="936">
      <c r="A936" s="4"/>
      <c r="B936" s="4"/>
      <c r="C936" s="5"/>
      <c r="D936" s="5"/>
      <c r="E936" s="4"/>
      <c r="F936" s="4"/>
      <c r="G936" s="4"/>
      <c r="H936" s="4"/>
      <c r="I936" s="6"/>
      <c r="J936" s="4"/>
    </row>
    <row r="937">
      <c r="A937" s="4"/>
      <c r="B937" s="4"/>
      <c r="C937" s="5"/>
      <c r="D937" s="5"/>
      <c r="E937" s="4"/>
      <c r="F937" s="4"/>
      <c r="G937" s="4"/>
      <c r="H937" s="4"/>
      <c r="I937" s="6"/>
      <c r="J937" s="4"/>
    </row>
    <row r="938">
      <c r="A938" s="4"/>
      <c r="B938" s="4"/>
      <c r="C938" s="5"/>
      <c r="D938" s="5"/>
      <c r="E938" s="4"/>
      <c r="F938" s="4"/>
      <c r="G938" s="4"/>
      <c r="H938" s="4"/>
      <c r="I938" s="6"/>
      <c r="J938" s="4"/>
    </row>
    <row r="939">
      <c r="A939" s="4"/>
      <c r="B939" s="4"/>
      <c r="C939" s="5"/>
      <c r="D939" s="5"/>
      <c r="E939" s="4"/>
      <c r="F939" s="4"/>
      <c r="G939" s="4"/>
      <c r="H939" s="4"/>
      <c r="I939" s="6"/>
      <c r="J939" s="4"/>
    </row>
    <row r="940">
      <c r="A940" s="4"/>
      <c r="B940" s="4"/>
      <c r="C940" s="5"/>
      <c r="D940" s="5"/>
      <c r="E940" s="4"/>
      <c r="F940" s="4"/>
      <c r="G940" s="4"/>
      <c r="H940" s="4"/>
      <c r="I940" s="6"/>
      <c r="J940" s="4"/>
    </row>
    <row r="941">
      <c r="A941" s="4"/>
      <c r="B941" s="4"/>
      <c r="C941" s="5"/>
      <c r="D941" s="5"/>
      <c r="E941" s="4"/>
      <c r="F941" s="4"/>
      <c r="G941" s="4"/>
      <c r="H941" s="4"/>
      <c r="I941" s="6"/>
      <c r="J941" s="4"/>
    </row>
    <row r="942">
      <c r="A942" s="4"/>
      <c r="B942" s="4"/>
      <c r="C942" s="5"/>
      <c r="D942" s="5"/>
      <c r="E942" s="4"/>
      <c r="F942" s="4"/>
      <c r="G942" s="4"/>
      <c r="H942" s="4"/>
      <c r="I942" s="6"/>
      <c r="J942" s="4"/>
    </row>
    <row r="943">
      <c r="A943" s="4"/>
      <c r="B943" s="4"/>
      <c r="C943" s="5"/>
      <c r="D943" s="5"/>
      <c r="E943" s="4"/>
      <c r="F943" s="4"/>
      <c r="G943" s="4"/>
      <c r="H943" s="4"/>
      <c r="I943" s="6"/>
      <c r="J943" s="4"/>
    </row>
    <row r="944">
      <c r="A944" s="4"/>
      <c r="B944" s="4"/>
      <c r="C944" s="5"/>
      <c r="D944" s="5"/>
      <c r="E944" s="4"/>
      <c r="F944" s="4"/>
      <c r="G944" s="4"/>
      <c r="H944" s="4"/>
      <c r="I944" s="6"/>
      <c r="J944" s="4"/>
    </row>
    <row r="945">
      <c r="A945" s="4"/>
      <c r="B945" s="4"/>
      <c r="C945" s="5"/>
      <c r="D945" s="5"/>
      <c r="E945" s="4"/>
      <c r="F945" s="4"/>
      <c r="G945" s="4"/>
      <c r="H945" s="4"/>
      <c r="I945" s="6"/>
      <c r="J945" s="4"/>
    </row>
    <row r="946">
      <c r="A946" s="4"/>
      <c r="B946" s="4"/>
      <c r="C946" s="5"/>
      <c r="D946" s="5"/>
      <c r="E946" s="4"/>
      <c r="F946" s="4"/>
      <c r="G946" s="4"/>
      <c r="H946" s="4"/>
      <c r="I946" s="6"/>
      <c r="J946" s="4"/>
    </row>
    <row r="947">
      <c r="A947" s="4"/>
      <c r="B947" s="4"/>
      <c r="C947" s="5"/>
      <c r="D947" s="5"/>
      <c r="E947" s="4"/>
      <c r="F947" s="4"/>
      <c r="G947" s="4"/>
      <c r="H947" s="4"/>
      <c r="I947" s="6"/>
      <c r="J947" s="4"/>
    </row>
    <row r="948">
      <c r="A948" s="4"/>
      <c r="B948" s="4"/>
      <c r="C948" s="5"/>
      <c r="D948" s="5"/>
      <c r="E948" s="4"/>
      <c r="F948" s="4"/>
      <c r="G948" s="4"/>
      <c r="H948" s="4"/>
      <c r="I948" s="6"/>
      <c r="J948" s="4"/>
    </row>
    <row r="949">
      <c r="A949" s="4"/>
      <c r="B949" s="4"/>
      <c r="C949" s="5"/>
      <c r="D949" s="5"/>
      <c r="E949" s="4"/>
      <c r="F949" s="4"/>
      <c r="G949" s="4"/>
      <c r="H949" s="4"/>
      <c r="I949" s="6"/>
      <c r="J949" s="4"/>
    </row>
    <row r="950">
      <c r="A950" s="4"/>
      <c r="B950" s="4"/>
      <c r="C950" s="5"/>
      <c r="D950" s="5"/>
      <c r="E950" s="4"/>
      <c r="F950" s="4"/>
      <c r="G950" s="4"/>
      <c r="H950" s="4"/>
      <c r="I950" s="6"/>
      <c r="J950" s="4"/>
    </row>
    <row r="951">
      <c r="A951" s="4"/>
      <c r="B951" s="4"/>
      <c r="C951" s="5"/>
      <c r="D951" s="5"/>
      <c r="E951" s="4"/>
      <c r="F951" s="4"/>
      <c r="G951" s="4"/>
      <c r="H951" s="4"/>
      <c r="I951" s="6"/>
      <c r="J951" s="4"/>
    </row>
    <row r="952">
      <c r="A952" s="4"/>
      <c r="B952" s="4"/>
      <c r="C952" s="5"/>
      <c r="D952" s="5"/>
      <c r="E952" s="4"/>
      <c r="F952" s="4"/>
      <c r="G952" s="4"/>
      <c r="H952" s="4"/>
      <c r="I952" s="6"/>
      <c r="J952" s="4"/>
    </row>
    <row r="953">
      <c r="A953" s="4"/>
      <c r="B953" s="4"/>
      <c r="C953" s="5"/>
      <c r="D953" s="5"/>
      <c r="E953" s="4"/>
      <c r="F953" s="4"/>
      <c r="G953" s="4"/>
      <c r="H953" s="4"/>
      <c r="I953" s="6"/>
      <c r="J953" s="4"/>
    </row>
    <row r="954">
      <c r="A954" s="4"/>
      <c r="B954" s="4"/>
      <c r="C954" s="5"/>
      <c r="D954" s="5"/>
      <c r="E954" s="4"/>
      <c r="F954" s="4"/>
      <c r="G954" s="4"/>
      <c r="H954" s="4"/>
      <c r="I954" s="6"/>
      <c r="J954" s="4"/>
    </row>
    <row r="955">
      <c r="A955" s="4"/>
      <c r="B955" s="4"/>
      <c r="C955" s="5"/>
      <c r="D955" s="5"/>
      <c r="E955" s="4"/>
      <c r="F955" s="4"/>
      <c r="G955" s="4"/>
      <c r="H955" s="4"/>
      <c r="I955" s="6"/>
      <c r="J955" s="4"/>
    </row>
    <row r="956">
      <c r="A956" s="4"/>
      <c r="B956" s="4"/>
      <c r="C956" s="5"/>
      <c r="D956" s="5"/>
      <c r="E956" s="4"/>
      <c r="F956" s="4"/>
      <c r="G956" s="4"/>
      <c r="H956" s="4"/>
      <c r="I956" s="6"/>
      <c r="J956" s="4"/>
    </row>
    <row r="957">
      <c r="A957" s="4"/>
      <c r="B957" s="4"/>
      <c r="C957" s="5"/>
      <c r="D957" s="5"/>
      <c r="E957" s="4"/>
      <c r="F957" s="4"/>
      <c r="G957" s="4"/>
      <c r="H957" s="4"/>
      <c r="I957" s="6"/>
      <c r="J957" s="4"/>
    </row>
    <row r="958">
      <c r="A958" s="4"/>
      <c r="B958" s="4"/>
      <c r="C958" s="5"/>
      <c r="D958" s="5"/>
      <c r="E958" s="4"/>
      <c r="F958" s="4"/>
      <c r="G958" s="4"/>
      <c r="H958" s="4"/>
      <c r="I958" s="6"/>
      <c r="J958" s="4"/>
    </row>
    <row r="959">
      <c r="A959" s="4"/>
      <c r="B959" s="4"/>
      <c r="C959" s="5"/>
      <c r="D959" s="5"/>
      <c r="E959" s="4"/>
      <c r="F959" s="4"/>
      <c r="G959" s="4"/>
      <c r="H959" s="4"/>
      <c r="I959" s="6"/>
      <c r="J959" s="4"/>
    </row>
    <row r="960">
      <c r="A960" s="4"/>
      <c r="B960" s="4"/>
      <c r="C960" s="5"/>
      <c r="D960" s="5"/>
      <c r="E960" s="4"/>
      <c r="F960" s="4"/>
      <c r="G960" s="4"/>
      <c r="H960" s="4"/>
      <c r="I960" s="6"/>
      <c r="J960" s="4"/>
    </row>
    <row r="961">
      <c r="A961" s="4"/>
      <c r="B961" s="4"/>
      <c r="C961" s="5"/>
      <c r="D961" s="5"/>
      <c r="E961" s="4"/>
      <c r="F961" s="4"/>
      <c r="G961" s="4"/>
      <c r="H961" s="4"/>
      <c r="I961" s="6"/>
      <c r="J961" s="4"/>
    </row>
    <row r="962">
      <c r="A962" s="4"/>
      <c r="B962" s="4"/>
      <c r="C962" s="5"/>
      <c r="D962" s="5"/>
      <c r="E962" s="4"/>
      <c r="F962" s="4"/>
      <c r="G962" s="4"/>
      <c r="H962" s="4"/>
      <c r="I962" s="6"/>
      <c r="J962" s="4"/>
    </row>
    <row r="963">
      <c r="A963" s="4"/>
      <c r="B963" s="4"/>
      <c r="C963" s="5"/>
      <c r="D963" s="5"/>
      <c r="E963" s="4"/>
      <c r="F963" s="4"/>
      <c r="G963" s="4"/>
      <c r="H963" s="4"/>
      <c r="I963" s="6"/>
      <c r="J963" s="4"/>
    </row>
    <row r="964">
      <c r="A964" s="4"/>
      <c r="B964" s="4"/>
      <c r="C964" s="5"/>
      <c r="D964" s="5"/>
      <c r="E964" s="4"/>
      <c r="F964" s="4"/>
      <c r="G964" s="4"/>
      <c r="H964" s="4"/>
      <c r="I964" s="6"/>
      <c r="J964" s="4"/>
    </row>
    <row r="965">
      <c r="A965" s="4"/>
      <c r="B965" s="4"/>
      <c r="C965" s="5"/>
      <c r="D965" s="5"/>
      <c r="E965" s="4"/>
      <c r="F965" s="4"/>
      <c r="G965" s="4"/>
      <c r="H965" s="4"/>
      <c r="I965" s="6"/>
      <c r="J965" s="4"/>
    </row>
    <row r="966">
      <c r="A966" s="4"/>
      <c r="B966" s="4"/>
      <c r="C966" s="5"/>
      <c r="D966" s="5"/>
      <c r="E966" s="4"/>
      <c r="F966" s="4"/>
      <c r="G966" s="4"/>
      <c r="H966" s="4"/>
      <c r="I966" s="6"/>
      <c r="J966" s="4"/>
    </row>
    <row r="967">
      <c r="A967" s="4"/>
      <c r="B967" s="4"/>
      <c r="C967" s="5"/>
      <c r="D967" s="5"/>
      <c r="E967" s="4"/>
      <c r="F967" s="4"/>
      <c r="G967" s="4"/>
      <c r="H967" s="4"/>
      <c r="I967" s="6"/>
      <c r="J967" s="4"/>
    </row>
    <row r="968">
      <c r="A968" s="4"/>
      <c r="B968" s="4"/>
      <c r="C968" s="5"/>
      <c r="D968" s="5"/>
      <c r="E968" s="4"/>
      <c r="F968" s="4"/>
      <c r="G968" s="4"/>
      <c r="H968" s="4"/>
      <c r="I968" s="6"/>
      <c r="J968" s="4"/>
    </row>
    <row r="969">
      <c r="A969" s="4"/>
      <c r="B969" s="4"/>
      <c r="C969" s="5"/>
      <c r="D969" s="5"/>
      <c r="E969" s="4"/>
      <c r="F969" s="4"/>
      <c r="G969" s="4"/>
      <c r="H969" s="4"/>
      <c r="I969" s="6"/>
      <c r="J969" s="4"/>
    </row>
    <row r="970">
      <c r="A970" s="4"/>
      <c r="B970" s="4"/>
      <c r="C970" s="5"/>
      <c r="D970" s="5"/>
      <c r="E970" s="4"/>
      <c r="F970" s="4"/>
      <c r="G970" s="4"/>
      <c r="H970" s="4"/>
      <c r="I970" s="6"/>
      <c r="J970" s="4"/>
    </row>
    <row r="971">
      <c r="A971" s="4"/>
      <c r="B971" s="4"/>
      <c r="C971" s="5"/>
      <c r="D971" s="5"/>
      <c r="E971" s="4"/>
      <c r="F971" s="4"/>
      <c r="G971" s="4"/>
      <c r="H971" s="4"/>
      <c r="I971" s="6"/>
      <c r="J971" s="4"/>
    </row>
    <row r="972">
      <c r="A972" s="4"/>
      <c r="B972" s="4"/>
      <c r="C972" s="5"/>
      <c r="D972" s="5"/>
      <c r="E972" s="4"/>
      <c r="F972" s="4"/>
      <c r="G972" s="4"/>
      <c r="H972" s="4"/>
      <c r="I972" s="6"/>
      <c r="J972" s="4"/>
    </row>
    <row r="973">
      <c r="A973" s="4"/>
      <c r="B973" s="4"/>
      <c r="C973" s="5"/>
      <c r="D973" s="5"/>
      <c r="E973" s="4"/>
      <c r="F973" s="4"/>
      <c r="G973" s="4"/>
      <c r="H973" s="4"/>
      <c r="I973" s="6"/>
      <c r="J973" s="4"/>
    </row>
    <row r="974">
      <c r="A974" s="4"/>
      <c r="B974" s="4"/>
      <c r="C974" s="5"/>
      <c r="D974" s="5"/>
      <c r="E974" s="4"/>
      <c r="F974" s="4"/>
      <c r="G974" s="4"/>
      <c r="H974" s="4"/>
      <c r="I974" s="6"/>
      <c r="J974" s="4"/>
    </row>
    <row r="975">
      <c r="A975" s="4"/>
      <c r="B975" s="4"/>
      <c r="C975" s="5"/>
      <c r="D975" s="5"/>
      <c r="E975" s="4"/>
      <c r="F975" s="4"/>
      <c r="G975" s="4"/>
      <c r="H975" s="4"/>
      <c r="I975" s="6"/>
      <c r="J975" s="4"/>
    </row>
    <row r="976">
      <c r="A976" s="4"/>
      <c r="B976" s="4"/>
      <c r="C976" s="5"/>
      <c r="D976" s="5"/>
      <c r="E976" s="4"/>
      <c r="F976" s="4"/>
      <c r="G976" s="4"/>
      <c r="H976" s="4"/>
      <c r="I976" s="6"/>
      <c r="J976" s="4"/>
    </row>
    <row r="977">
      <c r="A977" s="4"/>
      <c r="B977" s="4"/>
      <c r="C977" s="5"/>
      <c r="D977" s="5"/>
      <c r="E977" s="4"/>
      <c r="F977" s="4"/>
      <c r="G977" s="4"/>
      <c r="H977" s="4"/>
      <c r="I977" s="6"/>
      <c r="J977" s="4"/>
    </row>
    <row r="978">
      <c r="A978" s="4"/>
      <c r="B978" s="4"/>
      <c r="C978" s="5"/>
      <c r="D978" s="5"/>
      <c r="E978" s="4"/>
      <c r="F978" s="4"/>
      <c r="G978" s="4"/>
      <c r="H978" s="4"/>
      <c r="I978" s="6"/>
      <c r="J978" s="4"/>
    </row>
    <row r="979">
      <c r="A979" s="4"/>
      <c r="B979" s="4"/>
      <c r="C979" s="5"/>
      <c r="D979" s="5"/>
      <c r="E979" s="4"/>
      <c r="F979" s="4"/>
      <c r="G979" s="4"/>
      <c r="H979" s="4"/>
      <c r="I979" s="6"/>
      <c r="J979" s="4"/>
    </row>
    <row r="980">
      <c r="A980" s="4"/>
      <c r="B980" s="4"/>
      <c r="C980" s="5"/>
      <c r="D980" s="5"/>
      <c r="E980" s="4"/>
      <c r="F980" s="4"/>
      <c r="G980" s="4"/>
      <c r="H980" s="4"/>
      <c r="I980" s="6"/>
      <c r="J980" s="4"/>
    </row>
    <row r="981">
      <c r="A981" s="4"/>
      <c r="B981" s="4"/>
      <c r="C981" s="5"/>
      <c r="D981" s="5"/>
      <c r="E981" s="4"/>
      <c r="F981" s="4"/>
      <c r="G981" s="4"/>
      <c r="H981" s="4"/>
      <c r="I981" s="6"/>
      <c r="J981" s="4"/>
    </row>
    <row r="982">
      <c r="A982" s="4"/>
      <c r="B982" s="4"/>
      <c r="C982" s="5"/>
      <c r="D982" s="5"/>
      <c r="E982" s="4"/>
      <c r="F982" s="4"/>
      <c r="G982" s="4"/>
      <c r="H982" s="4"/>
      <c r="I982" s="6"/>
      <c r="J982" s="4"/>
    </row>
    <row r="983">
      <c r="A983" s="4"/>
      <c r="B983" s="4"/>
      <c r="C983" s="5"/>
      <c r="D983" s="5"/>
      <c r="E983" s="4"/>
      <c r="F983" s="4"/>
      <c r="G983" s="4"/>
      <c r="H983" s="4"/>
      <c r="I983" s="6"/>
      <c r="J983" s="4"/>
    </row>
    <row r="984">
      <c r="A984" s="4"/>
      <c r="B984" s="4"/>
      <c r="C984" s="5"/>
      <c r="D984" s="5"/>
      <c r="E984" s="4"/>
      <c r="F984" s="4"/>
      <c r="G984" s="4"/>
      <c r="H984" s="4"/>
      <c r="I984" s="6"/>
      <c r="J984" s="4"/>
    </row>
    <row r="985">
      <c r="A985" s="4"/>
      <c r="B985" s="4"/>
      <c r="C985" s="5"/>
      <c r="D985" s="5"/>
      <c r="E985" s="4"/>
      <c r="F985" s="4"/>
      <c r="G985" s="4"/>
      <c r="H985" s="4"/>
      <c r="I985" s="6"/>
      <c r="J985" s="4"/>
    </row>
    <row r="986">
      <c r="A986" s="4"/>
      <c r="B986" s="4"/>
      <c r="C986" s="5"/>
      <c r="D986" s="5"/>
      <c r="E986" s="4"/>
      <c r="F986" s="4"/>
      <c r="G986" s="4"/>
      <c r="H986" s="4"/>
      <c r="I986" s="6"/>
      <c r="J986" s="4"/>
    </row>
    <row r="987">
      <c r="A987" s="4"/>
      <c r="B987" s="4"/>
      <c r="C987" s="5"/>
      <c r="D987" s="5"/>
      <c r="E987" s="4"/>
      <c r="F987" s="4"/>
      <c r="G987" s="4"/>
      <c r="H987" s="4"/>
      <c r="I987" s="6"/>
      <c r="J987" s="4"/>
    </row>
    <row r="988">
      <c r="A988" s="4"/>
      <c r="B988" s="4"/>
      <c r="C988" s="5"/>
      <c r="D988" s="5"/>
      <c r="E988" s="4"/>
      <c r="F988" s="4"/>
      <c r="G988" s="4"/>
      <c r="H988" s="4"/>
      <c r="I988" s="6"/>
      <c r="J988" s="4"/>
    </row>
    <row r="989">
      <c r="A989" s="4"/>
      <c r="B989" s="4"/>
      <c r="C989" s="5"/>
      <c r="D989" s="5"/>
      <c r="E989" s="4"/>
      <c r="F989" s="4"/>
      <c r="G989" s="4"/>
      <c r="H989" s="4"/>
      <c r="I989" s="6"/>
      <c r="J989" s="4"/>
    </row>
    <row r="990">
      <c r="A990" s="4"/>
      <c r="B990" s="4"/>
      <c r="C990" s="5"/>
      <c r="D990" s="5"/>
      <c r="E990" s="4"/>
      <c r="F990" s="4"/>
      <c r="G990" s="4"/>
      <c r="H990" s="4"/>
      <c r="I990" s="6"/>
      <c r="J990" s="4"/>
    </row>
    <row r="991">
      <c r="A991" s="4"/>
      <c r="B991" s="4"/>
      <c r="C991" s="5"/>
      <c r="D991" s="5"/>
      <c r="E991" s="4"/>
      <c r="F991" s="4"/>
      <c r="G991" s="4"/>
      <c r="H991" s="4"/>
      <c r="I991" s="6"/>
      <c r="J991" s="4"/>
    </row>
    <row r="992">
      <c r="A992" s="4"/>
      <c r="B992" s="4"/>
      <c r="C992" s="5"/>
      <c r="D992" s="5"/>
      <c r="E992" s="4"/>
      <c r="F992" s="4"/>
      <c r="G992" s="4"/>
      <c r="H992" s="4"/>
      <c r="I992" s="6"/>
      <c r="J992" s="4"/>
    </row>
    <row r="993">
      <c r="A993" s="4"/>
      <c r="B993" s="4"/>
      <c r="C993" s="5"/>
      <c r="D993" s="5"/>
      <c r="E993" s="4"/>
      <c r="F993" s="4"/>
      <c r="G993" s="4"/>
      <c r="H993" s="4"/>
      <c r="I993" s="6"/>
      <c r="J993" s="4"/>
    </row>
    <row r="994">
      <c r="A994" s="4"/>
      <c r="B994" s="4"/>
      <c r="C994" s="5"/>
      <c r="D994" s="5"/>
      <c r="E994" s="4"/>
      <c r="F994" s="4"/>
      <c r="G994" s="4"/>
      <c r="H994" s="4"/>
      <c r="I994" s="6"/>
      <c r="J994" s="4"/>
    </row>
    <row r="995">
      <c r="A995" s="4"/>
      <c r="B995" s="4"/>
      <c r="C995" s="5"/>
      <c r="D995" s="5"/>
      <c r="E995" s="4"/>
      <c r="F995" s="4"/>
      <c r="G995" s="4"/>
      <c r="H995" s="4"/>
      <c r="I995" s="6"/>
      <c r="J995" s="4"/>
    </row>
    <row r="996">
      <c r="A996" s="4"/>
      <c r="B996" s="4"/>
      <c r="C996" s="5"/>
      <c r="D996" s="5"/>
      <c r="E996" s="4"/>
      <c r="F996" s="4"/>
      <c r="G996" s="4"/>
      <c r="H996" s="4"/>
      <c r="I996" s="6"/>
      <c r="J996" s="4"/>
    </row>
    <row r="997">
      <c r="A997" s="4"/>
      <c r="B997" s="4"/>
      <c r="C997" s="5"/>
      <c r="D997" s="5"/>
      <c r="E997" s="4"/>
      <c r="F997" s="4"/>
      <c r="G997" s="4"/>
      <c r="H997" s="4"/>
      <c r="I997" s="6"/>
      <c r="J997" s="4"/>
    </row>
    <row r="998">
      <c r="A998" s="4"/>
      <c r="B998" s="4"/>
      <c r="C998" s="5"/>
      <c r="D998" s="5"/>
      <c r="E998" s="4"/>
      <c r="F998" s="4"/>
      <c r="G998" s="4"/>
      <c r="H998" s="4"/>
      <c r="I998" s="6"/>
      <c r="J998" s="4"/>
    </row>
    <row r="999">
      <c r="A999" s="4"/>
      <c r="B999" s="4"/>
      <c r="C999" s="5"/>
      <c r="D999" s="5"/>
      <c r="E999" s="4"/>
      <c r="F999" s="4"/>
      <c r="G999" s="4"/>
      <c r="H999" s="4"/>
      <c r="I999" s="6"/>
      <c r="J999" s="4"/>
    </row>
  </sheetData>
  <autoFilter ref="$A$1:$J$635">
    <filterColumn colId="9">
      <filters>
        <filter val="Tech Referent - Initial gathering"/>
        <filter val="TLs"/>
        <filter val="Tech Referent - OneOnOne"/>
      </filters>
    </filterColumn>
  </autoFilter>
  <customSheetViews>
    <customSheetView guid="{87B93A09-A684-42F5-9CEE-5724DBF3A071}" filter="1" showAutoFilter="1">
      <autoFilter ref="$A$1:$J$41">
        <filterColumn colId="4">
          <filters>
            <filter val="marcela.benavides@patagoniansys.com"/>
            <filter val="maria.llano@patagoniansys.com"/>
            <filter val="diana.grajales@patagoniansys.com"/>
            <filter val="micaela.zorzetto@patagoniansys.com"/>
          </filters>
        </filterColumn>
      </autoFilter>
    </customSheetView>
    <customSheetView guid="{01903BD1-DE2B-46CB-940A-73479F2F1FC5}" filter="1" showAutoFilter="1">
      <autoFilter ref="$A$1:$J$41">
        <filterColumn colId="4">
          <filters>
            <filter val="marcela.benavides@patagoniansys.com"/>
            <filter val="maria.llano@patagoniansys.com"/>
            <filter val="diana.grajales@patagoniansys.com"/>
            <filter val="micaela.zorzetto@patagoniansys.com"/>
          </filters>
        </filterColumn>
      </autoFilter>
    </customSheetView>
    <customSheetView guid="{5555ABA0-3D94-429F-B9AA-9B41D66E68F4}" filter="1" showAutoFilter="1">
      <autoFilter ref="$A$1:$J$999">
        <filterColumn colId="1">
          <filters>
            <filter val="julio.sirera"/>
            <filter val="daniel.almeida"/>
            <filter val="gianfranco.fois"/>
            <filter val="emmanuel.trassani"/>
            <filter val="ivan.vasquez"/>
            <filter val="gonzalo.garro"/>
            <filter val="eileen.guerrero"/>
            <filter val="javier.vergara"/>
            <filter val="nico.magnano"/>
            <filter val="amanda.taylor"/>
            <filter val="kevin.lopez"/>
            <filter val="andrea.urbani"/>
            <filter val="pablo.triandafilide"/>
            <filter val="santiago.cendra"/>
            <filter val="pablo.gomez"/>
            <filter val="diego.vallejo"/>
            <filter val="maximiliano.tiezzi"/>
            <filter val="andres.caceres"/>
            <filter val="leonardo.buret"/>
            <filter val="juan.lara"/>
            <filter val="fernando.estevez"/>
            <filter val="valeria.juarez"/>
            <filter val="david.zuluaga"/>
            <filter val="jose.acosta"/>
            <filter val="luis.soto"/>
            <filter val="jefersson.galvez"/>
            <filter val="juan.sanhueza"/>
            <filter val="carla.castiglia"/>
            <filter val="andres.escorcia"/>
            <filter val="juan.baez"/>
            <filter val="julian.zambroni"/>
            <filter val="kharoly.cordova"/>
            <filter val="cristian.nadj"/>
            <filter val="jmartinez"/>
            <filter val="antonella.godoy"/>
            <filter val="cristian.cortes"/>
            <filter val="emerson.pereira"/>
            <filter val="eddie.brenes"/>
            <filter val="laura.oviedo"/>
            <filter val="mauricio.lahitte"/>
            <filter val="martin.castro"/>
            <filter val="juan.calou"/>
            <filter val="gabriel.ospina"/>
            <filter val="geronimo.cornou"/>
            <filter val="christian.amu"/>
            <filter val="angel.gonzalez"/>
            <filter val="nicolas.netcoff"/>
            <filter val="eduardo.giorgio"/>
            <filter val="hubert.alfaro"/>
            <filter val="xosed.penaloza"/>
            <filter val="andres.bolocco"/>
            <filter val="sharon.trens"/>
            <filter val="omar.fandino"/>
            <filter val="benjamin.bascary"/>
            <filter val="stuard.romero"/>
            <filter val="andres.rudqvist"/>
            <filter val="jimena.gutierrez"/>
            <filter val="joan.romero"/>
            <filter val="yhon.laverde"/>
            <filter val="manuel.ortega"/>
            <filter val="santiago.avila"/>
            <filter val="eugenio.fioriti"/>
            <filter val="edgar.bonilla"/>
            <filter val="david.risaro"/>
            <filter val="duverney.hernandez"/>
            <filter val="luis.luna"/>
            <filter val="esteban.camacho"/>
            <filter val="isabel.yepes"/>
            <filter val="luciano.fuentes"/>
            <filter val="patrick.figueroa"/>
            <filter val="gaston.foyatier"/>
            <filter val="victor.abitu"/>
            <filter val="brayan.barrios"/>
            <filter val="juan.martinezrios"/>
            <filter val="henry.tong"/>
            <filter val="jose.rodriguez"/>
            <filter val="rodrigo.cibils"/>
            <filter val="daniel.mansilla"/>
            <filter val="mariano.sckerl"/>
            <filter val="camila.maron"/>
            <filter val="manuel.abruzzo"/>
            <filter val="federico.matos"/>
            <filter val="martin.infante"/>
            <filter val="guillermo.escalante"/>
            <filter val="exequiel.soto"/>
            <filter val="natalia.martinez"/>
            <filter val="matias.gudar"/>
            <filter val="bruno.molina"/>
            <filter val="carlos.igal"/>
            <filter val="manuel.lagos"/>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5"/>
  </cols>
  <sheetData>
    <row r="1">
      <c r="A1" s="8" t="s">
        <v>0</v>
      </c>
    </row>
    <row r="2">
      <c r="A2" s="9" t="s">
        <v>1</v>
      </c>
    </row>
  </sheetData>
  <hyperlinks>
    <hyperlink r:id="rId1" ref="A2"/>
  </hyperlinks>
  <drawing r:id="rId2"/>
</worksheet>
</file>