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esktop\"/>
    </mc:Choice>
  </mc:AlternateContent>
  <xr:revisionPtr revIDLastSave="0" documentId="13_ncr:1_{17DA995F-592E-451E-9C86-96629728E15F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luxo" sheetId="1" r:id="rId1"/>
    <sheet name="Análise Ações BR" sheetId="2" r:id="rId2"/>
    <sheet name="Rendimento Ações BR" sheetId="4" r:id="rId3"/>
    <sheet name="Resumo investimentos" sheetId="3" r:id="rId4"/>
    <sheet name="Plan1" sheetId="5" r:id="rId5"/>
    <sheet name="IR" sheetId="8" r:id="rId6"/>
    <sheet name="Análise para IR" sheetId="10" r:id="rId7"/>
  </sheets>
  <definedNames>
    <definedName name="_xlnm._FilterDatabase" localSheetId="1" hidden="1">'Análise Ações BR'!$J$5:$T$38</definedName>
    <definedName name="_xlnm._FilterDatabase" localSheetId="0" hidden="1">Fluxo!$A$1:$H$271</definedName>
    <definedName name="_xlnm._FilterDatabase" localSheetId="3" hidden="1">'Resumo investimentos'!$A$4:$I$15</definedName>
  </definedNames>
  <calcPr calcId="191029"/>
  <pivotCaches>
    <pivotCache cacheId="14" r:id="rId8"/>
    <pivotCache cacheId="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R31" i="2"/>
  <c r="U5" i="4"/>
  <c r="V24" i="4"/>
  <c r="M17" i="4" s="1"/>
  <c r="U24" i="4"/>
  <c r="U23" i="4"/>
  <c r="T24" i="4"/>
  <c r="T23" i="4"/>
  <c r="S24" i="4"/>
  <c r="S23" i="4"/>
  <c r="F14" i="3"/>
  <c r="H14" i="3" s="1"/>
  <c r="R11" i="2"/>
  <c r="R34" i="2"/>
  <c r="G14" i="3" l="1"/>
  <c r="U4" i="4"/>
  <c r="T5" i="4"/>
  <c r="R32" i="2"/>
  <c r="B35" i="2"/>
  <c r="C28" i="2"/>
  <c r="B28" i="2"/>
  <c r="H13" i="3"/>
  <c r="H12" i="3"/>
  <c r="G13" i="3"/>
  <c r="G12" i="3"/>
  <c r="T4" i="4"/>
  <c r="Q15" i="2"/>
  <c r="R26" i="2"/>
  <c r="R18" i="2"/>
  <c r="F7" i="3"/>
  <c r="R36" i="2"/>
  <c r="S5" i="4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H10" i="3"/>
  <c r="G10" i="3"/>
  <c r="H11" i="3"/>
  <c r="G11" i="3"/>
  <c r="S4" i="4"/>
  <c r="H136" i="1"/>
  <c r="E29" i="2"/>
  <c r="F29" i="2" s="1"/>
  <c r="C29" i="2"/>
  <c r="B29" i="2"/>
  <c r="E10" i="2"/>
  <c r="F10" i="2" s="1"/>
  <c r="C10" i="2"/>
  <c r="B10" i="2"/>
  <c r="R5" i="4"/>
  <c r="H134" i="1"/>
  <c r="D29" i="2" s="1"/>
  <c r="F116" i="1"/>
  <c r="C6" i="2"/>
  <c r="B6" i="2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Q4" i="4"/>
  <c r="Q32" i="2"/>
  <c r="G124" i="1"/>
  <c r="F124" i="1"/>
  <c r="P5" i="4"/>
  <c r="C16" i="2"/>
  <c r="B16" i="2"/>
  <c r="C21" i="3"/>
  <c r="R22" i="2"/>
  <c r="I35" i="8"/>
  <c r="I11" i="8"/>
  <c r="I7" i="8"/>
  <c r="I5" i="8"/>
  <c r="F103" i="1"/>
  <c r="E36" i="2"/>
  <c r="F36" i="2" s="1"/>
  <c r="C36" i="2"/>
  <c r="B36" i="2"/>
  <c r="E11" i="2"/>
  <c r="F11" i="2" s="1"/>
  <c r="C11" i="2"/>
  <c r="B11" i="2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J58" i="2"/>
  <c r="N5" i="4"/>
  <c r="H21" i="3"/>
  <c r="E13" i="2"/>
  <c r="F13" i="2" s="1"/>
  <c r="C13" i="2"/>
  <c r="B13" i="2"/>
  <c r="H31" i="2"/>
  <c r="E30" i="2"/>
  <c r="F30" i="2" s="1"/>
  <c r="C30" i="2"/>
  <c r="B30" i="2"/>
  <c r="G29" i="2" l="1"/>
  <c r="G10" i="2"/>
  <c r="I3" i="8"/>
  <c r="I36" i="8"/>
  <c r="G36" i="2"/>
  <c r="G11" i="2"/>
  <c r="I10" i="8"/>
  <c r="I26" i="8"/>
  <c r="I34" i="8"/>
  <c r="I21" i="8"/>
  <c r="I29" i="8"/>
  <c r="I14" i="8"/>
  <c r="I30" i="8"/>
  <c r="I38" i="8"/>
  <c r="I15" i="8"/>
  <c r="I31" i="8"/>
  <c r="I39" i="8"/>
  <c r="I8" i="8"/>
  <c r="I24" i="8"/>
  <c r="I9" i="8"/>
  <c r="G13" i="2"/>
  <c r="G30" i="2"/>
  <c r="I41" i="8" l="1"/>
  <c r="E27" i="2"/>
  <c r="F27" i="2" s="1"/>
  <c r="C27" i="2"/>
  <c r="B27" i="2"/>
  <c r="G27" i="2" l="1"/>
  <c r="E9" i="2"/>
  <c r="F9" i="2" s="1"/>
  <c r="C9" i="2"/>
  <c r="B9" i="2"/>
  <c r="G9" i="2" l="1"/>
  <c r="D23" i="3" l="1"/>
  <c r="F78" i="1" l="1"/>
  <c r="F63" i="1"/>
  <c r="F61" i="1"/>
  <c r="F53" i="1"/>
  <c r="F28" i="1"/>
  <c r="B3" i="4" l="1"/>
  <c r="C23" i="4" s="1"/>
  <c r="C4" i="4"/>
  <c r="C3" i="4" s="1"/>
  <c r="K5" i="4"/>
  <c r="Q8" i="2"/>
  <c r="D23" i="4" l="1"/>
  <c r="K4" i="4"/>
  <c r="E19" i="2" l="1"/>
  <c r="F19" i="2" s="1"/>
  <c r="C19" i="2"/>
  <c r="B19" i="2"/>
  <c r="G19" i="2" l="1"/>
  <c r="J4" i="4" l="1"/>
  <c r="I4" i="4" l="1"/>
  <c r="Q28" i="2" l="1"/>
  <c r="C22" i="2" l="1"/>
  <c r="B22" i="2"/>
  <c r="Q40" i="2" l="1"/>
  <c r="Q38" i="2" l="1"/>
  <c r="C17" i="2" l="1"/>
  <c r="B17" i="2"/>
  <c r="C37" i="2" l="1"/>
  <c r="B37" i="2"/>
  <c r="C8" i="2"/>
  <c r="B8" i="2"/>
  <c r="G4" i="4" l="1"/>
  <c r="C24" i="2" l="1"/>
  <c r="B24" i="2"/>
  <c r="H145" i="1" l="1"/>
  <c r="H144" i="1"/>
  <c r="H143" i="1"/>
  <c r="H142" i="1"/>
  <c r="H141" i="1"/>
  <c r="E22" i="2" s="1"/>
  <c r="H140" i="1"/>
  <c r="E24" i="2" s="1"/>
  <c r="H139" i="1"/>
  <c r="H138" i="1"/>
  <c r="H137" i="1"/>
  <c r="E20" i="2" s="1"/>
  <c r="H135" i="1"/>
  <c r="D10" i="2" s="1"/>
  <c r="T10" i="2" s="1"/>
  <c r="H133" i="1"/>
  <c r="H132" i="1"/>
  <c r="H131" i="1"/>
  <c r="E16" i="2" s="1"/>
  <c r="H130" i="1"/>
  <c r="H129" i="1"/>
  <c r="H128" i="1"/>
  <c r="H127" i="1"/>
  <c r="D36" i="2" s="1"/>
  <c r="H126" i="1"/>
  <c r="H125" i="1"/>
  <c r="H124" i="1"/>
  <c r="D11" i="2" s="1"/>
  <c r="H123" i="1"/>
  <c r="H122" i="1"/>
  <c r="H121" i="1"/>
  <c r="H120" i="1"/>
  <c r="D30" i="2" s="1"/>
  <c r="H119" i="1"/>
  <c r="H118" i="1"/>
  <c r="H117" i="1"/>
  <c r="H116" i="1"/>
  <c r="H115" i="1"/>
  <c r="E8" i="2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D22" i="2" s="1"/>
  <c r="H98" i="1"/>
  <c r="E17" i="2" s="1"/>
  <c r="H97" i="1"/>
  <c r="H96" i="1"/>
  <c r="D17" i="2" s="1"/>
  <c r="T17" i="2" s="1"/>
  <c r="H95" i="1"/>
  <c r="D9" i="3" l="1"/>
  <c r="F22" i="2"/>
  <c r="G22" i="2" s="1"/>
  <c r="E6" i="2"/>
  <c r="D9" i="2"/>
  <c r="D6" i="2"/>
  <c r="D16" i="2"/>
  <c r="D13" i="2"/>
  <c r="D19" i="2"/>
  <c r="E37" i="2"/>
  <c r="D27" i="2"/>
  <c r="F17" i="2"/>
  <c r="G17" i="2" s="1"/>
  <c r="O28" i="2"/>
  <c r="D5" i="3"/>
  <c r="D4" i="4"/>
  <c r="E4" i="4" s="1"/>
  <c r="F4" i="4" s="1"/>
  <c r="F6" i="2" l="1"/>
  <c r="G6" i="2" s="1"/>
  <c r="F16" i="2"/>
  <c r="G16" i="2" s="1"/>
  <c r="E3" i="4"/>
  <c r="D3" i="4"/>
  <c r="E23" i="4" s="1"/>
  <c r="F23" i="4" s="1"/>
  <c r="E34" i="2" l="1"/>
  <c r="F34" i="2" s="1"/>
  <c r="C34" i="2"/>
  <c r="B34" i="2"/>
  <c r="G34" i="2" l="1"/>
  <c r="E18" i="2"/>
  <c r="F18" i="2" s="1"/>
  <c r="C18" i="2"/>
  <c r="B18" i="2"/>
  <c r="G18" i="2" l="1"/>
  <c r="E31" i="2"/>
  <c r="C31" i="2"/>
  <c r="B31" i="2"/>
  <c r="E33" i="2"/>
  <c r="E32" i="2"/>
  <c r="E26" i="2"/>
  <c r="E15" i="2"/>
  <c r="F15" i="2" s="1"/>
  <c r="E14" i="2"/>
  <c r="F14" i="2" s="1"/>
  <c r="E12" i="2"/>
  <c r="D15" i="3" l="1"/>
  <c r="G6" i="3"/>
  <c r="H6" i="3"/>
  <c r="H94" i="1" l="1"/>
  <c r="H93" i="1"/>
  <c r="D24" i="2" s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E21" i="2" s="1"/>
  <c r="H74" i="1"/>
  <c r="E25" i="2" s="1"/>
  <c r="H73" i="1"/>
  <c r="T24" i="2" l="1"/>
  <c r="F24" i="2"/>
  <c r="G24" i="2" s="1"/>
  <c r="D31" i="2"/>
  <c r="F31" i="2" s="1"/>
  <c r="G31" i="2" s="1"/>
  <c r="D18" i="2"/>
  <c r="D34" i="2"/>
  <c r="C33" i="2"/>
  <c r="B33" i="2"/>
  <c r="G62" i="1" l="1"/>
  <c r="C35" i="2" s="1"/>
  <c r="H63" i="1"/>
  <c r="H64" i="1"/>
  <c r="D33" i="2" s="1"/>
  <c r="H65" i="1"/>
  <c r="H66" i="1"/>
  <c r="H67" i="1"/>
  <c r="H68" i="1"/>
  <c r="H69" i="1"/>
  <c r="H70" i="1"/>
  <c r="H71" i="1"/>
  <c r="H72" i="1"/>
  <c r="H61" i="1"/>
  <c r="H62" i="1" l="1"/>
  <c r="F33" i="2"/>
  <c r="G33" i="2" s="1"/>
  <c r="C21" i="2"/>
  <c r="B21" i="2"/>
  <c r="H60" i="1" l="1"/>
  <c r="D21" i="2" s="1"/>
  <c r="F21" i="2" s="1"/>
  <c r="G21" i="2" s="1"/>
  <c r="H59" i="1" l="1"/>
  <c r="H58" i="1" l="1"/>
  <c r="H57" i="1" l="1"/>
  <c r="H56" i="1" l="1"/>
  <c r="H55" i="1" l="1"/>
  <c r="H54" i="1" l="1"/>
  <c r="H52" i="1"/>
  <c r="H53" i="1" l="1"/>
  <c r="E23" i="2" s="1"/>
  <c r="C32" i="2" l="1"/>
  <c r="B32" i="2"/>
  <c r="C26" i="2"/>
  <c r="B26" i="2"/>
  <c r="C25" i="2"/>
  <c r="B25" i="2"/>
  <c r="C23" i="2"/>
  <c r="B23" i="2"/>
  <c r="C20" i="2"/>
  <c r="B20" i="2"/>
  <c r="C15" i="2"/>
  <c r="G15" i="2" s="1"/>
  <c r="B15" i="2"/>
  <c r="C14" i="2"/>
  <c r="G14" i="2" s="1"/>
  <c r="B14" i="2"/>
  <c r="C12" i="2"/>
  <c r="B12" i="2"/>
  <c r="C7" i="2"/>
  <c r="B7" i="2"/>
  <c r="H15" i="1"/>
  <c r="E28" i="2" s="1"/>
  <c r="H31" i="1"/>
  <c r="H51" i="1"/>
  <c r="H50" i="1"/>
  <c r="H49" i="1"/>
  <c r="E35" i="2" s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D15" i="2" s="1"/>
  <c r="H33" i="1"/>
  <c r="H32" i="1"/>
  <c r="H30" i="1"/>
  <c r="H29" i="1"/>
  <c r="H28" i="1"/>
  <c r="D23" i="2" s="1"/>
  <c r="H27" i="1"/>
  <c r="H26" i="1"/>
  <c r="H25" i="1"/>
  <c r="D37" i="2" s="1"/>
  <c r="H24" i="1"/>
  <c r="H23" i="1"/>
  <c r="H22" i="1"/>
  <c r="H21" i="1"/>
  <c r="H20" i="1"/>
  <c r="H19" i="1"/>
  <c r="D12" i="2" s="1"/>
  <c r="H18" i="1"/>
  <c r="H17" i="1"/>
  <c r="E7" i="2" s="1"/>
  <c r="H16" i="1"/>
  <c r="H14" i="1"/>
  <c r="H13" i="1"/>
  <c r="H12" i="1"/>
  <c r="H11" i="1"/>
  <c r="D28" i="2" s="1"/>
  <c r="H10" i="1"/>
  <c r="D8" i="2" s="1"/>
  <c r="T8" i="2" s="1"/>
  <c r="H9" i="1"/>
  <c r="H8" i="1"/>
  <c r="H7" i="1"/>
  <c r="H6" i="1"/>
  <c r="H5" i="1"/>
  <c r="H4" i="1"/>
  <c r="H3" i="1"/>
  <c r="D14" i="2" s="1"/>
  <c r="H2" i="1"/>
  <c r="D35" i="2" l="1"/>
  <c r="K29" i="2"/>
  <c r="T29" i="2" s="1"/>
  <c r="K10" i="2"/>
  <c r="M10" i="2" s="1"/>
  <c r="O10" i="2" s="1"/>
  <c r="S10" i="2" s="1"/>
  <c r="K11" i="2"/>
  <c r="T11" i="2" s="1"/>
  <c r="K26" i="2"/>
  <c r="K9" i="2"/>
  <c r="T9" i="2" s="1"/>
  <c r="K25" i="2"/>
  <c r="M25" i="2" s="1"/>
  <c r="K8" i="2"/>
  <c r="M8" i="2" s="1"/>
  <c r="K24" i="2"/>
  <c r="M24" i="2" s="1"/>
  <c r="K7" i="2"/>
  <c r="K23" i="2"/>
  <c r="K31" i="2"/>
  <c r="T31" i="2" s="1"/>
  <c r="K14" i="2"/>
  <c r="K21" i="2"/>
  <c r="M21" i="2" s="1"/>
  <c r="K19" i="2"/>
  <c r="K37" i="2"/>
  <c r="M37" i="2" s="1"/>
  <c r="K20" i="2"/>
  <c r="K36" i="2"/>
  <c r="K17" i="2"/>
  <c r="M17" i="2" s="1"/>
  <c r="K35" i="2"/>
  <c r="M35" i="2" s="1"/>
  <c r="O35" i="2" s="1"/>
  <c r="K18" i="2"/>
  <c r="T18" i="2" s="1"/>
  <c r="K34" i="2"/>
  <c r="T34" i="2" s="1"/>
  <c r="K15" i="2"/>
  <c r="T15" i="2" s="1"/>
  <c r="K33" i="2"/>
  <c r="K16" i="2"/>
  <c r="K32" i="2"/>
  <c r="K22" i="2"/>
  <c r="K30" i="2"/>
  <c r="T30" i="2" s="1"/>
  <c r="K13" i="2"/>
  <c r="T13" i="2" s="1"/>
  <c r="K28" i="2"/>
  <c r="K12" i="2"/>
  <c r="M12" i="2" s="1"/>
  <c r="O12" i="2" s="1"/>
  <c r="K27" i="2"/>
  <c r="K6" i="2"/>
  <c r="M6" i="2" s="1"/>
  <c r="P37" i="2"/>
  <c r="P35" i="2"/>
  <c r="P12" i="2"/>
  <c r="P28" i="2"/>
  <c r="S28" i="2" s="1"/>
  <c r="P17" i="2"/>
  <c r="F23" i="2"/>
  <c r="G23" i="2" s="1"/>
  <c r="T12" i="2"/>
  <c r="F12" i="2"/>
  <c r="G12" i="2" s="1"/>
  <c r="P8" i="2"/>
  <c r="F28" i="2"/>
  <c r="G28" i="2" s="1"/>
  <c r="P25" i="2"/>
  <c r="P21" i="2"/>
  <c r="P23" i="2"/>
  <c r="D20" i="2"/>
  <c r="F20" i="2" s="1"/>
  <c r="G20" i="2" s="1"/>
  <c r="D26" i="2"/>
  <c r="D7" i="2"/>
  <c r="D32" i="2"/>
  <c r="D25" i="2"/>
  <c r="M29" i="2" l="1"/>
  <c r="O29" i="2" s="1"/>
  <c r="S29" i="2" s="1"/>
  <c r="T32" i="2"/>
  <c r="T26" i="2"/>
  <c r="M16" i="2"/>
  <c r="O16" i="2" s="1"/>
  <c r="S16" i="2" s="1"/>
  <c r="T16" i="2" s="1"/>
  <c r="M36" i="2"/>
  <c r="O36" i="2" s="1"/>
  <c r="S36" i="2" s="1"/>
  <c r="T36" i="2"/>
  <c r="T22" i="2"/>
  <c r="M22" i="2"/>
  <c r="O22" i="2" s="1"/>
  <c r="S22" i="2" s="1"/>
  <c r="T27" i="2"/>
  <c r="M27" i="2"/>
  <c r="O27" i="2" s="1"/>
  <c r="S27" i="2" s="1"/>
  <c r="M9" i="2"/>
  <c r="O9" i="2" s="1"/>
  <c r="S9" i="2" s="1"/>
  <c r="M13" i="2"/>
  <c r="O13" i="2" s="1"/>
  <c r="S13" i="2" s="1"/>
  <c r="M30" i="2"/>
  <c r="O30" i="2" s="1"/>
  <c r="S30" i="2" s="1"/>
  <c r="M11" i="2"/>
  <c r="O11" i="2" s="1"/>
  <c r="S11" i="2" s="1"/>
  <c r="O6" i="2"/>
  <c r="S6" i="2" s="1"/>
  <c r="T6" i="2"/>
  <c r="S12" i="2"/>
  <c r="S35" i="2"/>
  <c r="M23" i="2"/>
  <c r="O23" i="2" s="1"/>
  <c r="S23" i="2" s="1"/>
  <c r="T23" i="2"/>
  <c r="M20" i="2"/>
  <c r="O20" i="2" s="1"/>
  <c r="S20" i="2" s="1"/>
  <c r="T20" i="2" s="1"/>
  <c r="M19" i="2"/>
  <c r="O19" i="2" s="1"/>
  <c r="S19" i="2" s="1"/>
  <c r="T19" i="2"/>
  <c r="M18" i="2"/>
  <c r="O18" i="2" s="1"/>
  <c r="S18" i="2" s="1"/>
  <c r="M14" i="2"/>
  <c r="O14" i="2" s="1"/>
  <c r="S14" i="2" s="1"/>
  <c r="T14" i="2"/>
  <c r="M7" i="2"/>
  <c r="O7" i="2" s="1"/>
  <c r="S7" i="2" s="1"/>
  <c r="T7" i="2"/>
  <c r="M15" i="2"/>
  <c r="O15" i="2" s="1"/>
  <c r="S15" i="2" s="1"/>
  <c r="M34" i="2"/>
  <c r="O34" i="2" s="1"/>
  <c r="S34" i="2" s="1"/>
  <c r="M33" i="2"/>
  <c r="O33" i="2" s="1"/>
  <c r="S33" i="2" s="1"/>
  <c r="M32" i="2"/>
  <c r="O32" i="2" s="1"/>
  <c r="S32" i="2" s="1"/>
  <c r="M31" i="2"/>
  <c r="O31" i="2" s="1"/>
  <c r="S31" i="2" s="1"/>
  <c r="M28" i="2"/>
  <c r="M26" i="2"/>
  <c r="O26" i="2" s="1"/>
  <c r="S26" i="2" s="1"/>
  <c r="O37" i="2"/>
  <c r="S37" i="2" s="1"/>
  <c r="F26" i="2"/>
  <c r="G26" i="2" s="1"/>
  <c r="O21" i="2"/>
  <c r="S21" i="2" s="1"/>
  <c r="O17" i="2"/>
  <c r="S17" i="2" s="1"/>
  <c r="O24" i="2"/>
  <c r="S24" i="2" s="1"/>
  <c r="F25" i="2"/>
  <c r="G25" i="2" s="1"/>
  <c r="T25" i="2"/>
  <c r="F32" i="2"/>
  <c r="G32" i="2" s="1"/>
  <c r="F8" i="2"/>
  <c r="G8" i="2" s="1"/>
  <c r="F7" i="2"/>
  <c r="G7" i="2" s="1"/>
  <c r="F35" i="2"/>
  <c r="G35" i="2" s="1"/>
  <c r="F37" i="2"/>
  <c r="G37" i="2" s="1"/>
  <c r="O8" i="2"/>
  <c r="S8" i="2" s="1"/>
  <c r="O25" i="2"/>
  <c r="S25" i="2" s="1"/>
  <c r="M38" i="2" l="1"/>
  <c r="M4" i="4"/>
  <c r="N4" i="4"/>
  <c r="J3" i="4"/>
  <c r="P38" i="2"/>
  <c r="G38" i="2"/>
  <c r="O38" i="2"/>
  <c r="Y10" i="2" l="1"/>
  <c r="Y29" i="2"/>
  <c r="Y36" i="2"/>
  <c r="Y6" i="2"/>
  <c r="Y33" i="2"/>
  <c r="Y16" i="2"/>
  <c r="AA2" i="4"/>
  <c r="Y38" i="2"/>
  <c r="Y20" i="2"/>
  <c r="Y32" i="2"/>
  <c r="Y26" i="2"/>
  <c r="Y34" i="2"/>
  <c r="Y28" i="2"/>
  <c r="Y24" i="2"/>
  <c r="Y8" i="2"/>
  <c r="Y12" i="2"/>
  <c r="Y13" i="2"/>
  <c r="Y22" i="2"/>
  <c r="Y11" i="2"/>
  <c r="Y35" i="2"/>
  <c r="Y7" i="2"/>
  <c r="Y25" i="2"/>
  <c r="Y37" i="2"/>
  <c r="Y9" i="2"/>
  <c r="Y31" i="2"/>
  <c r="Y30" i="2"/>
  <c r="Y14" i="2"/>
  <c r="Y21" i="2"/>
  <c r="Y27" i="2"/>
  <c r="Y17" i="2"/>
  <c r="Y18" i="2"/>
  <c r="Y19" i="2"/>
  <c r="Y23" i="2"/>
  <c r="Y15" i="2"/>
  <c r="P4" i="4"/>
  <c r="K3" i="4"/>
  <c r="I3" i="4"/>
  <c r="S38" i="2"/>
  <c r="Q41" i="2" s="1"/>
  <c r="H4" i="4"/>
  <c r="H3" i="4" s="1"/>
  <c r="AK9" i="2" l="1"/>
  <c r="AK15" i="2"/>
  <c r="AA4" i="4"/>
  <c r="AK14" i="2"/>
  <c r="AK7" i="2"/>
  <c r="F5" i="3"/>
  <c r="G5" i="3" s="1"/>
  <c r="P3" i="4"/>
  <c r="N3" i="4"/>
  <c r="O4" i="4"/>
  <c r="O3" i="4" s="1"/>
  <c r="AK13" i="2"/>
  <c r="AK11" i="2"/>
  <c r="AK12" i="2"/>
  <c r="AK10" i="2"/>
  <c r="AK8" i="2"/>
  <c r="F3" i="4"/>
  <c r="G23" i="4" s="1"/>
  <c r="G3" i="4"/>
  <c r="V4" i="4" l="1"/>
  <c r="V6" i="4"/>
  <c r="V3" i="4" s="1"/>
  <c r="AA5" i="4"/>
  <c r="H23" i="4"/>
  <c r="I23" i="4" s="1"/>
  <c r="J23" i="4" s="1"/>
  <c r="K23" i="4" s="1"/>
  <c r="L23" i="4" s="1"/>
  <c r="M23" i="4" s="1"/>
  <c r="S3" i="4"/>
  <c r="F15" i="3"/>
  <c r="H5" i="3"/>
  <c r="U3" i="4" l="1"/>
  <c r="V23" i="4" s="1"/>
  <c r="M16" i="4" s="1"/>
  <c r="T3" i="4"/>
  <c r="Q3" i="4"/>
  <c r="R4" i="4"/>
  <c r="R3" i="4" s="1"/>
  <c r="M3" i="4" l="1"/>
  <c r="N23" i="4" s="1"/>
  <c r="O23" i="4" s="1"/>
  <c r="P23" i="4" s="1"/>
  <c r="Q23" i="4" s="1"/>
  <c r="R23" i="4" s="1"/>
  <c r="G15" i="3" l="1"/>
  <c r="H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</author>
  </authors>
  <commentList>
    <comment ref="N7" authorId="0" shapeId="0" xr:uid="{15453705-B9E3-43E9-BEB6-C7A568EEF3F0}">
      <text>
        <r>
          <rPr>
            <b/>
            <sz val="9"/>
            <color indexed="81"/>
            <rFont val="Segoe UI"/>
            <family val="2"/>
          </rPr>
          <t>Joao:</t>
        </r>
        <r>
          <rPr>
            <sz val="9"/>
            <color indexed="81"/>
            <rFont val="Segoe UI"/>
            <family val="2"/>
          </rPr>
          <t xml:space="preserve">
vender metade nesse patamar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pucrs</author>
    <author>Joao</author>
  </authors>
  <commentList>
    <comment ref="M5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FIIs, BABA34, XINA11</t>
        </r>
      </text>
    </comment>
    <comment ref="N5" authorId="1" shapeId="0" xr:uid="{7D00AD2C-BB61-49EA-9CC5-CE44D3DBA169}">
      <text>
        <r>
          <rPr>
            <b/>
            <sz val="9"/>
            <color indexed="81"/>
            <rFont val="Segoe UI"/>
            <family val="2"/>
          </rPr>
          <t>Joao:</t>
        </r>
        <r>
          <rPr>
            <sz val="9"/>
            <color indexed="81"/>
            <rFont val="Segoe UI"/>
            <family val="2"/>
          </rPr>
          <t xml:space="preserve">
aporte 3000, saída fundo Western e compra IVVB11</t>
        </r>
      </text>
    </comment>
  </commentList>
</comments>
</file>

<file path=xl/sharedStrings.xml><?xml version="1.0" encoding="utf-8"?>
<sst xmlns="http://schemas.openxmlformats.org/spreadsheetml/2006/main" count="658" uniqueCount="214">
  <si>
    <t>Data</t>
  </si>
  <si>
    <t>Ativo</t>
  </si>
  <si>
    <t>Unidades</t>
  </si>
  <si>
    <t>Preço</t>
  </si>
  <si>
    <t>Valor total</t>
  </si>
  <si>
    <t>Tipo</t>
  </si>
  <si>
    <t>BBAS3</t>
  </si>
  <si>
    <t>Compra</t>
  </si>
  <si>
    <t>CVCB3</t>
  </si>
  <si>
    <t>BOVA11</t>
  </si>
  <si>
    <t>Venda</t>
  </si>
  <si>
    <t>VVAR3</t>
  </si>
  <si>
    <t>RENT3</t>
  </si>
  <si>
    <t>PETR4</t>
  </si>
  <si>
    <t>ABEV3</t>
  </si>
  <si>
    <t>AZUL4</t>
  </si>
  <si>
    <t>CEAB3</t>
  </si>
  <si>
    <t>YDUQ3</t>
  </si>
  <si>
    <t>VALE3</t>
  </si>
  <si>
    <t>MGLU3</t>
  </si>
  <si>
    <t>JBSS3</t>
  </si>
  <si>
    <t>CYRE3</t>
  </si>
  <si>
    <t>RADL3</t>
  </si>
  <si>
    <t>BRFS3</t>
  </si>
  <si>
    <t>USIM5</t>
  </si>
  <si>
    <t>EQTL3</t>
  </si>
  <si>
    <t>IGTA3</t>
  </si>
  <si>
    <t>PCAR3</t>
  </si>
  <si>
    <t>Valor total operação</t>
  </si>
  <si>
    <t>PORTFÓLIO</t>
  </si>
  <si>
    <t>TOTAL</t>
  </si>
  <si>
    <t>Lucro/Prejuízo</t>
  </si>
  <si>
    <t>Saldo disponível</t>
  </si>
  <si>
    <t>Portfólio de ações</t>
  </si>
  <si>
    <t>Pmédio compra</t>
  </si>
  <si>
    <t>Pmédio venda</t>
  </si>
  <si>
    <t>Unidades compra</t>
  </si>
  <si>
    <t>Unidades venda</t>
  </si>
  <si>
    <t>Lucro/Prejuízo realizado</t>
  </si>
  <si>
    <t>Diferença de preço</t>
  </si>
  <si>
    <t>Rendimento</t>
  </si>
  <si>
    <t>KLBN11</t>
  </si>
  <si>
    <t>VIVA3</t>
  </si>
  <si>
    <t>Investimento Inicial</t>
  </si>
  <si>
    <t xml:space="preserve">Data </t>
  </si>
  <si>
    <t>Valor Atual</t>
  </si>
  <si>
    <t>Rendimento mensal médio</t>
  </si>
  <si>
    <t>Rendimento anual</t>
  </si>
  <si>
    <t>Banco</t>
  </si>
  <si>
    <t>XP</t>
  </si>
  <si>
    <t>Vencimento</t>
  </si>
  <si>
    <t>Total</t>
  </si>
  <si>
    <t xml:space="preserve"> </t>
  </si>
  <si>
    <t>TOTS3</t>
  </si>
  <si>
    <t>Preço-alvo</t>
  </si>
  <si>
    <t>GOAU4</t>
  </si>
  <si>
    <t>Rótulos de Linha</t>
  </si>
  <si>
    <t>Total Geral</t>
  </si>
  <si>
    <t>Soma de Valor Atual</t>
  </si>
  <si>
    <t>Rendimento mensal</t>
  </si>
  <si>
    <t>Valor inicial</t>
  </si>
  <si>
    <t>Valor final</t>
  </si>
  <si>
    <t>Novo aporte</t>
  </si>
  <si>
    <t>Lucro total</t>
  </si>
  <si>
    <t>IBOV</t>
  </si>
  <si>
    <t>Rent. Acumulada</t>
  </si>
  <si>
    <t>Corretagem</t>
  </si>
  <si>
    <t>Lucro real</t>
  </si>
  <si>
    <t>valores estimados</t>
  </si>
  <si>
    <t>NTCO3</t>
  </si>
  <si>
    <t>eu</t>
  </si>
  <si>
    <t>ibov</t>
  </si>
  <si>
    <t>Atual</t>
  </si>
  <si>
    <t>Op finalizada 1</t>
  </si>
  <si>
    <t>Rendimento atual</t>
  </si>
  <si>
    <t>DTEX3</t>
  </si>
  <si>
    <t>LREN3</t>
  </si>
  <si>
    <t>BABA34</t>
  </si>
  <si>
    <t>GMAT3</t>
  </si>
  <si>
    <t>Ações Brasil</t>
  </si>
  <si>
    <t>Distribuição Setorial</t>
  </si>
  <si>
    <t>Setor</t>
  </si>
  <si>
    <t>¨%</t>
  </si>
  <si>
    <t>Tecnologia</t>
  </si>
  <si>
    <t>XPCM11</t>
  </si>
  <si>
    <t>XINA11</t>
  </si>
  <si>
    <t>Ações EUA</t>
  </si>
  <si>
    <t>-</t>
  </si>
  <si>
    <t>BPAC11</t>
  </si>
  <si>
    <t>PETZ3</t>
  </si>
  <si>
    <t>VIVT3</t>
  </si>
  <si>
    <t>SQIA3</t>
  </si>
  <si>
    <t>CSAN3</t>
  </si>
  <si>
    <t>Caixa</t>
  </si>
  <si>
    <t>IVVB11</t>
  </si>
  <si>
    <t>Renda fixa pós</t>
  </si>
  <si>
    <t>João</t>
  </si>
  <si>
    <t>x</t>
  </si>
  <si>
    <t>ticker ações</t>
  </si>
  <si>
    <t>dividendos</t>
  </si>
  <si>
    <t>nome clear</t>
  </si>
  <si>
    <t>Segue o tipo de cada ativo para preenchimento no documento:</t>
  </si>
  <si>
    <t>Ações Ordinárias (final 3): "ON"</t>
  </si>
  <si>
    <t>Ações Preferenciais (com final 4): "PN"</t>
  </si>
  <si>
    <t>Ações Units: "Cotas"</t>
  </si>
  <si>
    <t>Fundos Imobiliários: "Cotas"</t>
  </si>
  <si>
    <t>Recibo do Subscrição (FIIs): "Cotas"</t>
  </si>
  <si>
    <t>BDR: em branco</t>
  </si>
  <si>
    <t>COE: "Cotas"</t>
  </si>
  <si>
    <t>Ouro: "Gramas"</t>
  </si>
  <si>
    <t>Call (opção de compra): "OPC"</t>
  </si>
  <si>
    <t>Put (opção de venda): "OPV"</t>
  </si>
  <si>
    <t>Proventos (Dividendos, JCP): "Proventos"</t>
  </si>
  <si>
    <t>Tesouro: "TPF"</t>
  </si>
  <si>
    <t>Renda Fixa: opção com tipo do ativo</t>
  </si>
  <si>
    <t>Resumo dos negócios no período</t>
  </si>
  <si>
    <t>Cód.</t>
  </si>
  <si>
    <t>Período</t>
  </si>
  <si>
    <t>Preço Médio Compra</t>
  </si>
  <si>
    <t>Preço Médio Venda</t>
  </si>
  <si>
    <t>20/03/2020 a 02/04/2020</t>
  </si>
  <si>
    <t>26/03/2020 a 30/03/2020</t>
  </si>
  <si>
    <t>AZUL4F</t>
  </si>
  <si>
    <t>02/04/2020 a 22/06/2020</t>
  </si>
  <si>
    <t>28/10/2020</t>
  </si>
  <si>
    <t>12/03/2020 a 18/03/2020</t>
  </si>
  <si>
    <t>12/03/2020 a 13/03/2020</t>
  </si>
  <si>
    <t>BRFS3F</t>
  </si>
  <si>
    <t>20/04/2020 a 30/04/2020</t>
  </si>
  <si>
    <t>30/03/2020 a 02/12/2020</t>
  </si>
  <si>
    <t>CVCB1F</t>
  </si>
  <si>
    <t>CYRE3F</t>
  </si>
  <si>
    <t>20/04/2020 a 12/08/2020</t>
  </si>
  <si>
    <t>25/09/2020 a 27/10/2020</t>
  </si>
  <si>
    <t>EQTL3F</t>
  </si>
  <si>
    <t>20/04/2020 a 05/05/2020</t>
  </si>
  <si>
    <t>24/07/2020 a 31/07/2020</t>
  </si>
  <si>
    <t>IGTA3F</t>
  </si>
  <si>
    <t>30/04/2020 a 19/08/2020</t>
  </si>
  <si>
    <t>28/07/2020</t>
  </si>
  <si>
    <t>JBSS3F</t>
  </si>
  <si>
    <t>03/04/2020 a 28/07/2020</t>
  </si>
  <si>
    <t>KLBN11F</t>
  </si>
  <si>
    <t>02/06/2020 a 22/07/2020</t>
  </si>
  <si>
    <t>LREN3F</t>
  </si>
  <si>
    <t>27/10/2020</t>
  </si>
  <si>
    <t>MGLU3F</t>
  </si>
  <si>
    <t>02/04/2020 a 22/07/2020</t>
  </si>
  <si>
    <t>NTCO3F</t>
  </si>
  <si>
    <t>26/08/2020 a 16/10/2020</t>
  </si>
  <si>
    <t>PCAR3F</t>
  </si>
  <si>
    <t>05/05/2020 a 21/07/2020</t>
  </si>
  <si>
    <t>18/03/2020</t>
  </si>
  <si>
    <t>PETR4F</t>
  </si>
  <si>
    <t>03/04/2020 a 06/04/2020</t>
  </si>
  <si>
    <t>RADL3F</t>
  </si>
  <si>
    <t>18/03/2020 a 25/09/2020</t>
  </si>
  <si>
    <t>RENT3F</t>
  </si>
  <si>
    <t>31/07/2020 a 25/09/2020</t>
  </si>
  <si>
    <t>RLOG3</t>
  </si>
  <si>
    <t>23/11/2020</t>
  </si>
  <si>
    <t>TOTS3F</t>
  </si>
  <si>
    <t>22/07/2020 a 28/10/2020</t>
  </si>
  <si>
    <t>USIM5F</t>
  </si>
  <si>
    <t>VALE3F</t>
  </si>
  <si>
    <t>02/04/2020 a 17/11/2020</t>
  </si>
  <si>
    <t>VIVA3F</t>
  </si>
  <si>
    <t>10/06/2020 a 24/11/2020</t>
  </si>
  <si>
    <t>VIVT4F</t>
  </si>
  <si>
    <t>27/07/2020 a 31/07/2020</t>
  </si>
  <si>
    <t>13/03/2020 a 03/12/2020</t>
  </si>
  <si>
    <t>01/04/2020 a 02/04/2020</t>
  </si>
  <si>
    <t>YDUQ3F</t>
  </si>
  <si>
    <t>Qt compra</t>
  </si>
  <si>
    <t>Qt venda</t>
  </si>
  <si>
    <t>Total compra</t>
  </si>
  <si>
    <t>Total venda</t>
  </si>
  <si>
    <t>Lucro</t>
  </si>
  <si>
    <t>Mês</t>
  </si>
  <si>
    <t>Ano</t>
  </si>
  <si>
    <t>Soma de Valor total operação</t>
  </si>
  <si>
    <t>B3SA3</t>
  </si>
  <si>
    <t>Financeiro</t>
  </si>
  <si>
    <t>WEGE3</t>
  </si>
  <si>
    <t>Diversos</t>
  </si>
  <si>
    <t>DIRR3</t>
  </si>
  <si>
    <t>HASH11</t>
  </si>
  <si>
    <t>Cripto</t>
  </si>
  <si>
    <t>Dividendos 2020</t>
  </si>
  <si>
    <t>Dividendos 2021</t>
  </si>
  <si>
    <t>BTG</t>
  </si>
  <si>
    <t>Bens Industriais</t>
  </si>
  <si>
    <t>Consumo não-cíclico</t>
  </si>
  <si>
    <t>Consumo cíclico</t>
  </si>
  <si>
    <t>Materiais básicos</t>
  </si>
  <si>
    <t>Comunicações</t>
  </si>
  <si>
    <t>Petróleo, gás</t>
  </si>
  <si>
    <t>AERI3</t>
  </si>
  <si>
    <t>BRIT3</t>
  </si>
  <si>
    <t>SANB11</t>
  </si>
  <si>
    <t>VENDER</t>
  </si>
  <si>
    <t>Vivo</t>
  </si>
  <si>
    <t>Azul</t>
  </si>
  <si>
    <t>CVC</t>
  </si>
  <si>
    <t>Renda fixa inflação</t>
  </si>
  <si>
    <t>CDB Facta 140% CDI</t>
  </si>
  <si>
    <t>Debênture Cemig IPCA + 4%</t>
  </si>
  <si>
    <t>Renda fixa pré</t>
  </si>
  <si>
    <t>CDB Original 11.65%</t>
  </si>
  <si>
    <t>Ações + saldo</t>
  </si>
  <si>
    <t>CDB Original 12.5%</t>
  </si>
  <si>
    <t>Preço (30/09)</t>
  </si>
  <si>
    <t>LC Will Financeira 135% CDI</t>
  </si>
  <si>
    <t>Trendi DI Simples FIRF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</si>
</sst>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16]d\-mmm;@"/>
    <numFmt numFmtId="166" formatCode="0.0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165" fontId="0" fillId="0" borderId="0" xfId="0" applyNumberFormat="1"/>
    <xf numFmtId="164" fontId="0" fillId="0" borderId="0" xfId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/>
    <xf numFmtId="164" fontId="0" fillId="0" borderId="1" xfId="1" applyFont="1" applyBorder="1"/>
    <xf numFmtId="164" fontId="0" fillId="0" borderId="1" xfId="0" applyNumberFormat="1" applyBorder="1"/>
    <xf numFmtId="0" fontId="2" fillId="0" borderId="0" xfId="0" applyFont="1" applyFill="1" applyBorder="1"/>
    <xf numFmtId="9" fontId="0" fillId="0" borderId="0" xfId="2" applyFont="1"/>
    <xf numFmtId="0" fontId="0" fillId="0" borderId="0" xfId="0" applyBorder="1"/>
    <xf numFmtId="0" fontId="2" fillId="0" borderId="0" xfId="0" applyFont="1" applyBorder="1"/>
    <xf numFmtId="4" fontId="0" fillId="0" borderId="0" xfId="0" applyNumberFormat="1"/>
    <xf numFmtId="3" fontId="0" fillId="0" borderId="1" xfId="0" applyNumberFormat="1" applyBorder="1"/>
    <xf numFmtId="14" fontId="0" fillId="0" borderId="1" xfId="0" applyNumberFormat="1" applyBorder="1"/>
    <xf numFmtId="4" fontId="0" fillId="0" borderId="1" xfId="0" applyNumberFormat="1" applyBorder="1"/>
    <xf numFmtId="10" fontId="0" fillId="0" borderId="1" xfId="2" applyNumberFormat="1" applyFont="1" applyBorder="1"/>
    <xf numFmtId="0" fontId="0" fillId="0" borderId="1" xfId="0" applyFill="1" applyBorder="1"/>
    <xf numFmtId="166" fontId="0" fillId="0" borderId="0" xfId="0" applyNumberFormat="1"/>
    <xf numFmtId="0" fontId="2" fillId="0" borderId="0" xfId="0" applyFont="1" applyBorder="1" applyAlignment="1">
      <alignment horizontal="center"/>
    </xf>
    <xf numFmtId="164" fontId="0" fillId="0" borderId="0" xfId="1" applyFont="1" applyBorder="1"/>
    <xf numFmtId="164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1" xfId="1" applyFont="1" applyFill="1" applyBorder="1"/>
    <xf numFmtId="10" fontId="0" fillId="0" borderId="1" xfId="0" applyNumberFormat="1" applyBorder="1"/>
    <xf numFmtId="164" fontId="0" fillId="2" borderId="1" xfId="1" applyFont="1" applyFill="1" applyBorder="1"/>
    <xf numFmtId="0" fontId="0" fillId="2" borderId="0" xfId="0" applyFill="1"/>
    <xf numFmtId="167" fontId="0" fillId="0" borderId="0" xfId="1" applyNumberFormat="1" applyFont="1"/>
    <xf numFmtId="167" fontId="0" fillId="0" borderId="0" xfId="0" applyNumberFormat="1"/>
    <xf numFmtId="38" fontId="0" fillId="0" borderId="0" xfId="0" applyNumberFormat="1"/>
    <xf numFmtId="164" fontId="0" fillId="0" borderId="1" xfId="0" applyNumberFormat="1" applyBorder="1"/>
    <xf numFmtId="2" fontId="0" fillId="0" borderId="0" xfId="0" applyNumberFormat="1" applyBorder="1"/>
    <xf numFmtId="17" fontId="0" fillId="0" borderId="1" xfId="0" applyNumberFormat="1" applyFill="1" applyBorder="1"/>
    <xf numFmtId="0" fontId="0" fillId="0" borderId="2" xfId="0" applyFill="1" applyBorder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0" borderId="1" xfId="0" applyFont="1" applyFill="1" applyBorder="1"/>
    <xf numFmtId="9" fontId="0" fillId="0" borderId="1" xfId="2" applyFont="1" applyBorder="1"/>
    <xf numFmtId="0" fontId="7" fillId="0" borderId="0" xfId="3" applyAlignment="1">
      <alignment vertical="center" wrapText="1" readingOrder="1"/>
    </xf>
    <xf numFmtId="0" fontId="6" fillId="3" borderId="1" xfId="0" applyFont="1" applyFill="1" applyBorder="1" applyAlignment="1">
      <alignment horizontal="left" vertical="center" indent="1" readingOrder="1"/>
    </xf>
    <xf numFmtId="0" fontId="6" fillId="3" borderId="1" xfId="0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right" vertical="center" indent="1" readingOrder="1"/>
    </xf>
    <xf numFmtId="3" fontId="6" fillId="3" borderId="1" xfId="0" applyNumberFormat="1" applyFont="1" applyFill="1" applyBorder="1" applyAlignment="1">
      <alignment horizontal="right" vertical="center" indent="1" readingOrder="1"/>
    </xf>
    <xf numFmtId="0" fontId="6" fillId="4" borderId="1" xfId="0" applyFont="1" applyFill="1" applyBorder="1" applyAlignment="1">
      <alignment horizontal="left" vertical="center" indent="1" readingOrder="1"/>
    </xf>
    <xf numFmtId="0" fontId="6" fillId="4" borderId="1" xfId="0" applyFont="1" applyFill="1" applyBorder="1" applyAlignment="1">
      <alignment horizontal="center" vertical="center" readingOrder="1"/>
    </xf>
    <xf numFmtId="0" fontId="6" fillId="4" borderId="1" xfId="0" applyFont="1" applyFill="1" applyBorder="1" applyAlignment="1">
      <alignment horizontal="right" vertical="center" indent="1" readingOrder="1"/>
    </xf>
    <xf numFmtId="3" fontId="6" fillId="4" borderId="1" xfId="0" applyNumberFormat="1" applyFont="1" applyFill="1" applyBorder="1" applyAlignment="1">
      <alignment horizontal="right" vertical="center" indent="1" readingOrder="1"/>
    </xf>
    <xf numFmtId="14" fontId="6" fillId="3" borderId="1" xfId="0" applyNumberFormat="1" applyFont="1" applyFill="1" applyBorder="1" applyAlignment="1">
      <alignment horizontal="center" vertical="center" readingOrder="1"/>
    </xf>
    <xf numFmtId="14" fontId="6" fillId="4" borderId="1" xfId="0" applyNumberFormat="1" applyFont="1" applyFill="1" applyBorder="1" applyAlignment="1">
      <alignment horizontal="center" vertical="center" readingOrder="1"/>
    </xf>
    <xf numFmtId="0" fontId="8" fillId="3" borderId="1" xfId="0" applyFont="1" applyFill="1" applyBorder="1" applyAlignment="1">
      <alignment horizontal="center" vertical="center" readingOrder="1"/>
    </xf>
    <xf numFmtId="164" fontId="6" fillId="3" borderId="1" xfId="1" applyFont="1" applyFill="1" applyBorder="1" applyAlignment="1">
      <alignment horizontal="right" vertical="center" indent="1" readingOrder="1"/>
    </xf>
    <xf numFmtId="0" fontId="8" fillId="3" borderId="3" xfId="0" applyFont="1" applyFill="1" applyBorder="1" applyAlignment="1">
      <alignment horizontal="center" vertical="center" readingOrder="1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/>
    <xf numFmtId="17" fontId="0" fillId="0" borderId="0" xfId="0" applyNumberFormat="1" applyFill="1" applyBorder="1"/>
    <xf numFmtId="3" fontId="0" fillId="0" borderId="0" xfId="0" applyNumberFormat="1" applyBorder="1"/>
    <xf numFmtId="4" fontId="0" fillId="0" borderId="0" xfId="0" applyNumberFormat="1" applyBorder="1"/>
    <xf numFmtId="9" fontId="0" fillId="0" borderId="0" xfId="2" applyFont="1" applyBorder="1"/>
    <xf numFmtId="0" fontId="0" fillId="0" borderId="4" xfId="0" applyBorder="1"/>
    <xf numFmtId="10" fontId="0" fillId="0" borderId="1" xfId="2" applyNumberFormat="1" applyFont="1" applyFill="1" applyBorder="1"/>
    <xf numFmtId="14" fontId="0" fillId="0" borderId="0" xfId="0" applyNumberFormat="1" applyBorder="1"/>
    <xf numFmtId="0" fontId="0" fillId="0" borderId="3" xfId="0" applyFill="1" applyBorder="1"/>
    <xf numFmtId="1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3"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Ações BR'!$AJ$7:$AJ$15</c:f>
              <c:strCache>
                <c:ptCount val="9"/>
                <c:pt idx="0">
                  <c:v>Bens Industriais</c:v>
                </c:pt>
                <c:pt idx="1">
                  <c:v>Financeiro</c:v>
                </c:pt>
                <c:pt idx="2">
                  <c:v>Consumo cíclico</c:v>
                </c:pt>
                <c:pt idx="3">
                  <c:v>Materiais básicos</c:v>
                </c:pt>
                <c:pt idx="4">
                  <c:v>Consumo não-cíclico</c:v>
                </c:pt>
                <c:pt idx="5">
                  <c:v>Petróleo, gás</c:v>
                </c:pt>
                <c:pt idx="6">
                  <c:v>Tecnologia</c:v>
                </c:pt>
                <c:pt idx="7">
                  <c:v>Comunicações</c:v>
                </c:pt>
                <c:pt idx="8">
                  <c:v>Caixa</c:v>
                </c:pt>
              </c:strCache>
            </c:strRef>
          </c:cat>
          <c:val>
            <c:numRef>
              <c:f>'Análise Ações BR'!$AK$7:$AK$15</c:f>
              <c:numCache>
                <c:formatCode>0%</c:formatCode>
                <c:ptCount val="9"/>
                <c:pt idx="0">
                  <c:v>0.17284035838528317</c:v>
                </c:pt>
                <c:pt idx="1">
                  <c:v>0.13080635890679282</c:v>
                </c:pt>
                <c:pt idx="2">
                  <c:v>0.12263996420057494</c:v>
                </c:pt>
                <c:pt idx="3">
                  <c:v>0.16059465670039191</c:v>
                </c:pt>
                <c:pt idx="4">
                  <c:v>5.6899219949999712E-2</c:v>
                </c:pt>
                <c:pt idx="5">
                  <c:v>5.4365488907345445E-2</c:v>
                </c:pt>
                <c:pt idx="6">
                  <c:v>7.311110849536076E-2</c:v>
                </c:pt>
                <c:pt idx="7">
                  <c:v>7.8693297044452604E-2</c:v>
                </c:pt>
                <c:pt idx="8">
                  <c:v>0.15004954740979867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7E0-A257-98B68F93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0727632"/>
        <c:axId val="390720968"/>
      </c:barChart>
      <c:catAx>
        <c:axId val="39072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720968"/>
        <c:crosses val="autoZero"/>
        <c:auto val="1"/>
        <c:lblAlgn val="ctr"/>
        <c:lblOffset val="100"/>
        <c:noMultiLvlLbl val="0"/>
      </c:catAx>
      <c:valAx>
        <c:axId val="39072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7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[Controle_investimentos.xlsx]Resumo investimentos!Tabela dinâmica1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'Resumo investimentos'!$N$4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18-4672-86D5-A1ABA471D5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18-4672-86D5-A1ABA471D5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18-4672-86D5-A1ABA471D5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18-4672-86D5-A1ABA471D5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18-4672-86D5-A1ABA471D54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9D-4416-9FFE-4BDCADE1027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9F6-4899-AB5B-C05E5BF382D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F6-4899-AB5B-C05E5BF382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'Resumo investimentos'!$M$5:$M$12</c:f>
              <c:strCache>
                <c:ptCount val="7"/>
                <c:pt idx="0">
                  <c:v>Ações Brasil</c:v>
                </c:pt>
                <c:pt idx="1">
                  <c:v>Ações EUA</c:v>
                </c:pt>
                <c:pt idx="2">
                  <c:v>Caixa</c:v>
                </c:pt>
                <c:pt idx="3">
                  <c:v>Renda fixa pós</c:v>
                </c:pt>
                <c:pt idx="4">
                  <c:v>Cripto</c:v>
                </c:pt>
                <c:pt idx="5">
                  <c:v>Renda fixa inflação</c:v>
                </c:pt>
                <c:pt idx="6">
                  <c:v>Renda fixa pré</c:v>
                </c:pt>
              </c:strCache>
            </c:strRef>
          </c:cat>
          <c:val>
            <c:numRef>
              <c:f>'Resumo investimentos'!$N$5:$N$12</c:f>
              <c:numCache>
                <c:formatCode>#,##0.00</c:formatCode>
                <c:ptCount val="7"/>
                <c:pt idx="0">
                  <c:v>42602.67</c:v>
                </c:pt>
                <c:pt idx="1">
                  <c:v>7075</c:v>
                </c:pt>
                <c:pt idx="2">
                  <c:v>17530.04</c:v>
                </c:pt>
                <c:pt idx="3">
                  <c:v>14116</c:v>
                </c:pt>
                <c:pt idx="4">
                  <c:v>7130.2</c:v>
                </c:pt>
                <c:pt idx="5">
                  <c:v>5623.8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C-48A8-8063-149B5FCD4F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416719</xdr:colOff>
      <xdr:row>3</xdr:row>
      <xdr:rowOff>98821</xdr:rowOff>
    </xdr:from>
    <xdr:to>
      <xdr:col>34</xdr:col>
      <xdr:colOff>392906</xdr:colOff>
      <xdr:row>36</xdr:row>
      <xdr:rowOff>130968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13</xdr:row>
      <xdr:rowOff>128587</xdr:rowOff>
    </xdr:from>
    <xdr:to>
      <xdr:col>14</xdr:col>
      <xdr:colOff>1019175</xdr:colOff>
      <xdr:row>29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CC183-F53B-41D4-9AB6-10CECFBF6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437019</xdr:colOff>
      <xdr:row>19</xdr:row>
      <xdr:rowOff>66214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47619" cy="3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19</xdr:row>
      <xdr:rowOff>114300</xdr:rowOff>
    </xdr:from>
    <xdr:to>
      <xdr:col>5</xdr:col>
      <xdr:colOff>227505</xdr:colOff>
      <xdr:row>37</xdr:row>
      <xdr:rowOff>66252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3733800"/>
          <a:ext cx="8761905" cy="33809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" refreshedDate="44500.518943287039" createdVersion="7" refreshedVersion="7" minRefreshableVersion="3" recordCount="270" xr:uid="{0AA15DC1-9398-414E-8795-C4C5415287D1}">
  <cacheSource type="worksheet">
    <worksheetSource ref="A1:H271" sheet="Fluxo"/>
  </cacheSource>
  <cacheFields count="8">
    <cacheField name="Ano" numFmtId="0">
      <sharedItems containsSemiMixedTypes="0" containsString="0" containsNumber="1" containsInteger="1" minValue="1900" maxValue="2021" count="3">
        <n v="2020"/>
        <n v="2021"/>
        <n v="1900"/>
      </sharedItems>
    </cacheField>
    <cacheField name="Mês" numFmtId="0">
      <sharedItems containsSemiMixedTypes="0" containsString="0" containsNumber="1" containsInteger="1" minValue="1" maxValue="12"/>
    </cacheField>
    <cacheField name="Data" numFmtId="165">
      <sharedItems containsNonDate="0" containsDate="1" containsString="0" containsBlank="1" minDate="2020-03-11T00:00:00" maxDate="2021-09-18T00:00:00"/>
    </cacheField>
    <cacheField name="Ativo" numFmtId="0">
      <sharedItems containsBlank="1" count="45">
        <s v="BBAS3"/>
        <s v="CVCB3"/>
        <s v="BOVA11"/>
        <s v="VVAR3"/>
        <s v="RENT3"/>
        <s v="PETR4"/>
        <s v="ABEV3"/>
        <s v="AZUL4"/>
        <s v="CEAB3"/>
        <s v="YDUQ3"/>
        <s v="VALE3"/>
        <s v="MGLU3"/>
        <s v="JBSS3"/>
        <s v="PCAR3"/>
        <s v="CYRE3"/>
        <s v="RADL3"/>
        <s v="BRFS3"/>
        <s v="USIM5"/>
        <s v="EQTL3"/>
        <s v="IGTA3"/>
        <s v="KLBN11"/>
        <s v="VIVA3"/>
        <s v="TOTS3"/>
        <s v="GOAU4"/>
        <s v="VIVT3"/>
        <s v="NTCO3"/>
        <s v="DTEX3"/>
        <s v="LREN3"/>
        <s v="BABA34"/>
        <s v="CSAN3"/>
        <s v="GMAT3"/>
        <s v="XPCM11"/>
        <s v="XINA11"/>
        <s v="BPAC11"/>
        <s v="PETZ3"/>
        <s v="SQIA3"/>
        <s v="IVVB11"/>
        <s v="B3SA3"/>
        <s v="WEGE3"/>
        <s v="DIRR3"/>
        <s v="HASH11"/>
        <s v="AERI3"/>
        <s v="SANB11"/>
        <s v="BRIT3"/>
        <m/>
      </sharedItems>
    </cacheField>
    <cacheField name="Tipo" numFmtId="0">
      <sharedItems containsBlank="1" count="3">
        <s v="Compra"/>
        <s v="Venda"/>
        <m/>
      </sharedItems>
    </cacheField>
    <cacheField name="Preço" numFmtId="0">
      <sharedItems containsString="0" containsBlank="1" containsNumber="1" minValue="4.32" maxValue="249"/>
    </cacheField>
    <cacheField name="Unidades" numFmtId="0">
      <sharedItems containsString="0" containsBlank="1" containsNumber="1" containsInteger="1" minValue="-100" maxValue="300"/>
    </cacheField>
    <cacheField name="Valor total operação" numFmtId="0">
      <sharedItems containsString="0" containsBlank="1" containsNumber="1" minValue="-5800" maxValue="6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" refreshedDate="44500.518943518517" createdVersion="7" refreshedVersion="7" minRefreshableVersion="3" recordCount="10" xr:uid="{1DD1DCA2-1528-465D-99F2-68FFF8873195}">
  <cacheSource type="worksheet">
    <worksheetSource ref="A4:I14" sheet="Resumo investimentos"/>
  </cacheSource>
  <cacheFields count="9">
    <cacheField name="Banco" numFmtId="0">
      <sharedItems/>
    </cacheField>
    <cacheField name="Tipo" numFmtId="0">
      <sharedItems count="8">
        <s v="Ações Brasil"/>
        <s v="Ações EUA"/>
        <s v="Caixa"/>
        <s v="Cripto"/>
        <s v="Renda fixa inflação"/>
        <s v="Renda fixa pós"/>
        <s v="Renda fixa pré"/>
        <s v="FIM" u="1"/>
      </sharedItems>
    </cacheField>
    <cacheField name="Ativo" numFmtId="0">
      <sharedItems containsBlank="1"/>
    </cacheField>
    <cacheField name="Investimento Inicial" numFmtId="0">
      <sharedItems containsString="0" containsBlank="1" containsNumber="1" minValue="3000" maxValue="39052.789999999994"/>
    </cacheField>
    <cacheField name="Data " numFmtId="0">
      <sharedItems containsNonDate="0" containsDate="1" containsString="0" containsBlank="1" minDate="2020-03-11T00:00:00" maxDate="2021-10-09T00:00:00"/>
    </cacheField>
    <cacheField name="Valor Atual" numFmtId="0">
      <sharedItems containsSemiMixedTypes="0" containsString="0" containsNumber="1" minValue="3000" maxValue="42602.67"/>
    </cacheField>
    <cacheField name="Rendimento mensal médio" numFmtId="0">
      <sharedItems containsString="0" containsBlank="1" containsNumber="1" minValue="0" maxValue="0.34482758620689657"/>
    </cacheField>
    <cacheField name="Rendimento anual" numFmtId="0">
      <sharedItems containsString="0" containsBlank="1" containsNumber="1" minValue="0" maxValue="4.195402298850575"/>
    </cacheField>
    <cacheField name="Vencimento" numFmtId="0">
      <sharedItems containsDate="1" containsBlank="1" containsMixedTypes="1" minDate="2023-08-05T00:00:00" maxDate="2026-06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n v="3"/>
    <d v="2020-03-11T00:00:00"/>
    <x v="0"/>
    <x v="0"/>
    <n v="30.78"/>
    <n v="100"/>
    <n v="3078"/>
  </r>
  <r>
    <x v="0"/>
    <n v="3"/>
    <d v="2020-03-12T00:00:00"/>
    <x v="1"/>
    <x v="0"/>
    <n v="14.14"/>
    <n v="100"/>
    <n v="1414"/>
  </r>
  <r>
    <x v="0"/>
    <n v="3"/>
    <d v="2020-03-12T00:00:00"/>
    <x v="2"/>
    <x v="0"/>
    <n v="70.33"/>
    <n v="10"/>
    <n v="703.3"/>
  </r>
  <r>
    <x v="0"/>
    <n v="3"/>
    <d v="2020-03-13T00:00:00"/>
    <x v="0"/>
    <x v="1"/>
    <n v="36.5"/>
    <n v="-100"/>
    <n v="-3650"/>
  </r>
  <r>
    <x v="0"/>
    <n v="3"/>
    <d v="2020-03-13T00:00:00"/>
    <x v="2"/>
    <x v="1"/>
    <n v="70.88"/>
    <n v="-10"/>
    <n v="-708.8"/>
  </r>
  <r>
    <x v="0"/>
    <n v="3"/>
    <d v="2020-03-13T00:00:00"/>
    <x v="3"/>
    <x v="0"/>
    <n v="8.7899999999999991"/>
    <n v="100"/>
    <n v="878.99999999999989"/>
  </r>
  <r>
    <x v="0"/>
    <n v="3"/>
    <d v="2020-03-16T00:00:00"/>
    <x v="0"/>
    <x v="0"/>
    <n v="30.67"/>
    <n v="100"/>
    <n v="3067"/>
  </r>
  <r>
    <x v="0"/>
    <n v="3"/>
    <d v="2020-03-17T00:00:00"/>
    <x v="0"/>
    <x v="1"/>
    <n v="32.96"/>
    <n v="-100"/>
    <n v="-3296"/>
  </r>
  <r>
    <x v="0"/>
    <n v="3"/>
    <d v="2020-03-17T00:00:00"/>
    <x v="0"/>
    <x v="0"/>
    <n v="29.13"/>
    <n v="100"/>
    <n v="2913"/>
  </r>
  <r>
    <x v="0"/>
    <n v="3"/>
    <d v="2020-03-18T00:00:00"/>
    <x v="4"/>
    <x v="0"/>
    <n v="23"/>
    <n v="100"/>
    <n v="2300"/>
  </r>
  <r>
    <x v="0"/>
    <n v="3"/>
    <d v="2020-03-18T00:00:00"/>
    <x v="5"/>
    <x v="0"/>
    <n v="11.03"/>
    <n v="100"/>
    <n v="1103"/>
  </r>
  <r>
    <x v="0"/>
    <n v="3"/>
    <d v="2020-03-20T00:00:00"/>
    <x v="6"/>
    <x v="0"/>
    <n v="11.95"/>
    <n v="100"/>
    <n v="1195"/>
  </r>
  <r>
    <x v="0"/>
    <n v="3"/>
    <d v="2020-03-23T00:00:00"/>
    <x v="3"/>
    <x v="0"/>
    <n v="4.32"/>
    <n v="100"/>
    <n v="432"/>
  </r>
  <r>
    <x v="0"/>
    <n v="3"/>
    <d v="2020-03-24T00:00:00"/>
    <x v="4"/>
    <x v="1"/>
    <n v="26.5"/>
    <n v="-100"/>
    <n v="-2650"/>
  </r>
  <r>
    <x v="0"/>
    <n v="3"/>
    <d v="2020-03-26T00:00:00"/>
    <x v="7"/>
    <x v="0"/>
    <n v="20.5"/>
    <n v="100"/>
    <n v="2050"/>
  </r>
  <r>
    <x v="0"/>
    <n v="3"/>
    <d v="2020-03-27T00:00:00"/>
    <x v="7"/>
    <x v="1"/>
    <n v="20.5"/>
    <n v="-100"/>
    <n v="-2050"/>
  </r>
  <r>
    <x v="0"/>
    <n v="3"/>
    <d v="2020-03-30T00:00:00"/>
    <x v="7"/>
    <x v="0"/>
    <n v="20.22"/>
    <n v="100"/>
    <n v="2022"/>
  </r>
  <r>
    <x v="0"/>
    <n v="3"/>
    <d v="2020-03-30T00:00:00"/>
    <x v="8"/>
    <x v="0"/>
    <n v="7.14"/>
    <n v="100"/>
    <n v="714"/>
  </r>
  <r>
    <x v="0"/>
    <n v="4"/>
    <d v="2020-04-01T00:00:00"/>
    <x v="4"/>
    <x v="0"/>
    <n v="24.9"/>
    <n v="100"/>
    <n v="2490"/>
  </r>
  <r>
    <x v="0"/>
    <n v="4"/>
    <d v="2020-04-01T00:00:00"/>
    <x v="9"/>
    <x v="0"/>
    <n v="21.12"/>
    <n v="100"/>
    <n v="2112"/>
  </r>
  <r>
    <x v="0"/>
    <n v="4"/>
    <d v="2020-04-02T00:00:00"/>
    <x v="6"/>
    <x v="1"/>
    <n v="11.95"/>
    <n v="-100"/>
    <n v="-1195"/>
  </r>
  <r>
    <x v="0"/>
    <n v="4"/>
    <d v="2020-04-02T00:00:00"/>
    <x v="7"/>
    <x v="0"/>
    <n v="14.95"/>
    <n v="30"/>
    <n v="448.5"/>
  </r>
  <r>
    <x v="0"/>
    <n v="4"/>
    <d v="2020-04-02T00:00:00"/>
    <x v="9"/>
    <x v="1"/>
    <n v="21.47"/>
    <n v="-100"/>
    <n v="-2147"/>
  </r>
  <r>
    <x v="0"/>
    <n v="4"/>
    <d v="2020-04-02T00:00:00"/>
    <x v="9"/>
    <x v="0"/>
    <n v="21.41"/>
    <n v="50"/>
    <n v="1070.5"/>
  </r>
  <r>
    <x v="0"/>
    <n v="4"/>
    <d v="2020-04-02T00:00:00"/>
    <x v="10"/>
    <x v="0"/>
    <n v="44.3"/>
    <n v="20"/>
    <n v="886"/>
  </r>
  <r>
    <x v="0"/>
    <n v="4"/>
    <d v="2020-04-02T00:00:00"/>
    <x v="10"/>
    <x v="0"/>
    <n v="43.71"/>
    <n v="30"/>
    <n v="1311.3"/>
  </r>
  <r>
    <x v="0"/>
    <n v="4"/>
    <d v="2020-04-02T00:00:00"/>
    <x v="11"/>
    <x v="0"/>
    <n v="9.34"/>
    <n v="30"/>
    <n v="280.2"/>
  </r>
  <r>
    <x v="0"/>
    <n v="4"/>
    <d v="2020-04-03T00:00:00"/>
    <x v="12"/>
    <x v="0"/>
    <n v="19.96"/>
    <n v="50"/>
    <n v="998"/>
  </r>
  <r>
    <x v="0"/>
    <n v="4"/>
    <d v="2020-04-03T00:00:00"/>
    <x v="5"/>
    <x v="0"/>
    <n v="16"/>
    <n v="20"/>
    <n v="320"/>
  </r>
  <r>
    <x v="0"/>
    <n v="4"/>
    <d v="2020-04-06T00:00:00"/>
    <x v="13"/>
    <x v="0"/>
    <n v="64.3"/>
    <n v="8"/>
    <n v="514.4"/>
  </r>
  <r>
    <x v="0"/>
    <n v="4"/>
    <d v="2020-04-06T00:00:00"/>
    <x v="5"/>
    <x v="0"/>
    <n v="16"/>
    <n v="30"/>
    <n v="480"/>
  </r>
  <r>
    <x v="0"/>
    <n v="4"/>
    <d v="2020-04-16T00:00:00"/>
    <x v="10"/>
    <x v="0"/>
    <n v="42.35"/>
    <n v="10"/>
    <n v="423.5"/>
  </r>
  <r>
    <x v="0"/>
    <n v="4"/>
    <d v="2020-04-20T00:00:00"/>
    <x v="14"/>
    <x v="0"/>
    <n v="14.26"/>
    <n v="13"/>
    <n v="185.38"/>
  </r>
  <r>
    <x v="0"/>
    <n v="4"/>
    <d v="2020-04-20T00:00:00"/>
    <x v="15"/>
    <x v="0"/>
    <n v="105.59"/>
    <n v="2"/>
    <n v="211.18"/>
  </r>
  <r>
    <x v="0"/>
    <n v="4"/>
    <d v="2020-04-20T00:00:00"/>
    <x v="16"/>
    <x v="0"/>
    <n v="18.670000000000002"/>
    <n v="11"/>
    <n v="205.37"/>
  </r>
  <r>
    <x v="0"/>
    <n v="4"/>
    <d v="2020-04-20T00:00:00"/>
    <x v="17"/>
    <x v="0"/>
    <n v="4.68"/>
    <n v="42"/>
    <n v="196.56"/>
  </r>
  <r>
    <x v="0"/>
    <n v="4"/>
    <d v="2020-04-20T00:00:00"/>
    <x v="18"/>
    <x v="0"/>
    <n v="18.79"/>
    <n v="11"/>
    <n v="206.69"/>
  </r>
  <r>
    <x v="0"/>
    <n v="4"/>
    <d v="2020-04-30T00:00:00"/>
    <x v="15"/>
    <x v="1"/>
    <n v="105.59"/>
    <n v="-2"/>
    <n v="-211.18"/>
  </r>
  <r>
    <x v="0"/>
    <n v="4"/>
    <d v="2020-04-30T00:00:00"/>
    <x v="16"/>
    <x v="1"/>
    <n v="18.29"/>
    <n v="-11"/>
    <n v="-201.19"/>
  </r>
  <r>
    <x v="0"/>
    <n v="4"/>
    <d v="2020-04-30T00:00:00"/>
    <x v="17"/>
    <x v="1"/>
    <n v="4.79"/>
    <n v="-42"/>
    <n v="-201.18"/>
  </r>
  <r>
    <x v="0"/>
    <n v="4"/>
    <d v="2020-04-30T00:00:00"/>
    <x v="19"/>
    <x v="0"/>
    <n v="33.299999999999997"/>
    <n v="10"/>
    <n v="333"/>
  </r>
  <r>
    <x v="0"/>
    <n v="4"/>
    <d v="2020-04-30T00:00:00"/>
    <x v="19"/>
    <x v="0"/>
    <n v="33.090000000000003"/>
    <n v="10"/>
    <n v="330.90000000000003"/>
  </r>
  <r>
    <x v="0"/>
    <n v="5"/>
    <d v="2020-05-05T00:00:00"/>
    <x v="12"/>
    <x v="0"/>
    <n v="23.24"/>
    <n v="30"/>
    <n v="697.19999999999993"/>
  </r>
  <r>
    <x v="0"/>
    <n v="5"/>
    <d v="2020-05-05T00:00:00"/>
    <x v="18"/>
    <x v="1"/>
    <n v="18.25"/>
    <n v="-11"/>
    <n v="-200.75"/>
  </r>
  <r>
    <x v="0"/>
    <n v="5"/>
    <d v="2020-05-05T00:00:00"/>
    <x v="13"/>
    <x v="0"/>
    <n v="65.47"/>
    <n v="3"/>
    <n v="196.41"/>
  </r>
  <r>
    <x v="0"/>
    <n v="5"/>
    <d v="2020-05-06T00:00:00"/>
    <x v="12"/>
    <x v="0"/>
    <n v="22.8"/>
    <n v="30"/>
    <n v="684"/>
  </r>
  <r>
    <x v="0"/>
    <n v="5"/>
    <d v="2020-05-06T00:00:00"/>
    <x v="13"/>
    <x v="0"/>
    <n v="66.2"/>
    <n v="20"/>
    <n v="1324"/>
  </r>
  <r>
    <x v="0"/>
    <n v="5"/>
    <d v="2020-05-11T00:00:00"/>
    <x v="3"/>
    <x v="1"/>
    <n v="8.9"/>
    <n v="-100"/>
    <n v="-890"/>
  </r>
  <r>
    <x v="0"/>
    <n v="5"/>
    <d v="2020-05-11T00:00:00"/>
    <x v="7"/>
    <x v="1"/>
    <n v="13.1"/>
    <n v="-40"/>
    <n v="-524"/>
  </r>
  <r>
    <x v="0"/>
    <n v="5"/>
    <d v="2020-05-11T00:00:00"/>
    <x v="12"/>
    <x v="0"/>
    <n v="23.2"/>
    <n v="30"/>
    <n v="696"/>
  </r>
  <r>
    <x v="0"/>
    <n v="5"/>
    <d v="2020-05-14T00:00:00"/>
    <x v="7"/>
    <x v="0"/>
    <n v="11.93"/>
    <n v="30"/>
    <n v="357.9"/>
  </r>
  <r>
    <x v="0"/>
    <n v="5"/>
    <d v="2020-05-14T00:00:00"/>
    <x v="11"/>
    <x v="1"/>
    <n v="13.685"/>
    <n v="-20"/>
    <n v="-273.7"/>
  </r>
  <r>
    <x v="0"/>
    <n v="5"/>
    <d v="2020-05-19T00:00:00"/>
    <x v="7"/>
    <x v="1"/>
    <n v="14.1"/>
    <n v="-30"/>
    <n v="-423"/>
  </r>
  <r>
    <x v="0"/>
    <n v="5"/>
    <d v="2020-05-20T00:00:00"/>
    <x v="7"/>
    <x v="0"/>
    <n v="16"/>
    <n v="10"/>
    <n v="160"/>
  </r>
  <r>
    <x v="0"/>
    <n v="5"/>
    <d v="2020-05-25T00:00:00"/>
    <x v="7"/>
    <x v="0"/>
    <n v="15.5"/>
    <n v="10"/>
    <n v="155"/>
  </r>
  <r>
    <x v="0"/>
    <n v="5"/>
    <d v="2020-05-25T00:00:00"/>
    <x v="7"/>
    <x v="0"/>
    <n v="15.3"/>
    <n v="10"/>
    <n v="153"/>
  </r>
  <r>
    <x v="0"/>
    <n v="5"/>
    <d v="2020-05-26T00:00:00"/>
    <x v="7"/>
    <x v="0"/>
    <n v="15"/>
    <n v="10"/>
    <n v="150"/>
  </r>
  <r>
    <x v="0"/>
    <n v="5"/>
    <d v="2020-05-27T00:00:00"/>
    <x v="7"/>
    <x v="0"/>
    <n v="14.3"/>
    <n v="10"/>
    <n v="143"/>
  </r>
  <r>
    <x v="0"/>
    <n v="6"/>
    <d v="2020-06-02T00:00:00"/>
    <x v="20"/>
    <x v="0"/>
    <n v="19.5"/>
    <n v="30"/>
    <n v="585"/>
  </r>
  <r>
    <x v="0"/>
    <n v="5"/>
    <d v="2020-05-14T00:00:00"/>
    <x v="11"/>
    <x v="1"/>
    <n v="15.307499999999999"/>
    <n v="-10"/>
    <n v="-153.07499999999999"/>
  </r>
  <r>
    <x v="0"/>
    <n v="5"/>
    <d v="2020-05-14T00:00:00"/>
    <x v="3"/>
    <x v="1"/>
    <n v="13.63"/>
    <n v="-100"/>
    <n v="-1363"/>
  </r>
  <r>
    <x v="0"/>
    <n v="5"/>
    <d v="2020-05-14T00:00:00"/>
    <x v="11"/>
    <x v="0"/>
    <n v="14.75"/>
    <n v="3"/>
    <n v="44.25"/>
  </r>
  <r>
    <x v="0"/>
    <n v="5"/>
    <d v="2020-05-14T00:00:00"/>
    <x v="21"/>
    <x v="0"/>
    <n v="20"/>
    <n v="10"/>
    <n v="200"/>
  </r>
  <r>
    <x v="0"/>
    <n v="5"/>
    <d v="2020-05-14T00:00:00"/>
    <x v="7"/>
    <x v="0"/>
    <n v="23.9"/>
    <n v="8"/>
    <n v="191.2"/>
  </r>
  <r>
    <x v="0"/>
    <n v="6"/>
    <d v="2020-06-12T00:00:00"/>
    <x v="7"/>
    <x v="0"/>
    <n v="21.5"/>
    <n v="4"/>
    <n v="86"/>
  </r>
  <r>
    <x v="0"/>
    <n v="6"/>
    <d v="2020-06-12T00:00:00"/>
    <x v="7"/>
    <x v="0"/>
    <n v="22"/>
    <n v="8"/>
    <n v="176"/>
  </r>
  <r>
    <x v="0"/>
    <n v="6"/>
    <d v="2020-06-12T00:00:00"/>
    <x v="7"/>
    <x v="0"/>
    <n v="22.8"/>
    <n v="7"/>
    <n v="159.6"/>
  </r>
  <r>
    <x v="0"/>
    <n v="6"/>
    <d v="2020-06-12T00:00:00"/>
    <x v="21"/>
    <x v="0"/>
    <n v="19.649999999999999"/>
    <n v="10"/>
    <n v="196.5"/>
  </r>
  <r>
    <x v="0"/>
    <n v="6"/>
    <d v="2020-06-15T00:00:00"/>
    <x v="21"/>
    <x v="0"/>
    <n v="18.899999999999999"/>
    <n v="10"/>
    <n v="189"/>
  </r>
  <r>
    <x v="0"/>
    <n v="6"/>
    <d v="2020-06-15T00:00:00"/>
    <x v="7"/>
    <x v="0"/>
    <n v="20.399999999999999"/>
    <n v="8"/>
    <n v="163.19999999999999"/>
  </r>
  <r>
    <x v="0"/>
    <n v="6"/>
    <d v="2020-06-15T00:00:00"/>
    <x v="21"/>
    <x v="0"/>
    <n v="18.600000000000001"/>
    <n v="10"/>
    <n v="186"/>
  </r>
  <r>
    <x v="0"/>
    <n v="6"/>
    <d v="2020-06-23T00:00:00"/>
    <x v="7"/>
    <x v="0"/>
    <n v="20.5"/>
    <n v="40"/>
    <n v="820"/>
  </r>
  <r>
    <x v="0"/>
    <n v="6"/>
    <d v="2020-06-30T00:00:00"/>
    <x v="13"/>
    <x v="1"/>
    <n v="76.13"/>
    <n v="-31"/>
    <n v="-2360.0299999999997"/>
  </r>
  <r>
    <x v="0"/>
    <n v="6"/>
    <d v="2020-06-30T00:00:00"/>
    <x v="20"/>
    <x v="1"/>
    <n v="21.45"/>
    <n v="-30"/>
    <n v="-643.5"/>
  </r>
  <r>
    <x v="0"/>
    <n v="7"/>
    <d v="2020-07-01T00:00:00"/>
    <x v="19"/>
    <x v="0"/>
    <n v="36.24"/>
    <n v="30"/>
    <n v="1087.2"/>
  </r>
  <r>
    <x v="0"/>
    <n v="7"/>
    <d v="2020-07-09T00:00:00"/>
    <x v="22"/>
    <x v="0"/>
    <n v="26.62"/>
    <n v="50"/>
    <n v="1331"/>
  </r>
  <r>
    <x v="0"/>
    <n v="7"/>
    <d v="2020-07-09T00:00:00"/>
    <x v="11"/>
    <x v="1"/>
    <n v="21.022500000000001"/>
    <n v="-3"/>
    <n v="-63.067500000000003"/>
  </r>
  <r>
    <x v="0"/>
    <n v="7"/>
    <d v="2020-07-14T00:00:00"/>
    <x v="3"/>
    <x v="0"/>
    <n v="21"/>
    <n v="100"/>
    <n v="2100"/>
  </r>
  <r>
    <x v="0"/>
    <n v="7"/>
    <d v="2020-07-14T00:00:00"/>
    <x v="14"/>
    <x v="0"/>
    <n v="27.1"/>
    <n v="30"/>
    <n v="813"/>
  </r>
  <r>
    <x v="0"/>
    <n v="7"/>
    <d v="2020-07-21T00:00:00"/>
    <x v="23"/>
    <x v="0"/>
    <n v="7.93"/>
    <n v="100"/>
    <n v="793"/>
  </r>
  <r>
    <x v="0"/>
    <n v="7"/>
    <d v="2020-07-24T00:00:00"/>
    <x v="24"/>
    <x v="0"/>
    <n v="49.7"/>
    <n v="30"/>
    <n v="1491"/>
  </r>
  <r>
    <x v="0"/>
    <n v="7"/>
    <d v="2020-07-28T00:00:00"/>
    <x v="12"/>
    <x v="1"/>
    <n v="21.91"/>
    <n v="-100"/>
    <n v="-2191"/>
  </r>
  <r>
    <x v="0"/>
    <n v="7"/>
    <d v="2020-07-28T00:00:00"/>
    <x v="12"/>
    <x v="1"/>
    <n v="22.1"/>
    <n v="-40"/>
    <n v="-884"/>
  </r>
  <r>
    <x v="0"/>
    <n v="7"/>
    <d v="2020-07-29T00:00:00"/>
    <x v="23"/>
    <x v="0"/>
    <n v="8"/>
    <n v="100"/>
    <n v="800"/>
  </r>
  <r>
    <x v="0"/>
    <n v="7"/>
    <d v="2020-07-29T00:00:00"/>
    <x v="22"/>
    <x v="0"/>
    <n v="25.87"/>
    <n v="40"/>
    <n v="1034.8"/>
  </r>
  <r>
    <x v="0"/>
    <n v="7"/>
    <d v="2020-07-29T00:00:00"/>
    <x v="23"/>
    <x v="0"/>
    <n v="8"/>
    <n v="100"/>
    <n v="800"/>
  </r>
  <r>
    <x v="0"/>
    <n v="7"/>
    <d v="2020-07-29T00:00:00"/>
    <x v="4"/>
    <x v="1"/>
    <n v="51"/>
    <n v="-50"/>
    <n v="-2550"/>
  </r>
  <r>
    <x v="0"/>
    <n v="7"/>
    <d v="2020-07-29T00:00:00"/>
    <x v="24"/>
    <x v="0"/>
    <n v="50.61"/>
    <n v="20"/>
    <n v="1012.2"/>
  </r>
  <r>
    <x v="0"/>
    <n v="8"/>
    <d v="2020-08-04T00:00:00"/>
    <x v="14"/>
    <x v="0"/>
    <n v="25.64"/>
    <n v="40"/>
    <n v="1025.5999999999999"/>
  </r>
  <r>
    <x v="0"/>
    <n v="8"/>
    <d v="2020-08-12T00:00:00"/>
    <x v="14"/>
    <x v="0"/>
    <n v="24.22"/>
    <n v="30"/>
    <n v="726.59999999999991"/>
  </r>
  <r>
    <x v="0"/>
    <n v="8"/>
    <d v="2020-08-19T00:00:00"/>
    <x v="19"/>
    <x v="0"/>
    <n v="32.93"/>
    <n v="50"/>
    <n v="1646.5"/>
  </r>
  <r>
    <x v="0"/>
    <n v="8"/>
    <d v="2020-08-26T00:00:00"/>
    <x v="25"/>
    <x v="0"/>
    <n v="48.29"/>
    <n v="40"/>
    <n v="1931.6"/>
  </r>
  <r>
    <x v="0"/>
    <n v="9"/>
    <d v="2020-09-25T00:00:00"/>
    <x v="4"/>
    <x v="0"/>
    <n v="57.93"/>
    <n v="50"/>
    <n v="2896.5"/>
  </r>
  <r>
    <x v="0"/>
    <n v="9"/>
    <d v="2020-09-25T00:00:00"/>
    <x v="4"/>
    <x v="1"/>
    <n v="58"/>
    <n v="-100"/>
    <n v="-5800"/>
  </r>
  <r>
    <x v="0"/>
    <n v="9"/>
    <d v="2020-09-25T00:00:00"/>
    <x v="26"/>
    <x v="0"/>
    <n v="17.05"/>
    <n v="100"/>
    <n v="1705"/>
  </r>
  <r>
    <x v="0"/>
    <n v="10"/>
    <d v="2020-10-16T00:00:00"/>
    <x v="25"/>
    <x v="0"/>
    <n v="48.5"/>
    <n v="20"/>
    <n v="970"/>
  </r>
  <r>
    <x v="0"/>
    <n v="10"/>
    <d v="2020-10-27T00:00:00"/>
    <x v="26"/>
    <x v="1"/>
    <n v="21.35"/>
    <n v="-100"/>
    <n v="-2135"/>
  </r>
  <r>
    <x v="0"/>
    <n v="10"/>
    <d v="2020-10-27T00:00:00"/>
    <x v="27"/>
    <x v="0"/>
    <n v="41.36"/>
    <n v="60"/>
    <n v="2481.6"/>
  </r>
  <r>
    <x v="0"/>
    <n v="10"/>
    <d v="2020-10-28T00:00:00"/>
    <x v="28"/>
    <x v="0"/>
    <n v="63.2"/>
    <n v="15"/>
    <n v="948"/>
  </r>
  <r>
    <x v="0"/>
    <n v="10"/>
    <d v="2020-10-28T00:00:00"/>
    <x v="22"/>
    <x v="0"/>
    <n v="27.53"/>
    <n v="30"/>
    <n v="825.90000000000009"/>
  </r>
  <r>
    <x v="0"/>
    <n v="11"/>
    <d v="2020-11-17T00:00:00"/>
    <x v="10"/>
    <x v="1"/>
    <n v="67.5"/>
    <n v="-30"/>
    <n v="-2025"/>
  </r>
  <r>
    <x v="0"/>
    <n v="11"/>
    <d v="2020-11-23T00:00:00"/>
    <x v="29"/>
    <x v="0"/>
    <n v="17.25"/>
    <n v="100"/>
    <n v="1725"/>
  </r>
  <r>
    <x v="0"/>
    <n v="11"/>
    <d v="2020-11-24T00:00:00"/>
    <x v="21"/>
    <x v="1"/>
    <n v="26.17"/>
    <n v="-40"/>
    <n v="-1046.8000000000002"/>
  </r>
  <r>
    <x v="0"/>
    <n v="12"/>
    <d v="2020-12-02T00:00:00"/>
    <x v="30"/>
    <x v="0"/>
    <n v="8.08"/>
    <n v="300"/>
    <n v="2424"/>
  </r>
  <r>
    <x v="0"/>
    <n v="12"/>
    <d v="2020-12-02T00:00:00"/>
    <x v="8"/>
    <x v="1"/>
    <n v="13.62"/>
    <n v="-100"/>
    <n v="-1362"/>
  </r>
  <r>
    <x v="0"/>
    <n v="12"/>
    <d v="2020-12-03T00:00:00"/>
    <x v="3"/>
    <x v="1"/>
    <n v="17.12"/>
    <n v="-100"/>
    <n v="-1712"/>
  </r>
  <r>
    <x v="0"/>
    <n v="12"/>
    <d v="2020-12-03T00:00:00"/>
    <x v="11"/>
    <x v="0"/>
    <n v="23.29"/>
    <n v="100"/>
    <n v="2329"/>
  </r>
  <r>
    <x v="1"/>
    <n v="1"/>
    <d v="2021-01-08T00:00:00"/>
    <x v="10"/>
    <x v="0"/>
    <n v="101.85"/>
    <n v="20"/>
    <n v="2037"/>
  </r>
  <r>
    <x v="1"/>
    <n v="1"/>
    <d v="2021-01-27T00:00:00"/>
    <x v="7"/>
    <x v="1"/>
    <n v="39.9"/>
    <n v="-50"/>
    <n v="-1995"/>
  </r>
  <r>
    <x v="1"/>
    <n v="2"/>
    <d v="2021-02-02T00:00:00"/>
    <x v="10"/>
    <x v="0"/>
    <n v="88.08"/>
    <n v="10"/>
    <n v="880.8"/>
  </r>
  <r>
    <x v="1"/>
    <n v="2"/>
    <d v="2021-02-09T00:00:00"/>
    <x v="31"/>
    <x v="0"/>
    <n v="46.74"/>
    <n v="25"/>
    <n v="1168.5"/>
  </r>
  <r>
    <x v="1"/>
    <n v="2"/>
    <d v="2021-02-17T00:00:00"/>
    <x v="32"/>
    <x v="0"/>
    <n v="12.79"/>
    <n v="100"/>
    <n v="1279"/>
  </r>
  <r>
    <x v="1"/>
    <n v="2"/>
    <d v="2021-02-22T00:00:00"/>
    <x v="5"/>
    <x v="1"/>
    <n v="23"/>
    <n v="-100"/>
    <n v="-2300"/>
  </r>
  <r>
    <x v="1"/>
    <n v="2"/>
    <d v="2021-02-22T00:00:00"/>
    <x v="0"/>
    <x v="1"/>
    <n v="29.64"/>
    <n v="-100"/>
    <n v="-2964"/>
  </r>
  <r>
    <x v="1"/>
    <n v="2"/>
    <d v="2021-02-22T00:00:00"/>
    <x v="33"/>
    <x v="0"/>
    <n v="25.9175"/>
    <n v="120"/>
    <n v="3110.1"/>
  </r>
  <r>
    <x v="1"/>
    <n v="2"/>
    <d v="2021-02-23T00:00:00"/>
    <x v="34"/>
    <x v="0"/>
    <n v="23.14"/>
    <n v="100"/>
    <n v="2314"/>
  </r>
  <r>
    <x v="1"/>
    <n v="2"/>
    <d v="2021-02-24T00:00:00"/>
    <x v="5"/>
    <x v="0"/>
    <n v="24.29"/>
    <n v="50"/>
    <n v="1214.5"/>
  </r>
  <r>
    <x v="1"/>
    <n v="2"/>
    <d v="2021-02-24T00:00:00"/>
    <x v="7"/>
    <x v="1"/>
    <n v="44.2"/>
    <n v="-45"/>
    <n v="-1989.0000000000002"/>
  </r>
  <r>
    <x v="1"/>
    <n v="3"/>
    <d v="2021-03-01T00:00:00"/>
    <x v="35"/>
    <x v="0"/>
    <n v="23.35"/>
    <n v="100"/>
    <n v="2335"/>
  </r>
  <r>
    <x v="1"/>
    <n v="3"/>
    <d v="2021-03-18T00:00:00"/>
    <x v="9"/>
    <x v="1"/>
    <n v="27.5"/>
    <n v="-50"/>
    <n v="-1375"/>
  </r>
  <r>
    <x v="1"/>
    <n v="3"/>
    <d v="2021-03-25T00:00:00"/>
    <x v="30"/>
    <x v="0"/>
    <n v="7.86"/>
    <n v="100"/>
    <n v="786"/>
  </r>
  <r>
    <x v="1"/>
    <n v="3"/>
    <d v="2021-03-29T00:00:00"/>
    <x v="36"/>
    <x v="0"/>
    <n v="249"/>
    <n v="25"/>
    <n v="6225"/>
  </r>
  <r>
    <x v="1"/>
    <n v="4"/>
    <d v="2021-04-26T00:00:00"/>
    <x v="37"/>
    <x v="0"/>
    <n v="17.8"/>
    <n v="150"/>
    <n v="2670"/>
  </r>
  <r>
    <x v="1"/>
    <n v="5"/>
    <d v="2021-05-05T00:00:00"/>
    <x v="32"/>
    <x v="1"/>
    <n v="10.66"/>
    <n v="-100"/>
    <n v="-1066"/>
  </r>
  <r>
    <x v="1"/>
    <n v="5"/>
    <d v="2021-05-05T00:00:00"/>
    <x v="31"/>
    <x v="1"/>
    <n v="42"/>
    <n v="-25"/>
    <n v="-1050"/>
  </r>
  <r>
    <x v="1"/>
    <n v="5"/>
    <d v="2021-05-05T00:00:00"/>
    <x v="38"/>
    <x v="0"/>
    <n v="33.869999999999997"/>
    <n v="100"/>
    <n v="3386.9999999999995"/>
  </r>
  <r>
    <x v="1"/>
    <n v="5"/>
    <d v="2021-05-17T00:00:00"/>
    <x v="39"/>
    <x v="0"/>
    <n v="13.93"/>
    <n v="70"/>
    <n v="975.1"/>
  </r>
  <r>
    <x v="1"/>
    <n v="5"/>
    <d v="2021-05-17T00:00:00"/>
    <x v="28"/>
    <x v="1"/>
    <n v="39.5"/>
    <n v="-15"/>
    <n v="-592.5"/>
  </r>
  <r>
    <x v="1"/>
    <n v="5"/>
    <d v="2021-05-26T00:00:00"/>
    <x v="40"/>
    <x v="0"/>
    <n v="37.76"/>
    <n v="60"/>
    <n v="2265.6"/>
  </r>
  <r>
    <x v="1"/>
    <n v="6"/>
    <d v="2021-06-01T00:00:00"/>
    <x v="39"/>
    <x v="1"/>
    <n v="14.18"/>
    <n v="-70"/>
    <n v="-992.6"/>
  </r>
  <r>
    <x v="1"/>
    <n v="6"/>
    <d v="2021-06-15T00:00:00"/>
    <x v="41"/>
    <x v="0"/>
    <n v="10.28"/>
    <n v="100"/>
    <n v="1028"/>
  </r>
  <r>
    <x v="1"/>
    <n v="7"/>
    <d v="2021-07-13T00:00:00"/>
    <x v="27"/>
    <x v="0"/>
    <n v="44.45"/>
    <n v="30"/>
    <n v="1333.5"/>
  </r>
  <r>
    <x v="1"/>
    <n v="7"/>
    <d v="2021-07-16T00:00:00"/>
    <x v="42"/>
    <x v="0"/>
    <n v="40.479999999999997"/>
    <n v="60"/>
    <n v="2428.7999999999997"/>
  </r>
  <r>
    <x v="1"/>
    <n v="7"/>
    <d v="2021-07-29T00:00:00"/>
    <x v="43"/>
    <x v="0"/>
    <n v="13.92"/>
    <n v="215"/>
    <n v="2992.8"/>
  </r>
  <r>
    <x v="1"/>
    <n v="7"/>
    <d v="2021-07-30T00:00:00"/>
    <x v="41"/>
    <x v="1"/>
    <n v="9.0299999999999994"/>
    <n v="-100"/>
    <n v="-902.99999999999989"/>
  </r>
  <r>
    <x v="1"/>
    <n v="8"/>
    <d v="2021-08-20T00:00:00"/>
    <x v="19"/>
    <x v="1"/>
    <n v="35.270000000000003"/>
    <n v="-100"/>
    <n v="-3527.0000000000005"/>
  </r>
  <r>
    <x v="1"/>
    <n v="9"/>
    <d v="2021-09-01T00:00:00"/>
    <x v="22"/>
    <x v="1"/>
    <n v="40.89"/>
    <n v="-60"/>
    <n v="-2453.4"/>
  </r>
  <r>
    <x v="1"/>
    <n v="9"/>
    <d v="2021-09-01T00:00:00"/>
    <x v="40"/>
    <x v="0"/>
    <n v="47.71"/>
    <n v="50"/>
    <n v="2385.5"/>
  </r>
  <r>
    <x v="1"/>
    <n v="9"/>
    <d v="2021-09-08T00:00:00"/>
    <x v="25"/>
    <x v="1"/>
    <n v="50.9"/>
    <n v="-60"/>
    <n v="-3054"/>
  </r>
  <r>
    <x v="1"/>
    <n v="9"/>
    <d v="2021-09-17T00:00:00"/>
    <x v="27"/>
    <x v="1"/>
    <n v="37.22"/>
    <n v="-90"/>
    <n v="-3349.7999999999997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n v="0"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  <r>
    <x v="2"/>
    <n v="1"/>
    <m/>
    <x v="44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XP"/>
    <x v="0"/>
    <s v="Diversos"/>
    <n v="39052.789999999994"/>
    <d v="2020-03-11T00:00:00"/>
    <n v="42602.67"/>
    <n v="4.5525637782940966E-3"/>
    <n v="5.5389525969244839E-2"/>
    <s v="-"/>
  </r>
  <r>
    <s v="XP"/>
    <x v="1"/>
    <s v="IVVB11"/>
    <n v="6225"/>
    <d v="2021-03-29T00:00:00"/>
    <n v="7075"/>
    <n v="1.8964747880410519E-2"/>
    <n v="0.23073776587832798"/>
    <s v="-"/>
  </r>
  <r>
    <s v="XP"/>
    <x v="2"/>
    <m/>
    <m/>
    <m/>
    <n v="7521.04"/>
    <m/>
    <m/>
    <m/>
  </r>
  <r>
    <s v="XP"/>
    <x v="2"/>
    <s v="Trendi DI Simples FIRF"/>
    <n v="10000"/>
    <d v="2021-09-24T00:00:00"/>
    <n v="10009"/>
    <m/>
    <m/>
    <m/>
  </r>
  <r>
    <s v="XP"/>
    <x v="3"/>
    <s v="HASH11"/>
    <n v="4651.1000000000004"/>
    <d v="2021-05-25T00:00:00"/>
    <n v="7130.2"/>
    <n v="0.10056862182733806"/>
    <n v="1.2235848988992797"/>
    <m/>
  </r>
  <r>
    <s v="XP"/>
    <x v="4"/>
    <s v="Debênture Cemig IPCA + 4%"/>
    <n v="5623.8"/>
    <d v="2021-06-08T00:00:00"/>
    <n v="5623.8"/>
    <n v="0"/>
    <n v="0"/>
    <d v="2026-06-15T00:00:00"/>
  </r>
  <r>
    <s v="BTG"/>
    <x v="5"/>
    <s v="CDB Facta 140% CDI"/>
    <n v="5000"/>
    <d v="2021-08-05T00:00:00"/>
    <n v="10000"/>
    <n v="0.34482758620689657"/>
    <n v="4.195402298850575"/>
    <d v="2023-08-05T00:00:00"/>
  </r>
  <r>
    <s v="BTG"/>
    <x v="6"/>
    <s v="CDB Original 12.5%"/>
    <n v="3000"/>
    <d v="2021-06-09T00:00:00"/>
    <n v="3000"/>
    <n v="0"/>
    <n v="0"/>
    <d v="2024-09-05T00:00:00"/>
  </r>
  <r>
    <s v="XP"/>
    <x v="6"/>
    <s v="CDB Original 11.65%"/>
    <n v="5000"/>
    <d v="2021-08-16T00:00:00"/>
    <n v="5000"/>
    <n v="0"/>
    <n v="0"/>
    <d v="2024-08-15T00:00:00"/>
  </r>
  <r>
    <s v="XP"/>
    <x v="5"/>
    <s v="LC Will Financeira 135% CDI"/>
    <n v="4116"/>
    <d v="2021-10-08T00:00:00"/>
    <n v="4116"/>
    <n v="0"/>
    <n v="0"/>
    <d v="2025-01-2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52DA6-A3DD-4C30-B82E-918E6902B45A}" name="Tabela dinâmica1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M4:N12" firstHeaderRow="1" firstDataRow="1" firstDataCol="1"/>
  <pivotFields count="9">
    <pivotField showAll="0"/>
    <pivotField axis="axisRow" showAll="0">
      <items count="9">
        <item m="1" x="7"/>
        <item x="0"/>
        <item x="1"/>
        <item x="2"/>
        <item x="5"/>
        <item x="3"/>
        <item x="4"/>
        <item x="6"/>
        <item t="default"/>
      </items>
    </pivotField>
    <pivotField showAll="0"/>
    <pivotField showAll="0"/>
    <pivotField numFmtId="14" showAll="0"/>
    <pivotField dataField="1" numFmtId="4" showAll="0"/>
    <pivotField numFmtId="10" showAll="0"/>
    <pivotField numFmtId="9"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 Atual" fld="5" baseField="1" baseItem="1" numFmtId="4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CFF67-373D-4EF8-A95B-B86DBED9CD8A}" name="Tabela dinâmica2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24" firstHeaderRow="1" firstDataRow="1" firstDataCol="1" rowPageCount="2" colPageCount="1"/>
  <pivotFields count="8"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46">
        <item x="6"/>
        <item x="7"/>
        <item x="28"/>
        <item x="0"/>
        <item x="2"/>
        <item x="33"/>
        <item x="16"/>
        <item x="8"/>
        <item x="29"/>
        <item x="1"/>
        <item x="14"/>
        <item x="26"/>
        <item x="18"/>
        <item x="30"/>
        <item x="23"/>
        <item x="19"/>
        <item x="36"/>
        <item x="12"/>
        <item x="20"/>
        <item x="27"/>
        <item x="11"/>
        <item x="25"/>
        <item x="13"/>
        <item x="5"/>
        <item x="34"/>
        <item x="15"/>
        <item x="4"/>
        <item x="35"/>
        <item x="22"/>
        <item x="17"/>
        <item x="10"/>
        <item x="21"/>
        <item x="24"/>
        <item x="3"/>
        <item x="32"/>
        <item x="31"/>
        <item x="9"/>
        <item x="44"/>
        <item x="37"/>
        <item x="38"/>
        <item x="39"/>
        <item x="40"/>
        <item x="41"/>
        <item x="42"/>
        <item x="4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20">
    <i>
      <x/>
    </i>
    <i>
      <x v="1"/>
    </i>
    <i>
      <x v="3"/>
    </i>
    <i>
      <x v="4"/>
    </i>
    <i>
      <x v="6"/>
    </i>
    <i>
      <x v="7"/>
    </i>
    <i>
      <x v="11"/>
    </i>
    <i>
      <x v="12"/>
    </i>
    <i>
      <x v="17"/>
    </i>
    <i>
      <x v="18"/>
    </i>
    <i>
      <x v="20"/>
    </i>
    <i>
      <x v="22"/>
    </i>
    <i>
      <x v="25"/>
    </i>
    <i>
      <x v="26"/>
    </i>
    <i>
      <x v="29"/>
    </i>
    <i>
      <x v="30"/>
    </i>
    <i>
      <x v="31"/>
    </i>
    <i>
      <x v="33"/>
    </i>
    <i>
      <x v="36"/>
    </i>
    <i t="grand">
      <x/>
    </i>
  </rowItems>
  <colItems count="1">
    <i/>
  </colItems>
  <pageFields count="2">
    <pageField fld="0" item="1" hier="-1"/>
    <pageField fld="4" item="1" hier="-1"/>
  </pageFields>
  <dataFields count="1">
    <dataField name="Soma de Valor total operação" fld="7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cei.b3.com.br/CEI_Responsivo/negociacao-de-ativos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1"/>
  <sheetViews>
    <sheetView topLeftCell="C123" workbookViewId="0">
      <selection activeCell="D134" sqref="D134"/>
    </sheetView>
  </sheetViews>
  <sheetFormatPr defaultRowHeight="15" x14ac:dyDescent="0.25"/>
  <cols>
    <col min="1" max="2" width="0" hidden="1" customWidth="1"/>
    <col min="3" max="3" width="10.42578125" style="1" bestFit="1" customWidth="1"/>
    <col min="4" max="4" width="15.42578125" customWidth="1"/>
    <col min="5" max="5" width="7.85546875" bestFit="1" customWidth="1"/>
    <col min="6" max="6" width="9.28515625" bestFit="1" customWidth="1"/>
    <col min="7" max="7" width="10.28515625" bestFit="1" customWidth="1"/>
    <col min="8" max="8" width="19.140625" bestFit="1" customWidth="1"/>
    <col min="9" max="9" width="15.7109375" bestFit="1" customWidth="1"/>
    <col min="10" max="10" width="10.5703125" bestFit="1" customWidth="1"/>
    <col min="13" max="13" width="10.28515625" bestFit="1" customWidth="1"/>
  </cols>
  <sheetData>
    <row r="1" spans="1:18" x14ac:dyDescent="0.25">
      <c r="A1" t="s">
        <v>179</v>
      </c>
      <c r="B1" t="s">
        <v>178</v>
      </c>
      <c r="C1" s="1" t="s">
        <v>0</v>
      </c>
      <c r="D1" s="3" t="s">
        <v>1</v>
      </c>
      <c r="E1" s="3" t="s">
        <v>5</v>
      </c>
      <c r="F1" s="3" t="s">
        <v>3</v>
      </c>
      <c r="G1" s="3" t="s">
        <v>2</v>
      </c>
      <c r="H1" s="3" t="s">
        <v>28</v>
      </c>
      <c r="I1" s="3"/>
      <c r="J1" s="4"/>
      <c r="L1" t="s">
        <v>98</v>
      </c>
    </row>
    <row r="2" spans="1:18" x14ac:dyDescent="0.25">
      <c r="A2">
        <f>YEAR(C2)</f>
        <v>2020</v>
      </c>
      <c r="B2">
        <f>MONTH(C2)</f>
        <v>3</v>
      </c>
      <c r="C2" s="1">
        <v>43901</v>
      </c>
      <c r="D2" t="s">
        <v>6</v>
      </c>
      <c r="E2" t="s">
        <v>7</v>
      </c>
      <c r="F2" s="2">
        <v>30.78</v>
      </c>
      <c r="G2">
        <v>100</v>
      </c>
      <c r="H2" s="2">
        <f t="shared" ref="H2:H33" si="0">F2*G2</f>
        <v>3078</v>
      </c>
      <c r="I2" s="4"/>
      <c r="L2" t="s">
        <v>99</v>
      </c>
      <c r="M2" s="4"/>
    </row>
    <row r="3" spans="1:18" x14ac:dyDescent="0.25">
      <c r="A3">
        <f t="shared" ref="A3:A66" si="1">YEAR(C3)</f>
        <v>2020</v>
      </c>
      <c r="B3">
        <f t="shared" ref="B3:B66" si="2">MONTH(C3)</f>
        <v>3</v>
      </c>
      <c r="C3" s="1">
        <v>43902</v>
      </c>
      <c r="D3" t="s">
        <v>8</v>
      </c>
      <c r="E3" t="s">
        <v>7</v>
      </c>
      <c r="F3">
        <v>14.14</v>
      </c>
      <c r="G3">
        <v>100</v>
      </c>
      <c r="H3" s="2">
        <f t="shared" si="0"/>
        <v>1414</v>
      </c>
      <c r="I3" s="4"/>
      <c r="L3" t="s">
        <v>100</v>
      </c>
      <c r="M3" s="4"/>
    </row>
    <row r="4" spans="1:18" x14ac:dyDescent="0.25">
      <c r="A4">
        <f t="shared" si="1"/>
        <v>2020</v>
      </c>
      <c r="B4">
        <f t="shared" si="2"/>
        <v>3</v>
      </c>
      <c r="C4" s="1">
        <v>43902</v>
      </c>
      <c r="D4" t="s">
        <v>9</v>
      </c>
      <c r="E4" t="s">
        <v>7</v>
      </c>
      <c r="F4">
        <v>70.33</v>
      </c>
      <c r="G4">
        <v>10</v>
      </c>
      <c r="H4" s="2">
        <f t="shared" si="0"/>
        <v>703.3</v>
      </c>
      <c r="I4" s="4"/>
      <c r="M4" s="4"/>
    </row>
    <row r="5" spans="1:18" x14ac:dyDescent="0.25">
      <c r="A5">
        <f t="shared" si="1"/>
        <v>2020</v>
      </c>
      <c r="B5">
        <f t="shared" si="2"/>
        <v>3</v>
      </c>
      <c r="C5" s="1">
        <v>43903</v>
      </c>
      <c r="D5" t="s">
        <v>6</v>
      </c>
      <c r="E5" t="s">
        <v>10</v>
      </c>
      <c r="F5">
        <v>36.5</v>
      </c>
      <c r="G5">
        <v>-100</v>
      </c>
      <c r="H5" s="2">
        <f t="shared" si="0"/>
        <v>-3650</v>
      </c>
      <c r="I5" s="4"/>
      <c r="M5" s="4"/>
    </row>
    <row r="6" spans="1:18" x14ac:dyDescent="0.25">
      <c r="A6">
        <f t="shared" si="1"/>
        <v>2020</v>
      </c>
      <c r="B6">
        <f t="shared" si="2"/>
        <v>3</v>
      </c>
      <c r="C6" s="1">
        <v>43903</v>
      </c>
      <c r="D6" t="s">
        <v>9</v>
      </c>
      <c r="E6" t="s">
        <v>10</v>
      </c>
      <c r="F6">
        <v>70.88</v>
      </c>
      <c r="G6">
        <v>-10</v>
      </c>
      <c r="H6" s="2">
        <f t="shared" si="0"/>
        <v>-708.8</v>
      </c>
      <c r="I6" s="4"/>
      <c r="M6" s="4"/>
      <c r="R6" t="s">
        <v>101</v>
      </c>
    </row>
    <row r="7" spans="1:18" x14ac:dyDescent="0.25">
      <c r="A7">
        <f t="shared" si="1"/>
        <v>2020</v>
      </c>
      <c r="B7">
        <f t="shared" si="2"/>
        <v>3</v>
      </c>
      <c r="C7" s="1">
        <v>43903</v>
      </c>
      <c r="D7" t="s">
        <v>11</v>
      </c>
      <c r="E7" t="s">
        <v>7</v>
      </c>
      <c r="F7">
        <v>8.7899999999999991</v>
      </c>
      <c r="G7">
        <v>100</v>
      </c>
      <c r="H7" s="2">
        <f t="shared" si="0"/>
        <v>878.99999999999989</v>
      </c>
      <c r="I7" s="4"/>
      <c r="M7" s="4"/>
    </row>
    <row r="8" spans="1:18" x14ac:dyDescent="0.25">
      <c r="A8">
        <f t="shared" si="1"/>
        <v>2020</v>
      </c>
      <c r="B8">
        <f t="shared" si="2"/>
        <v>3</v>
      </c>
      <c r="C8" s="1">
        <v>43906</v>
      </c>
      <c r="D8" t="s">
        <v>6</v>
      </c>
      <c r="E8" t="s">
        <v>7</v>
      </c>
      <c r="F8">
        <v>30.67</v>
      </c>
      <c r="G8">
        <v>100</v>
      </c>
      <c r="H8" s="2">
        <f t="shared" si="0"/>
        <v>3067</v>
      </c>
      <c r="I8" s="4"/>
      <c r="M8" s="4"/>
      <c r="R8" t="s">
        <v>102</v>
      </c>
    </row>
    <row r="9" spans="1:18" x14ac:dyDescent="0.25">
      <c r="A9">
        <f t="shared" si="1"/>
        <v>2020</v>
      </c>
      <c r="B9">
        <f t="shared" si="2"/>
        <v>3</v>
      </c>
      <c r="C9" s="1">
        <v>43907</v>
      </c>
      <c r="D9" t="s">
        <v>6</v>
      </c>
      <c r="E9" t="s">
        <v>10</v>
      </c>
      <c r="F9">
        <v>32.96</v>
      </c>
      <c r="G9">
        <v>-100</v>
      </c>
      <c r="H9" s="2">
        <f t="shared" si="0"/>
        <v>-3296</v>
      </c>
      <c r="I9" s="4"/>
      <c r="M9" s="4"/>
      <c r="R9" t="s">
        <v>103</v>
      </c>
    </row>
    <row r="10" spans="1:18" x14ac:dyDescent="0.25">
      <c r="A10">
        <f t="shared" si="1"/>
        <v>2020</v>
      </c>
      <c r="B10">
        <f t="shared" si="2"/>
        <v>3</v>
      </c>
      <c r="C10" s="1">
        <v>43907</v>
      </c>
      <c r="D10" t="s">
        <v>6</v>
      </c>
      <c r="E10" t="s">
        <v>7</v>
      </c>
      <c r="F10">
        <v>29.13</v>
      </c>
      <c r="G10">
        <v>100</v>
      </c>
      <c r="H10" s="2">
        <f t="shared" si="0"/>
        <v>2913</v>
      </c>
      <c r="I10" s="4"/>
      <c r="M10" s="4"/>
      <c r="R10" t="s">
        <v>104</v>
      </c>
    </row>
    <row r="11" spans="1:18" x14ac:dyDescent="0.25">
      <c r="A11">
        <f t="shared" si="1"/>
        <v>2020</v>
      </c>
      <c r="B11">
        <f t="shared" si="2"/>
        <v>3</v>
      </c>
      <c r="C11" s="1">
        <v>43908</v>
      </c>
      <c r="D11" t="s">
        <v>12</v>
      </c>
      <c r="E11" t="s">
        <v>7</v>
      </c>
      <c r="F11">
        <v>23</v>
      </c>
      <c r="G11">
        <v>100</v>
      </c>
      <c r="H11" s="2">
        <f t="shared" si="0"/>
        <v>2300</v>
      </c>
      <c r="I11" s="4"/>
      <c r="M11" s="4"/>
      <c r="R11" t="s">
        <v>105</v>
      </c>
    </row>
    <row r="12" spans="1:18" x14ac:dyDescent="0.25">
      <c r="A12">
        <f t="shared" si="1"/>
        <v>2020</v>
      </c>
      <c r="B12">
        <f t="shared" si="2"/>
        <v>3</v>
      </c>
      <c r="C12" s="1">
        <v>43908</v>
      </c>
      <c r="D12" t="s">
        <v>13</v>
      </c>
      <c r="E12" t="s">
        <v>7</v>
      </c>
      <c r="F12">
        <v>11.03</v>
      </c>
      <c r="G12">
        <v>100</v>
      </c>
      <c r="H12" s="2">
        <f t="shared" si="0"/>
        <v>1103</v>
      </c>
      <c r="I12" s="4"/>
      <c r="M12" s="4"/>
      <c r="R12" t="s">
        <v>106</v>
      </c>
    </row>
    <row r="13" spans="1:18" x14ac:dyDescent="0.25">
      <c r="A13">
        <f t="shared" si="1"/>
        <v>2020</v>
      </c>
      <c r="B13">
        <f t="shared" si="2"/>
        <v>3</v>
      </c>
      <c r="C13" s="1">
        <v>43910</v>
      </c>
      <c r="D13" t="s">
        <v>14</v>
      </c>
      <c r="E13" t="s">
        <v>7</v>
      </c>
      <c r="F13">
        <v>11.95</v>
      </c>
      <c r="G13">
        <v>100</v>
      </c>
      <c r="H13" s="2">
        <f t="shared" si="0"/>
        <v>1195</v>
      </c>
      <c r="I13" s="4"/>
      <c r="M13" s="4"/>
      <c r="R13" t="s">
        <v>107</v>
      </c>
    </row>
    <row r="14" spans="1:18" x14ac:dyDescent="0.25">
      <c r="A14">
        <f t="shared" si="1"/>
        <v>2020</v>
      </c>
      <c r="B14">
        <f t="shared" si="2"/>
        <v>3</v>
      </c>
      <c r="C14" s="1">
        <v>43913</v>
      </c>
      <c r="D14" t="s">
        <v>11</v>
      </c>
      <c r="E14" t="s">
        <v>7</v>
      </c>
      <c r="F14">
        <v>4.32</v>
      </c>
      <c r="G14">
        <v>100</v>
      </c>
      <c r="H14" s="2">
        <f t="shared" si="0"/>
        <v>432</v>
      </c>
      <c r="I14" s="4"/>
      <c r="M14" s="4"/>
      <c r="R14" t="s">
        <v>108</v>
      </c>
    </row>
    <row r="15" spans="1:18" x14ac:dyDescent="0.25">
      <c r="A15">
        <f t="shared" si="1"/>
        <v>2020</v>
      </c>
      <c r="B15">
        <f t="shared" si="2"/>
        <v>3</v>
      </c>
      <c r="C15" s="1">
        <v>43914</v>
      </c>
      <c r="D15" t="s">
        <v>12</v>
      </c>
      <c r="E15" t="s">
        <v>10</v>
      </c>
      <c r="F15">
        <v>26.5</v>
      </c>
      <c r="G15">
        <v>-100</v>
      </c>
      <c r="H15" s="2">
        <f t="shared" si="0"/>
        <v>-2650</v>
      </c>
      <c r="I15" s="4"/>
      <c r="M15" s="4"/>
      <c r="R15" t="s">
        <v>109</v>
      </c>
    </row>
    <row r="16" spans="1:18" x14ac:dyDescent="0.25">
      <c r="A16">
        <f t="shared" si="1"/>
        <v>2020</v>
      </c>
      <c r="B16">
        <f t="shared" si="2"/>
        <v>3</v>
      </c>
      <c r="C16" s="1">
        <v>43916</v>
      </c>
      <c r="D16" t="s">
        <v>15</v>
      </c>
      <c r="E16" t="s">
        <v>7</v>
      </c>
      <c r="F16">
        <v>20.5</v>
      </c>
      <c r="G16">
        <v>100</v>
      </c>
      <c r="H16" s="2">
        <f t="shared" si="0"/>
        <v>2050</v>
      </c>
      <c r="I16" s="4"/>
      <c r="M16" s="4"/>
      <c r="R16" t="s">
        <v>110</v>
      </c>
    </row>
    <row r="17" spans="1:18" x14ac:dyDescent="0.25">
      <c r="A17">
        <f t="shared" si="1"/>
        <v>2020</v>
      </c>
      <c r="B17">
        <f t="shared" si="2"/>
        <v>3</v>
      </c>
      <c r="C17" s="1">
        <v>43917</v>
      </c>
      <c r="D17" t="s">
        <v>15</v>
      </c>
      <c r="E17" t="s">
        <v>10</v>
      </c>
      <c r="F17">
        <v>20.5</v>
      </c>
      <c r="G17">
        <v>-100</v>
      </c>
      <c r="H17" s="2">
        <f t="shared" si="0"/>
        <v>-2050</v>
      </c>
      <c r="I17" s="4"/>
      <c r="M17" s="4"/>
      <c r="R17" t="s">
        <v>111</v>
      </c>
    </row>
    <row r="18" spans="1:18" x14ac:dyDescent="0.25">
      <c r="A18">
        <f t="shared" si="1"/>
        <v>2020</v>
      </c>
      <c r="B18">
        <f t="shared" si="2"/>
        <v>3</v>
      </c>
      <c r="C18" s="1">
        <v>43920</v>
      </c>
      <c r="D18" t="s">
        <v>15</v>
      </c>
      <c r="E18" t="s">
        <v>7</v>
      </c>
      <c r="F18">
        <v>20.22</v>
      </c>
      <c r="G18">
        <v>100</v>
      </c>
      <c r="H18" s="2">
        <f t="shared" si="0"/>
        <v>2022</v>
      </c>
      <c r="I18" s="4"/>
      <c r="M18" s="4"/>
      <c r="R18" t="s">
        <v>112</v>
      </c>
    </row>
    <row r="19" spans="1:18" x14ac:dyDescent="0.25">
      <c r="A19">
        <f t="shared" si="1"/>
        <v>2020</v>
      </c>
      <c r="B19">
        <f t="shared" si="2"/>
        <v>3</v>
      </c>
      <c r="C19" s="1">
        <v>43920</v>
      </c>
      <c r="D19" t="s">
        <v>16</v>
      </c>
      <c r="E19" t="s">
        <v>7</v>
      </c>
      <c r="F19">
        <v>7.14</v>
      </c>
      <c r="G19">
        <v>100</v>
      </c>
      <c r="H19" s="2">
        <f t="shared" si="0"/>
        <v>714</v>
      </c>
      <c r="I19" s="4"/>
      <c r="M19" s="4"/>
      <c r="R19" t="s">
        <v>113</v>
      </c>
    </row>
    <row r="20" spans="1:18" x14ac:dyDescent="0.25">
      <c r="A20">
        <f t="shared" si="1"/>
        <v>2020</v>
      </c>
      <c r="B20">
        <f t="shared" si="2"/>
        <v>4</v>
      </c>
      <c r="C20" s="1">
        <v>43922</v>
      </c>
      <c r="D20" t="s">
        <v>12</v>
      </c>
      <c r="E20" t="s">
        <v>7</v>
      </c>
      <c r="F20">
        <v>24.9</v>
      </c>
      <c r="G20">
        <v>100</v>
      </c>
      <c r="H20" s="2">
        <f t="shared" si="0"/>
        <v>2490</v>
      </c>
      <c r="I20" s="4"/>
      <c r="M20" s="4"/>
      <c r="R20" t="s">
        <v>114</v>
      </c>
    </row>
    <row r="21" spans="1:18" x14ac:dyDescent="0.25">
      <c r="A21">
        <f t="shared" si="1"/>
        <v>2020</v>
      </c>
      <c r="B21">
        <f t="shared" si="2"/>
        <v>4</v>
      </c>
      <c r="C21" s="1">
        <v>43922</v>
      </c>
      <c r="D21" t="s">
        <v>17</v>
      </c>
      <c r="E21" t="s">
        <v>7</v>
      </c>
      <c r="F21">
        <v>21.12</v>
      </c>
      <c r="G21">
        <v>100</v>
      </c>
      <c r="H21" s="2">
        <f t="shared" si="0"/>
        <v>2112</v>
      </c>
      <c r="I21" s="4"/>
      <c r="M21" s="4"/>
    </row>
    <row r="22" spans="1:18" x14ac:dyDescent="0.25">
      <c r="A22">
        <f t="shared" si="1"/>
        <v>2020</v>
      </c>
      <c r="B22">
        <f t="shared" si="2"/>
        <v>4</v>
      </c>
      <c r="C22" s="1">
        <v>43923</v>
      </c>
      <c r="D22" t="s">
        <v>14</v>
      </c>
      <c r="E22" t="s">
        <v>10</v>
      </c>
      <c r="F22">
        <v>11.95</v>
      </c>
      <c r="G22">
        <v>-100</v>
      </c>
      <c r="H22" s="2">
        <f t="shared" si="0"/>
        <v>-1195</v>
      </c>
      <c r="I22" s="4"/>
      <c r="M22" s="4"/>
    </row>
    <row r="23" spans="1:18" x14ac:dyDescent="0.25">
      <c r="A23">
        <f t="shared" si="1"/>
        <v>2020</v>
      </c>
      <c r="B23">
        <f t="shared" si="2"/>
        <v>4</v>
      </c>
      <c r="C23" s="1">
        <v>43923</v>
      </c>
      <c r="D23" t="s">
        <v>15</v>
      </c>
      <c r="E23" t="s">
        <v>7</v>
      </c>
      <c r="F23">
        <v>14.95</v>
      </c>
      <c r="G23">
        <v>30</v>
      </c>
      <c r="H23" s="2">
        <f t="shared" si="0"/>
        <v>448.5</v>
      </c>
      <c r="I23" s="4"/>
      <c r="M23" s="4"/>
    </row>
    <row r="24" spans="1:18" x14ac:dyDescent="0.25">
      <c r="A24">
        <f t="shared" si="1"/>
        <v>2020</v>
      </c>
      <c r="B24">
        <f t="shared" si="2"/>
        <v>4</v>
      </c>
      <c r="C24" s="1">
        <v>43923</v>
      </c>
      <c r="D24" t="s">
        <v>17</v>
      </c>
      <c r="E24" t="s">
        <v>10</v>
      </c>
      <c r="F24">
        <v>21.47</v>
      </c>
      <c r="G24">
        <v>-100</v>
      </c>
      <c r="H24" s="2">
        <f t="shared" si="0"/>
        <v>-2147</v>
      </c>
      <c r="I24" s="4"/>
      <c r="M24" s="4"/>
    </row>
    <row r="25" spans="1:18" x14ac:dyDescent="0.25">
      <c r="A25">
        <f t="shared" si="1"/>
        <v>2020</v>
      </c>
      <c r="B25">
        <f t="shared" si="2"/>
        <v>4</v>
      </c>
      <c r="C25" s="1">
        <v>43923</v>
      </c>
      <c r="D25" t="s">
        <v>17</v>
      </c>
      <c r="E25" t="s">
        <v>7</v>
      </c>
      <c r="F25">
        <v>21.41</v>
      </c>
      <c r="G25">
        <v>50</v>
      </c>
      <c r="H25" s="2">
        <f t="shared" si="0"/>
        <v>1070.5</v>
      </c>
      <c r="I25" s="4"/>
      <c r="M25" s="4"/>
    </row>
    <row r="26" spans="1:18" x14ac:dyDescent="0.25">
      <c r="A26">
        <f t="shared" si="1"/>
        <v>2020</v>
      </c>
      <c r="B26">
        <f t="shared" si="2"/>
        <v>4</v>
      </c>
      <c r="C26" s="1">
        <v>43923</v>
      </c>
      <c r="D26" t="s">
        <v>18</v>
      </c>
      <c r="E26" t="s">
        <v>7</v>
      </c>
      <c r="F26">
        <v>44.3</v>
      </c>
      <c r="G26">
        <v>20</v>
      </c>
      <c r="H26" s="2">
        <f t="shared" si="0"/>
        <v>886</v>
      </c>
      <c r="I26" s="4"/>
      <c r="M26" s="4"/>
    </row>
    <row r="27" spans="1:18" x14ac:dyDescent="0.25">
      <c r="A27">
        <f t="shared" si="1"/>
        <v>2020</v>
      </c>
      <c r="B27">
        <f t="shared" si="2"/>
        <v>4</v>
      </c>
      <c r="C27" s="1">
        <v>43923</v>
      </c>
      <c r="D27" t="s">
        <v>18</v>
      </c>
      <c r="E27" t="s">
        <v>7</v>
      </c>
      <c r="F27">
        <v>43.71</v>
      </c>
      <c r="G27">
        <v>30</v>
      </c>
      <c r="H27" s="2">
        <f t="shared" si="0"/>
        <v>1311.3</v>
      </c>
      <c r="I27" s="4"/>
      <c r="M27" s="4"/>
    </row>
    <row r="28" spans="1:18" x14ac:dyDescent="0.25">
      <c r="A28">
        <f t="shared" si="1"/>
        <v>2020</v>
      </c>
      <c r="B28">
        <f t="shared" si="2"/>
        <v>4</v>
      </c>
      <c r="C28" s="1">
        <v>43923</v>
      </c>
      <c r="D28" t="s">
        <v>19</v>
      </c>
      <c r="E28" t="s">
        <v>7</v>
      </c>
      <c r="F28" s="5">
        <f>37.36/4</f>
        <v>9.34</v>
      </c>
      <c r="G28">
        <v>30</v>
      </c>
      <c r="H28" s="2">
        <f t="shared" si="0"/>
        <v>280.2</v>
      </c>
      <c r="I28" s="4"/>
      <c r="M28" s="4"/>
    </row>
    <row r="29" spans="1:18" x14ac:dyDescent="0.25">
      <c r="A29">
        <f t="shared" si="1"/>
        <v>2020</v>
      </c>
      <c r="B29">
        <f t="shared" si="2"/>
        <v>4</v>
      </c>
      <c r="C29" s="1">
        <v>43924</v>
      </c>
      <c r="D29" t="s">
        <v>20</v>
      </c>
      <c r="E29" t="s">
        <v>7</v>
      </c>
      <c r="F29">
        <v>19.96</v>
      </c>
      <c r="G29">
        <v>50</v>
      </c>
      <c r="H29" s="2">
        <f t="shared" si="0"/>
        <v>998</v>
      </c>
      <c r="I29" s="4"/>
      <c r="M29" s="4"/>
    </row>
    <row r="30" spans="1:18" x14ac:dyDescent="0.25">
      <c r="A30">
        <f t="shared" si="1"/>
        <v>2020</v>
      </c>
      <c r="B30">
        <f t="shared" si="2"/>
        <v>4</v>
      </c>
      <c r="C30" s="1">
        <v>43924</v>
      </c>
      <c r="D30" t="s">
        <v>13</v>
      </c>
      <c r="E30" t="s">
        <v>7</v>
      </c>
      <c r="F30">
        <v>16</v>
      </c>
      <c r="G30">
        <v>20</v>
      </c>
      <c r="H30" s="2">
        <f t="shared" si="0"/>
        <v>320</v>
      </c>
      <c r="I30" s="4"/>
      <c r="M30" s="4"/>
    </row>
    <row r="31" spans="1:18" x14ac:dyDescent="0.25">
      <c r="A31">
        <f t="shared" si="1"/>
        <v>2020</v>
      </c>
      <c r="B31">
        <f t="shared" si="2"/>
        <v>4</v>
      </c>
      <c r="C31" s="1">
        <v>43927</v>
      </c>
      <c r="D31" t="s">
        <v>27</v>
      </c>
      <c r="E31" t="s">
        <v>7</v>
      </c>
      <c r="F31">
        <v>64.3</v>
      </c>
      <c r="G31">
        <v>8</v>
      </c>
      <c r="H31" s="2">
        <f t="shared" si="0"/>
        <v>514.4</v>
      </c>
      <c r="I31" s="4"/>
      <c r="M31" s="4"/>
    </row>
    <row r="32" spans="1:18" x14ac:dyDescent="0.25">
      <c r="A32">
        <f t="shared" si="1"/>
        <v>2020</v>
      </c>
      <c r="B32">
        <f t="shared" si="2"/>
        <v>4</v>
      </c>
      <c r="C32" s="1">
        <v>43927</v>
      </c>
      <c r="D32" t="s">
        <v>13</v>
      </c>
      <c r="E32" t="s">
        <v>7</v>
      </c>
      <c r="F32">
        <v>16</v>
      </c>
      <c r="G32">
        <v>30</v>
      </c>
      <c r="H32" s="2">
        <f t="shared" si="0"/>
        <v>480</v>
      </c>
      <c r="I32" s="4"/>
      <c r="M32" s="4"/>
    </row>
    <row r="33" spans="1:13" x14ac:dyDescent="0.25">
      <c r="A33">
        <f t="shared" si="1"/>
        <v>2020</v>
      </c>
      <c r="B33">
        <f t="shared" si="2"/>
        <v>4</v>
      </c>
      <c r="C33" s="1">
        <v>43937</v>
      </c>
      <c r="D33" t="s">
        <v>18</v>
      </c>
      <c r="E33" t="s">
        <v>7</v>
      </c>
      <c r="F33">
        <v>42.35</v>
      </c>
      <c r="G33">
        <v>10</v>
      </c>
      <c r="H33" s="2">
        <f t="shared" si="0"/>
        <v>423.5</v>
      </c>
      <c r="I33" s="4"/>
      <c r="M33" s="4"/>
    </row>
    <row r="34" spans="1:13" x14ac:dyDescent="0.25">
      <c r="A34">
        <f t="shared" si="1"/>
        <v>2020</v>
      </c>
      <c r="B34">
        <f t="shared" si="2"/>
        <v>4</v>
      </c>
      <c r="C34" s="1">
        <v>43941</v>
      </c>
      <c r="D34" t="s">
        <v>21</v>
      </c>
      <c r="E34" t="s">
        <v>7</v>
      </c>
      <c r="F34">
        <v>14.26</v>
      </c>
      <c r="G34">
        <v>13</v>
      </c>
      <c r="H34" s="2">
        <f t="shared" ref="H34:H55" si="3">F34*G34</f>
        <v>185.38</v>
      </c>
      <c r="I34" s="4"/>
      <c r="M34" s="4"/>
    </row>
    <row r="35" spans="1:13" x14ac:dyDescent="0.25">
      <c r="A35">
        <f t="shared" si="1"/>
        <v>2020</v>
      </c>
      <c r="B35">
        <f t="shared" si="2"/>
        <v>4</v>
      </c>
      <c r="C35" s="1">
        <v>43941</v>
      </c>
      <c r="D35" t="s">
        <v>22</v>
      </c>
      <c r="E35" t="s">
        <v>7</v>
      </c>
      <c r="F35">
        <v>105.59</v>
      </c>
      <c r="G35">
        <v>2</v>
      </c>
      <c r="H35" s="2">
        <f t="shared" si="3"/>
        <v>211.18</v>
      </c>
      <c r="I35" s="4"/>
      <c r="M35" s="4"/>
    </row>
    <row r="36" spans="1:13" x14ac:dyDescent="0.25">
      <c r="A36">
        <f t="shared" si="1"/>
        <v>2020</v>
      </c>
      <c r="B36">
        <f t="shared" si="2"/>
        <v>4</v>
      </c>
      <c r="C36" s="1">
        <v>43941</v>
      </c>
      <c r="D36" t="s">
        <v>23</v>
      </c>
      <c r="E36" t="s">
        <v>7</v>
      </c>
      <c r="F36">
        <v>18.670000000000002</v>
      </c>
      <c r="G36">
        <v>11</v>
      </c>
      <c r="H36" s="2">
        <f t="shared" si="3"/>
        <v>205.37</v>
      </c>
      <c r="I36" s="4"/>
      <c r="M36" s="4"/>
    </row>
    <row r="37" spans="1:13" x14ac:dyDescent="0.25">
      <c r="A37">
        <f t="shared" si="1"/>
        <v>2020</v>
      </c>
      <c r="B37">
        <f t="shared" si="2"/>
        <v>4</v>
      </c>
      <c r="C37" s="1">
        <v>43941</v>
      </c>
      <c r="D37" t="s">
        <v>24</v>
      </c>
      <c r="E37" t="s">
        <v>7</v>
      </c>
      <c r="F37">
        <v>4.68</v>
      </c>
      <c r="G37">
        <v>42</v>
      </c>
      <c r="H37" s="2">
        <f t="shared" si="3"/>
        <v>196.56</v>
      </c>
      <c r="I37" s="4"/>
      <c r="M37" s="4"/>
    </row>
    <row r="38" spans="1:13" x14ac:dyDescent="0.25">
      <c r="A38">
        <f t="shared" si="1"/>
        <v>2020</v>
      </c>
      <c r="B38">
        <f t="shared" si="2"/>
        <v>4</v>
      </c>
      <c r="C38" s="1">
        <v>43941</v>
      </c>
      <c r="D38" t="s">
        <v>25</v>
      </c>
      <c r="E38" t="s">
        <v>7</v>
      </c>
      <c r="F38">
        <v>18.79</v>
      </c>
      <c r="G38">
        <v>11</v>
      </c>
      <c r="H38" s="2">
        <f t="shared" si="3"/>
        <v>206.69</v>
      </c>
      <c r="I38" s="4"/>
      <c r="M38" s="4"/>
    </row>
    <row r="39" spans="1:13" x14ac:dyDescent="0.25">
      <c r="A39">
        <f t="shared" si="1"/>
        <v>2020</v>
      </c>
      <c r="B39">
        <f t="shared" si="2"/>
        <v>4</v>
      </c>
      <c r="C39" s="1">
        <v>43951</v>
      </c>
      <c r="D39" t="s">
        <v>22</v>
      </c>
      <c r="E39" t="s">
        <v>10</v>
      </c>
      <c r="F39">
        <v>105.59</v>
      </c>
      <c r="G39">
        <v>-2</v>
      </c>
      <c r="H39" s="2">
        <f t="shared" si="3"/>
        <v>-211.18</v>
      </c>
      <c r="I39" s="4"/>
      <c r="M39" s="4"/>
    </row>
    <row r="40" spans="1:13" x14ac:dyDescent="0.25">
      <c r="A40">
        <f t="shared" si="1"/>
        <v>2020</v>
      </c>
      <c r="B40">
        <f t="shared" si="2"/>
        <v>4</v>
      </c>
      <c r="C40" s="1">
        <v>43951</v>
      </c>
      <c r="D40" t="s">
        <v>23</v>
      </c>
      <c r="E40" t="s">
        <v>10</v>
      </c>
      <c r="F40">
        <v>18.29</v>
      </c>
      <c r="G40">
        <v>-11</v>
      </c>
      <c r="H40" s="2">
        <f t="shared" si="3"/>
        <v>-201.19</v>
      </c>
      <c r="I40" s="4"/>
      <c r="M40" s="4"/>
    </row>
    <row r="41" spans="1:13" x14ac:dyDescent="0.25">
      <c r="A41">
        <f t="shared" si="1"/>
        <v>2020</v>
      </c>
      <c r="B41">
        <f t="shared" si="2"/>
        <v>4</v>
      </c>
      <c r="C41" s="1">
        <v>43951</v>
      </c>
      <c r="D41" t="s">
        <v>24</v>
      </c>
      <c r="E41" t="s">
        <v>10</v>
      </c>
      <c r="F41">
        <v>4.79</v>
      </c>
      <c r="G41">
        <v>-42</v>
      </c>
      <c r="H41" s="2">
        <f t="shared" si="3"/>
        <v>-201.18</v>
      </c>
      <c r="I41" s="4"/>
      <c r="M41" s="4"/>
    </row>
    <row r="42" spans="1:13" x14ac:dyDescent="0.25">
      <c r="A42">
        <f t="shared" si="1"/>
        <v>2020</v>
      </c>
      <c r="B42">
        <f t="shared" si="2"/>
        <v>4</v>
      </c>
      <c r="C42" s="1">
        <v>43951</v>
      </c>
      <c r="D42" t="s">
        <v>26</v>
      </c>
      <c r="E42" t="s">
        <v>7</v>
      </c>
      <c r="F42">
        <v>33.299999999999997</v>
      </c>
      <c r="G42">
        <v>10</v>
      </c>
      <c r="H42" s="2">
        <f t="shared" si="3"/>
        <v>333</v>
      </c>
      <c r="I42" s="4"/>
      <c r="M42" s="4"/>
    </row>
    <row r="43" spans="1:13" x14ac:dyDescent="0.25">
      <c r="A43">
        <f t="shared" si="1"/>
        <v>2020</v>
      </c>
      <c r="B43">
        <f t="shared" si="2"/>
        <v>4</v>
      </c>
      <c r="C43" s="1">
        <v>43951</v>
      </c>
      <c r="D43" t="s">
        <v>26</v>
      </c>
      <c r="E43" t="s">
        <v>7</v>
      </c>
      <c r="F43">
        <v>33.090000000000003</v>
      </c>
      <c r="G43">
        <v>10</v>
      </c>
      <c r="H43" s="2">
        <f t="shared" si="3"/>
        <v>330.90000000000003</v>
      </c>
      <c r="I43" s="4"/>
      <c r="M43" s="4"/>
    </row>
    <row r="44" spans="1:13" x14ac:dyDescent="0.25">
      <c r="A44">
        <f t="shared" si="1"/>
        <v>2020</v>
      </c>
      <c r="B44">
        <f t="shared" si="2"/>
        <v>5</v>
      </c>
      <c r="C44" s="1">
        <v>43956</v>
      </c>
      <c r="D44" t="s">
        <v>20</v>
      </c>
      <c r="E44" t="s">
        <v>7</v>
      </c>
      <c r="F44">
        <v>23.24</v>
      </c>
      <c r="G44">
        <v>30</v>
      </c>
      <c r="H44" s="2">
        <f t="shared" si="3"/>
        <v>697.19999999999993</v>
      </c>
      <c r="I44" s="4"/>
      <c r="M44" s="4"/>
    </row>
    <row r="45" spans="1:13" x14ac:dyDescent="0.25">
      <c r="A45">
        <f t="shared" si="1"/>
        <v>2020</v>
      </c>
      <c r="B45">
        <f t="shared" si="2"/>
        <v>5</v>
      </c>
      <c r="C45" s="1">
        <v>43956</v>
      </c>
      <c r="D45" t="s">
        <v>25</v>
      </c>
      <c r="E45" t="s">
        <v>10</v>
      </c>
      <c r="F45">
        <v>18.25</v>
      </c>
      <c r="G45">
        <v>-11</v>
      </c>
      <c r="H45" s="2">
        <f t="shared" si="3"/>
        <v>-200.75</v>
      </c>
      <c r="I45" s="4"/>
      <c r="M45" s="4"/>
    </row>
    <row r="46" spans="1:13" x14ac:dyDescent="0.25">
      <c r="A46">
        <f t="shared" si="1"/>
        <v>2020</v>
      </c>
      <c r="B46">
        <f t="shared" si="2"/>
        <v>5</v>
      </c>
      <c r="C46" s="1">
        <v>43956</v>
      </c>
      <c r="D46" t="s">
        <v>27</v>
      </c>
      <c r="E46" t="s">
        <v>7</v>
      </c>
      <c r="F46">
        <v>65.47</v>
      </c>
      <c r="G46">
        <v>3</v>
      </c>
      <c r="H46" s="2">
        <f t="shared" si="3"/>
        <v>196.41</v>
      </c>
      <c r="I46" s="4"/>
      <c r="M46" s="4"/>
    </row>
    <row r="47" spans="1:13" x14ac:dyDescent="0.25">
      <c r="A47">
        <f t="shared" si="1"/>
        <v>2020</v>
      </c>
      <c r="B47">
        <f t="shared" si="2"/>
        <v>5</v>
      </c>
      <c r="C47" s="1">
        <v>43957</v>
      </c>
      <c r="D47" t="s">
        <v>20</v>
      </c>
      <c r="E47" t="s">
        <v>7</v>
      </c>
      <c r="F47">
        <v>22.8</v>
      </c>
      <c r="G47">
        <v>30</v>
      </c>
      <c r="H47" s="2">
        <f t="shared" si="3"/>
        <v>684</v>
      </c>
      <c r="I47" s="4"/>
      <c r="M47" s="4"/>
    </row>
    <row r="48" spans="1:13" x14ac:dyDescent="0.25">
      <c r="A48">
        <f t="shared" si="1"/>
        <v>2020</v>
      </c>
      <c r="B48">
        <f t="shared" si="2"/>
        <v>5</v>
      </c>
      <c r="C48" s="1">
        <v>43957</v>
      </c>
      <c r="D48" t="s">
        <v>27</v>
      </c>
      <c r="E48" t="s">
        <v>7</v>
      </c>
      <c r="F48">
        <v>66.2</v>
      </c>
      <c r="G48">
        <v>20</v>
      </c>
      <c r="H48" s="2">
        <f t="shared" si="3"/>
        <v>1324</v>
      </c>
      <c r="I48" s="4"/>
      <c r="M48" s="4"/>
    </row>
    <row r="49" spans="1:13" x14ac:dyDescent="0.25">
      <c r="A49">
        <f t="shared" si="1"/>
        <v>2020</v>
      </c>
      <c r="B49">
        <f t="shared" si="2"/>
        <v>5</v>
      </c>
      <c r="C49" s="1">
        <v>43962</v>
      </c>
      <c r="D49" t="s">
        <v>11</v>
      </c>
      <c r="E49" t="s">
        <v>10</v>
      </c>
      <c r="F49">
        <v>8.9</v>
      </c>
      <c r="G49">
        <v>-100</v>
      </c>
      <c r="H49" s="2">
        <f t="shared" si="3"/>
        <v>-890</v>
      </c>
      <c r="I49" s="4"/>
      <c r="M49" s="4"/>
    </row>
    <row r="50" spans="1:13" x14ac:dyDescent="0.25">
      <c r="A50">
        <f t="shared" si="1"/>
        <v>2020</v>
      </c>
      <c r="B50">
        <f t="shared" si="2"/>
        <v>5</v>
      </c>
      <c r="C50" s="1">
        <v>43962</v>
      </c>
      <c r="D50" t="s">
        <v>15</v>
      </c>
      <c r="E50" t="s">
        <v>10</v>
      </c>
      <c r="F50">
        <v>13.1</v>
      </c>
      <c r="G50">
        <v>-40</v>
      </c>
      <c r="H50" s="2">
        <f t="shared" si="3"/>
        <v>-524</v>
      </c>
      <c r="I50" s="4"/>
      <c r="M50" s="4"/>
    </row>
    <row r="51" spans="1:13" x14ac:dyDescent="0.25">
      <c r="A51">
        <f t="shared" si="1"/>
        <v>2020</v>
      </c>
      <c r="B51">
        <f t="shared" si="2"/>
        <v>5</v>
      </c>
      <c r="C51" s="1">
        <v>43962</v>
      </c>
      <c r="D51" t="s">
        <v>20</v>
      </c>
      <c r="E51" t="s">
        <v>7</v>
      </c>
      <c r="F51">
        <v>23.2</v>
      </c>
      <c r="G51">
        <v>30</v>
      </c>
      <c r="H51" s="2">
        <f t="shared" si="3"/>
        <v>696</v>
      </c>
      <c r="I51" s="4"/>
      <c r="M51" s="4"/>
    </row>
    <row r="52" spans="1:13" x14ac:dyDescent="0.25">
      <c r="A52">
        <f t="shared" si="1"/>
        <v>2020</v>
      </c>
      <c r="B52">
        <f t="shared" si="2"/>
        <v>5</v>
      </c>
      <c r="C52" s="1">
        <v>43965</v>
      </c>
      <c r="D52" t="s">
        <v>15</v>
      </c>
      <c r="E52" t="s">
        <v>7</v>
      </c>
      <c r="F52">
        <v>11.93</v>
      </c>
      <c r="G52">
        <v>30</v>
      </c>
      <c r="H52" s="2">
        <f t="shared" si="3"/>
        <v>357.9</v>
      </c>
      <c r="I52" s="4"/>
      <c r="M52" s="4"/>
    </row>
    <row r="53" spans="1:13" x14ac:dyDescent="0.25">
      <c r="A53">
        <f t="shared" si="1"/>
        <v>2020</v>
      </c>
      <c r="B53">
        <f t="shared" si="2"/>
        <v>5</v>
      </c>
      <c r="C53" s="1">
        <v>43965</v>
      </c>
      <c r="D53" t="s">
        <v>19</v>
      </c>
      <c r="E53" t="s">
        <v>10</v>
      </c>
      <c r="F53" s="5">
        <f>54.74/4</f>
        <v>13.685</v>
      </c>
      <c r="G53">
        <v>-20</v>
      </c>
      <c r="H53" s="2">
        <f t="shared" si="3"/>
        <v>-273.7</v>
      </c>
      <c r="I53" s="4"/>
      <c r="M53" s="4"/>
    </row>
    <row r="54" spans="1:13" x14ac:dyDescent="0.25">
      <c r="A54">
        <f t="shared" si="1"/>
        <v>2020</v>
      </c>
      <c r="B54">
        <f t="shared" si="2"/>
        <v>5</v>
      </c>
      <c r="C54" s="1">
        <v>43970</v>
      </c>
      <c r="D54" t="s">
        <v>15</v>
      </c>
      <c r="E54" t="s">
        <v>10</v>
      </c>
      <c r="F54">
        <v>14.1</v>
      </c>
      <c r="G54">
        <v>-30</v>
      </c>
      <c r="H54" s="2">
        <f t="shared" si="3"/>
        <v>-423</v>
      </c>
      <c r="I54" s="4"/>
      <c r="M54" s="4"/>
    </row>
    <row r="55" spans="1:13" x14ac:dyDescent="0.25">
      <c r="A55">
        <f t="shared" si="1"/>
        <v>2020</v>
      </c>
      <c r="B55">
        <f t="shared" si="2"/>
        <v>5</v>
      </c>
      <c r="C55" s="1">
        <v>43971</v>
      </c>
      <c r="D55" t="s">
        <v>15</v>
      </c>
      <c r="E55" t="s">
        <v>7</v>
      </c>
      <c r="F55">
        <v>16</v>
      </c>
      <c r="G55">
        <v>10</v>
      </c>
      <c r="H55" s="2">
        <f t="shared" si="3"/>
        <v>160</v>
      </c>
      <c r="I55" s="4"/>
      <c r="M55" s="4"/>
    </row>
    <row r="56" spans="1:13" x14ac:dyDescent="0.25">
      <c r="A56">
        <f t="shared" si="1"/>
        <v>2020</v>
      </c>
      <c r="B56">
        <f t="shared" si="2"/>
        <v>5</v>
      </c>
      <c r="C56" s="1">
        <v>43976</v>
      </c>
      <c r="D56" t="s">
        <v>15</v>
      </c>
      <c r="E56" t="s">
        <v>7</v>
      </c>
      <c r="F56">
        <v>15.5</v>
      </c>
      <c r="G56">
        <v>10</v>
      </c>
      <c r="H56" s="2">
        <f>F56*G56</f>
        <v>155</v>
      </c>
      <c r="I56" s="4"/>
      <c r="M56" s="4"/>
    </row>
    <row r="57" spans="1:13" x14ac:dyDescent="0.25">
      <c r="A57">
        <f t="shared" si="1"/>
        <v>2020</v>
      </c>
      <c r="B57">
        <f t="shared" si="2"/>
        <v>5</v>
      </c>
      <c r="C57" s="1">
        <v>43976</v>
      </c>
      <c r="D57" t="s">
        <v>15</v>
      </c>
      <c r="E57" t="s">
        <v>7</v>
      </c>
      <c r="F57">
        <v>15.3</v>
      </c>
      <c r="G57">
        <v>10</v>
      </c>
      <c r="H57" s="2">
        <f>F57*G57</f>
        <v>153</v>
      </c>
      <c r="I57" s="4"/>
      <c r="M57" s="4"/>
    </row>
    <row r="58" spans="1:13" x14ac:dyDescent="0.25">
      <c r="A58">
        <f t="shared" si="1"/>
        <v>2020</v>
      </c>
      <c r="B58">
        <f t="shared" si="2"/>
        <v>5</v>
      </c>
      <c r="C58" s="1">
        <v>43977</v>
      </c>
      <c r="D58" t="s">
        <v>15</v>
      </c>
      <c r="E58" t="s">
        <v>7</v>
      </c>
      <c r="F58">
        <v>15</v>
      </c>
      <c r="G58">
        <v>10</v>
      </c>
      <c r="H58" s="2">
        <f>F58*G58</f>
        <v>150</v>
      </c>
      <c r="I58" s="4"/>
      <c r="M58" s="4"/>
    </row>
    <row r="59" spans="1:13" x14ac:dyDescent="0.25">
      <c r="A59">
        <f t="shared" si="1"/>
        <v>2020</v>
      </c>
      <c r="B59">
        <f t="shared" si="2"/>
        <v>5</v>
      </c>
      <c r="C59" s="1">
        <v>43978</v>
      </c>
      <c r="D59" t="s">
        <v>15</v>
      </c>
      <c r="E59" t="s">
        <v>7</v>
      </c>
      <c r="F59">
        <v>14.3</v>
      </c>
      <c r="G59">
        <v>10</v>
      </c>
      <c r="H59" s="2">
        <f t="shared" ref="H59:H72" si="4">F59*G59</f>
        <v>143</v>
      </c>
      <c r="I59" s="4"/>
      <c r="M59" s="4"/>
    </row>
    <row r="60" spans="1:13" x14ac:dyDescent="0.25">
      <c r="A60">
        <f t="shared" si="1"/>
        <v>2020</v>
      </c>
      <c r="B60">
        <f t="shared" si="2"/>
        <v>6</v>
      </c>
      <c r="C60" s="1">
        <v>43984</v>
      </c>
      <c r="D60" t="s">
        <v>41</v>
      </c>
      <c r="E60" t="s">
        <v>7</v>
      </c>
      <c r="F60">
        <v>19.5</v>
      </c>
      <c r="G60">
        <v>30</v>
      </c>
      <c r="H60" s="2">
        <f t="shared" si="4"/>
        <v>585</v>
      </c>
      <c r="I60" s="4"/>
      <c r="M60" s="4"/>
    </row>
    <row r="61" spans="1:13" x14ac:dyDescent="0.25">
      <c r="A61">
        <f t="shared" si="1"/>
        <v>2020</v>
      </c>
      <c r="B61">
        <f t="shared" si="2"/>
        <v>5</v>
      </c>
      <c r="C61" s="1">
        <v>43965</v>
      </c>
      <c r="D61" t="s">
        <v>19</v>
      </c>
      <c r="E61" t="s">
        <v>10</v>
      </c>
      <c r="F61" s="5">
        <f>61.23/4</f>
        <v>15.307499999999999</v>
      </c>
      <c r="G61">
        <v>-10</v>
      </c>
      <c r="H61" s="2">
        <f t="shared" si="4"/>
        <v>-153.07499999999999</v>
      </c>
      <c r="I61" s="4"/>
      <c r="M61" s="4"/>
    </row>
    <row r="62" spans="1:13" x14ac:dyDescent="0.25">
      <c r="A62">
        <f t="shared" si="1"/>
        <v>2020</v>
      </c>
      <c r="B62">
        <f t="shared" si="2"/>
        <v>5</v>
      </c>
      <c r="C62" s="1">
        <v>43965</v>
      </c>
      <c r="D62" t="s">
        <v>11</v>
      </c>
      <c r="E62" t="s">
        <v>10</v>
      </c>
      <c r="F62">
        <v>13.63</v>
      </c>
      <c r="G62">
        <f>-100</f>
        <v>-100</v>
      </c>
      <c r="H62" s="2">
        <f t="shared" si="4"/>
        <v>-1363</v>
      </c>
      <c r="I62" s="4"/>
      <c r="M62" s="4"/>
    </row>
    <row r="63" spans="1:13" x14ac:dyDescent="0.25">
      <c r="A63">
        <f t="shared" si="1"/>
        <v>2020</v>
      </c>
      <c r="B63">
        <f t="shared" si="2"/>
        <v>5</v>
      </c>
      <c r="C63" s="1">
        <v>43965</v>
      </c>
      <c r="D63" t="s">
        <v>19</v>
      </c>
      <c r="E63" t="s">
        <v>7</v>
      </c>
      <c r="F63" s="5">
        <f>59/4</f>
        <v>14.75</v>
      </c>
      <c r="G63">
        <v>3</v>
      </c>
      <c r="H63" s="2">
        <f t="shared" si="4"/>
        <v>44.25</v>
      </c>
      <c r="I63" s="4"/>
      <c r="M63" s="4"/>
    </row>
    <row r="64" spans="1:13" x14ac:dyDescent="0.25">
      <c r="A64">
        <f t="shared" si="1"/>
        <v>2020</v>
      </c>
      <c r="B64">
        <f t="shared" si="2"/>
        <v>5</v>
      </c>
      <c r="C64" s="1">
        <v>43965</v>
      </c>
      <c r="D64" t="s">
        <v>42</v>
      </c>
      <c r="E64" t="s">
        <v>7</v>
      </c>
      <c r="F64">
        <v>20</v>
      </c>
      <c r="G64">
        <v>10</v>
      </c>
      <c r="H64" s="2">
        <f t="shared" si="4"/>
        <v>200</v>
      </c>
      <c r="I64" s="4"/>
      <c r="M64" s="4"/>
    </row>
    <row r="65" spans="1:13" x14ac:dyDescent="0.25">
      <c r="A65">
        <f t="shared" si="1"/>
        <v>2020</v>
      </c>
      <c r="B65">
        <f t="shared" si="2"/>
        <v>5</v>
      </c>
      <c r="C65" s="1">
        <v>43965</v>
      </c>
      <c r="D65" t="s">
        <v>15</v>
      </c>
      <c r="E65" t="s">
        <v>7</v>
      </c>
      <c r="F65">
        <v>23.9</v>
      </c>
      <c r="G65">
        <v>8</v>
      </c>
      <c r="H65" s="2">
        <f t="shared" si="4"/>
        <v>191.2</v>
      </c>
      <c r="I65" s="4"/>
      <c r="M65" s="4"/>
    </row>
    <row r="66" spans="1:13" x14ac:dyDescent="0.25">
      <c r="A66">
        <f t="shared" si="1"/>
        <v>2020</v>
      </c>
      <c r="B66">
        <f t="shared" si="2"/>
        <v>6</v>
      </c>
      <c r="C66" s="1">
        <v>43994</v>
      </c>
      <c r="D66" t="s">
        <v>15</v>
      </c>
      <c r="E66" t="s">
        <v>7</v>
      </c>
      <c r="F66">
        <v>21.5</v>
      </c>
      <c r="G66">
        <v>4</v>
      </c>
      <c r="H66" s="2">
        <f t="shared" si="4"/>
        <v>86</v>
      </c>
      <c r="I66" s="4"/>
      <c r="M66" s="4"/>
    </row>
    <row r="67" spans="1:13" x14ac:dyDescent="0.25">
      <c r="A67">
        <f t="shared" ref="A67:A123" si="5">YEAR(C67)</f>
        <v>2020</v>
      </c>
      <c r="B67">
        <f t="shared" ref="B67:B130" si="6">MONTH(C67)</f>
        <v>6</v>
      </c>
      <c r="C67" s="1">
        <v>43994</v>
      </c>
      <c r="D67" t="s">
        <v>15</v>
      </c>
      <c r="E67" t="s">
        <v>7</v>
      </c>
      <c r="F67">
        <v>22</v>
      </c>
      <c r="G67">
        <v>8</v>
      </c>
      <c r="H67" s="2">
        <f t="shared" si="4"/>
        <v>176</v>
      </c>
      <c r="I67" s="4"/>
      <c r="M67" s="4"/>
    </row>
    <row r="68" spans="1:13" x14ac:dyDescent="0.25">
      <c r="A68">
        <f t="shared" si="5"/>
        <v>2020</v>
      </c>
      <c r="B68">
        <f t="shared" si="6"/>
        <v>6</v>
      </c>
      <c r="C68" s="1">
        <v>43994</v>
      </c>
      <c r="D68" t="s">
        <v>15</v>
      </c>
      <c r="E68" t="s">
        <v>7</v>
      </c>
      <c r="F68">
        <v>22.8</v>
      </c>
      <c r="G68">
        <v>7</v>
      </c>
      <c r="H68" s="2">
        <f t="shared" si="4"/>
        <v>159.6</v>
      </c>
      <c r="I68" s="4"/>
      <c r="M68" s="4"/>
    </row>
    <row r="69" spans="1:13" x14ac:dyDescent="0.25">
      <c r="A69">
        <f t="shared" si="5"/>
        <v>2020</v>
      </c>
      <c r="B69">
        <f t="shared" si="6"/>
        <v>6</v>
      </c>
      <c r="C69" s="1">
        <v>43994</v>
      </c>
      <c r="D69" t="s">
        <v>42</v>
      </c>
      <c r="E69" t="s">
        <v>7</v>
      </c>
      <c r="F69">
        <v>19.649999999999999</v>
      </c>
      <c r="G69">
        <v>10</v>
      </c>
      <c r="H69" s="2">
        <f t="shared" si="4"/>
        <v>196.5</v>
      </c>
      <c r="I69" s="4"/>
      <c r="M69" s="4"/>
    </row>
    <row r="70" spans="1:13" x14ac:dyDescent="0.25">
      <c r="A70">
        <f t="shared" si="5"/>
        <v>2020</v>
      </c>
      <c r="B70">
        <f t="shared" si="6"/>
        <v>6</v>
      </c>
      <c r="C70" s="1">
        <v>43997</v>
      </c>
      <c r="D70" t="s">
        <v>42</v>
      </c>
      <c r="E70" t="s">
        <v>7</v>
      </c>
      <c r="F70">
        <v>18.899999999999999</v>
      </c>
      <c r="G70">
        <v>10</v>
      </c>
      <c r="H70" s="2">
        <f t="shared" si="4"/>
        <v>189</v>
      </c>
      <c r="I70" s="4"/>
      <c r="M70" s="4"/>
    </row>
    <row r="71" spans="1:13" x14ac:dyDescent="0.25">
      <c r="A71">
        <f t="shared" si="5"/>
        <v>2020</v>
      </c>
      <c r="B71">
        <f t="shared" si="6"/>
        <v>6</v>
      </c>
      <c r="C71" s="1">
        <v>43997</v>
      </c>
      <c r="D71" t="s">
        <v>15</v>
      </c>
      <c r="E71" t="s">
        <v>7</v>
      </c>
      <c r="F71">
        <v>20.399999999999999</v>
      </c>
      <c r="G71">
        <v>8</v>
      </c>
      <c r="H71" s="2">
        <f t="shared" si="4"/>
        <v>163.19999999999999</v>
      </c>
      <c r="I71" s="4"/>
      <c r="M71" s="4"/>
    </row>
    <row r="72" spans="1:13" x14ac:dyDescent="0.25">
      <c r="A72">
        <f t="shared" si="5"/>
        <v>2020</v>
      </c>
      <c r="B72">
        <f t="shared" si="6"/>
        <v>6</v>
      </c>
      <c r="C72" s="1">
        <v>43997</v>
      </c>
      <c r="D72" t="s">
        <v>42</v>
      </c>
      <c r="E72" t="s">
        <v>7</v>
      </c>
      <c r="F72">
        <v>18.600000000000001</v>
      </c>
      <c r="G72">
        <v>10</v>
      </c>
      <c r="H72" s="2">
        <f t="shared" si="4"/>
        <v>186</v>
      </c>
      <c r="I72" s="4"/>
      <c r="M72" s="4"/>
    </row>
    <row r="73" spans="1:13" x14ac:dyDescent="0.25">
      <c r="A73">
        <f t="shared" si="5"/>
        <v>2020</v>
      </c>
      <c r="B73">
        <f t="shared" si="6"/>
        <v>6</v>
      </c>
      <c r="C73" s="1">
        <v>44005</v>
      </c>
      <c r="D73" t="s">
        <v>15</v>
      </c>
      <c r="E73" t="s">
        <v>7</v>
      </c>
      <c r="F73">
        <v>20.5</v>
      </c>
      <c r="G73">
        <v>40</v>
      </c>
      <c r="H73" s="2">
        <f t="shared" ref="H73:H133" si="7">F73*G73</f>
        <v>820</v>
      </c>
      <c r="I73" s="4"/>
      <c r="M73" s="4"/>
    </row>
    <row r="74" spans="1:13" x14ac:dyDescent="0.25">
      <c r="A74">
        <f t="shared" si="5"/>
        <v>2020</v>
      </c>
      <c r="B74">
        <f t="shared" si="6"/>
        <v>6</v>
      </c>
      <c r="C74" s="1">
        <v>44012</v>
      </c>
      <c r="D74" t="s">
        <v>27</v>
      </c>
      <c r="E74" t="s">
        <v>10</v>
      </c>
      <c r="F74">
        <v>76.13</v>
      </c>
      <c r="G74">
        <v>-31</v>
      </c>
      <c r="H74" s="2">
        <f t="shared" si="7"/>
        <v>-2360.0299999999997</v>
      </c>
      <c r="I74" s="4"/>
      <c r="M74" s="4"/>
    </row>
    <row r="75" spans="1:13" x14ac:dyDescent="0.25">
      <c r="A75">
        <f t="shared" si="5"/>
        <v>2020</v>
      </c>
      <c r="B75">
        <f t="shared" si="6"/>
        <v>6</v>
      </c>
      <c r="C75" s="1">
        <v>44012</v>
      </c>
      <c r="D75" t="s">
        <v>41</v>
      </c>
      <c r="E75" t="s">
        <v>10</v>
      </c>
      <c r="F75">
        <v>21.45</v>
      </c>
      <c r="G75">
        <v>-30</v>
      </c>
      <c r="H75" s="2">
        <f t="shared" si="7"/>
        <v>-643.5</v>
      </c>
      <c r="I75" s="4"/>
      <c r="M75" s="4"/>
    </row>
    <row r="76" spans="1:13" x14ac:dyDescent="0.25">
      <c r="A76">
        <f t="shared" si="5"/>
        <v>2020</v>
      </c>
      <c r="B76">
        <f t="shared" si="6"/>
        <v>7</v>
      </c>
      <c r="C76" s="1">
        <v>44013</v>
      </c>
      <c r="D76" t="s">
        <v>26</v>
      </c>
      <c r="E76" t="s">
        <v>7</v>
      </c>
      <c r="F76">
        <v>36.24</v>
      </c>
      <c r="G76">
        <v>30</v>
      </c>
      <c r="H76" s="2">
        <f t="shared" si="7"/>
        <v>1087.2</v>
      </c>
      <c r="I76" s="4"/>
      <c r="M76" s="4"/>
    </row>
    <row r="77" spans="1:13" x14ac:dyDescent="0.25">
      <c r="A77">
        <f t="shared" si="5"/>
        <v>2020</v>
      </c>
      <c r="B77">
        <f t="shared" si="6"/>
        <v>7</v>
      </c>
      <c r="C77" s="1">
        <v>44021</v>
      </c>
      <c r="D77" t="s">
        <v>53</v>
      </c>
      <c r="E77" t="s">
        <v>7</v>
      </c>
      <c r="F77">
        <v>26.62</v>
      </c>
      <c r="G77">
        <v>50</v>
      </c>
      <c r="H77" s="2">
        <f t="shared" si="7"/>
        <v>1331</v>
      </c>
      <c r="I77" s="4"/>
      <c r="M77" s="4"/>
    </row>
    <row r="78" spans="1:13" x14ac:dyDescent="0.25">
      <c r="A78">
        <f t="shared" si="5"/>
        <v>2020</v>
      </c>
      <c r="B78">
        <f t="shared" si="6"/>
        <v>7</v>
      </c>
      <c r="C78" s="1">
        <v>44021</v>
      </c>
      <c r="D78" t="s">
        <v>19</v>
      </c>
      <c r="E78" t="s">
        <v>10</v>
      </c>
      <c r="F78" s="5">
        <f>84.09/4</f>
        <v>21.022500000000001</v>
      </c>
      <c r="G78">
        <v>-3</v>
      </c>
      <c r="H78" s="2">
        <f t="shared" si="7"/>
        <v>-63.067500000000003</v>
      </c>
      <c r="I78" s="4"/>
      <c r="M78" s="4"/>
    </row>
    <row r="79" spans="1:13" x14ac:dyDescent="0.25">
      <c r="A79">
        <f t="shared" si="5"/>
        <v>2020</v>
      </c>
      <c r="B79">
        <f t="shared" si="6"/>
        <v>7</v>
      </c>
      <c r="C79" s="1">
        <v>44026</v>
      </c>
      <c r="D79" t="s">
        <v>11</v>
      </c>
      <c r="E79" t="s">
        <v>7</v>
      </c>
      <c r="F79">
        <v>21</v>
      </c>
      <c r="G79">
        <v>100</v>
      </c>
      <c r="H79" s="2">
        <f t="shared" si="7"/>
        <v>2100</v>
      </c>
      <c r="I79" s="4"/>
      <c r="M79" s="4"/>
    </row>
    <row r="80" spans="1:13" x14ac:dyDescent="0.25">
      <c r="A80">
        <f t="shared" si="5"/>
        <v>2020</v>
      </c>
      <c r="B80">
        <f t="shared" si="6"/>
        <v>7</v>
      </c>
      <c r="C80" s="1">
        <v>44026</v>
      </c>
      <c r="D80" t="s">
        <v>21</v>
      </c>
      <c r="E80" t="s">
        <v>7</v>
      </c>
      <c r="F80">
        <v>27.1</v>
      </c>
      <c r="G80">
        <v>30</v>
      </c>
      <c r="H80" s="2">
        <f t="shared" si="7"/>
        <v>813</v>
      </c>
      <c r="I80" s="4"/>
      <c r="M80" s="4"/>
    </row>
    <row r="81" spans="1:13" x14ac:dyDescent="0.25">
      <c r="A81">
        <f t="shared" si="5"/>
        <v>2020</v>
      </c>
      <c r="B81">
        <f t="shared" si="6"/>
        <v>7</v>
      </c>
      <c r="C81" s="1">
        <v>44033</v>
      </c>
      <c r="D81" t="s">
        <v>55</v>
      </c>
      <c r="E81" t="s">
        <v>7</v>
      </c>
      <c r="F81">
        <v>7.93</v>
      </c>
      <c r="G81">
        <v>100</v>
      </c>
      <c r="H81" s="2">
        <f t="shared" si="7"/>
        <v>793</v>
      </c>
      <c r="I81" s="4"/>
      <c r="M81" s="4"/>
    </row>
    <row r="82" spans="1:13" x14ac:dyDescent="0.25">
      <c r="A82">
        <f t="shared" si="5"/>
        <v>2020</v>
      </c>
      <c r="B82">
        <f t="shared" si="6"/>
        <v>7</v>
      </c>
      <c r="C82" s="1">
        <v>44036</v>
      </c>
      <c r="D82" t="s">
        <v>90</v>
      </c>
      <c r="E82" t="s">
        <v>7</v>
      </c>
      <c r="F82">
        <v>49.7</v>
      </c>
      <c r="G82">
        <v>30</v>
      </c>
      <c r="H82" s="2">
        <f t="shared" si="7"/>
        <v>1491</v>
      </c>
      <c r="I82" s="4"/>
      <c r="M82" s="4"/>
    </row>
    <row r="83" spans="1:13" x14ac:dyDescent="0.25">
      <c r="A83">
        <f t="shared" si="5"/>
        <v>2020</v>
      </c>
      <c r="B83">
        <f t="shared" si="6"/>
        <v>7</v>
      </c>
      <c r="C83" s="1">
        <v>44040</v>
      </c>
      <c r="D83" t="s">
        <v>20</v>
      </c>
      <c r="E83" t="s">
        <v>10</v>
      </c>
      <c r="F83">
        <v>21.91</v>
      </c>
      <c r="G83">
        <v>-100</v>
      </c>
      <c r="H83" s="2">
        <f t="shared" si="7"/>
        <v>-2191</v>
      </c>
      <c r="I83" s="4"/>
      <c r="M83" s="4"/>
    </row>
    <row r="84" spans="1:13" x14ac:dyDescent="0.25">
      <c r="A84">
        <f t="shared" si="5"/>
        <v>2020</v>
      </c>
      <c r="B84">
        <f t="shared" si="6"/>
        <v>7</v>
      </c>
      <c r="C84" s="1">
        <v>44040</v>
      </c>
      <c r="D84" t="s">
        <v>20</v>
      </c>
      <c r="E84" t="s">
        <v>10</v>
      </c>
      <c r="F84">
        <v>22.1</v>
      </c>
      <c r="G84">
        <v>-40</v>
      </c>
      <c r="H84" s="2">
        <f t="shared" si="7"/>
        <v>-884</v>
      </c>
      <c r="I84" s="4"/>
      <c r="M84" s="4"/>
    </row>
    <row r="85" spans="1:13" x14ac:dyDescent="0.25">
      <c r="A85">
        <f t="shared" si="5"/>
        <v>2020</v>
      </c>
      <c r="B85">
        <f t="shared" si="6"/>
        <v>7</v>
      </c>
      <c r="C85" s="1">
        <v>44041</v>
      </c>
      <c r="D85" t="s">
        <v>55</v>
      </c>
      <c r="E85" t="s">
        <v>7</v>
      </c>
      <c r="F85">
        <v>8</v>
      </c>
      <c r="G85">
        <v>100</v>
      </c>
      <c r="H85" s="2">
        <f t="shared" si="7"/>
        <v>800</v>
      </c>
      <c r="I85" s="4"/>
      <c r="M85" s="4"/>
    </row>
    <row r="86" spans="1:13" x14ac:dyDescent="0.25">
      <c r="A86">
        <f t="shared" si="5"/>
        <v>2020</v>
      </c>
      <c r="B86">
        <f t="shared" si="6"/>
        <v>7</v>
      </c>
      <c r="C86" s="1">
        <v>44041</v>
      </c>
      <c r="D86" t="s">
        <v>53</v>
      </c>
      <c r="E86" t="s">
        <v>7</v>
      </c>
      <c r="F86">
        <v>25.87</v>
      </c>
      <c r="G86">
        <v>40</v>
      </c>
      <c r="H86" s="2">
        <f t="shared" si="7"/>
        <v>1034.8</v>
      </c>
      <c r="I86" s="4"/>
      <c r="J86" s="4"/>
      <c r="M86" s="4"/>
    </row>
    <row r="87" spans="1:13" x14ac:dyDescent="0.25">
      <c r="A87">
        <f t="shared" si="5"/>
        <v>2020</v>
      </c>
      <c r="B87">
        <f t="shared" si="6"/>
        <v>7</v>
      </c>
      <c r="C87" s="1">
        <v>44041</v>
      </c>
      <c r="D87" t="s">
        <v>55</v>
      </c>
      <c r="E87" t="s">
        <v>7</v>
      </c>
      <c r="F87">
        <v>8</v>
      </c>
      <c r="G87">
        <v>100</v>
      </c>
      <c r="H87" s="2">
        <f t="shared" si="7"/>
        <v>800</v>
      </c>
      <c r="I87" s="4"/>
      <c r="M87" s="4"/>
    </row>
    <row r="88" spans="1:13" x14ac:dyDescent="0.25">
      <c r="A88">
        <f t="shared" si="5"/>
        <v>2020</v>
      </c>
      <c r="B88">
        <f t="shared" si="6"/>
        <v>7</v>
      </c>
      <c r="C88" s="1">
        <v>44041</v>
      </c>
      <c r="D88" t="s">
        <v>12</v>
      </c>
      <c r="E88" t="s">
        <v>10</v>
      </c>
      <c r="F88">
        <v>51</v>
      </c>
      <c r="G88">
        <v>-50</v>
      </c>
      <c r="H88" s="2">
        <f t="shared" si="7"/>
        <v>-2550</v>
      </c>
      <c r="I88" s="4"/>
      <c r="M88" s="4"/>
    </row>
    <row r="89" spans="1:13" x14ac:dyDescent="0.25">
      <c r="A89">
        <f t="shared" si="5"/>
        <v>2020</v>
      </c>
      <c r="B89">
        <f t="shared" si="6"/>
        <v>7</v>
      </c>
      <c r="C89" s="1">
        <v>44041</v>
      </c>
      <c r="D89" t="s">
        <v>90</v>
      </c>
      <c r="E89" t="s">
        <v>7</v>
      </c>
      <c r="F89">
        <v>50.61</v>
      </c>
      <c r="G89">
        <v>20</v>
      </c>
      <c r="H89" s="2">
        <f t="shared" si="7"/>
        <v>1012.2</v>
      </c>
      <c r="I89" s="4"/>
      <c r="M89" s="4"/>
    </row>
    <row r="90" spans="1:13" x14ac:dyDescent="0.25">
      <c r="A90">
        <f t="shared" si="5"/>
        <v>2020</v>
      </c>
      <c r="B90">
        <f t="shared" si="6"/>
        <v>8</v>
      </c>
      <c r="C90" s="1">
        <v>44047</v>
      </c>
      <c r="D90" t="s">
        <v>21</v>
      </c>
      <c r="E90" t="s">
        <v>7</v>
      </c>
      <c r="F90">
        <v>25.64</v>
      </c>
      <c r="G90">
        <v>40</v>
      </c>
      <c r="H90" s="2">
        <f t="shared" si="7"/>
        <v>1025.5999999999999</v>
      </c>
      <c r="I90" s="4"/>
      <c r="M90" s="4"/>
    </row>
    <row r="91" spans="1:13" x14ac:dyDescent="0.25">
      <c r="A91">
        <f t="shared" si="5"/>
        <v>2020</v>
      </c>
      <c r="B91">
        <f t="shared" si="6"/>
        <v>8</v>
      </c>
      <c r="C91" s="1">
        <v>44055</v>
      </c>
      <c r="D91" t="s">
        <v>21</v>
      </c>
      <c r="E91" t="s">
        <v>7</v>
      </c>
      <c r="F91">
        <v>24.22</v>
      </c>
      <c r="G91">
        <v>30</v>
      </c>
      <c r="H91" s="2">
        <f t="shared" si="7"/>
        <v>726.59999999999991</v>
      </c>
      <c r="I91" s="4"/>
      <c r="M91" s="4"/>
    </row>
    <row r="92" spans="1:13" x14ac:dyDescent="0.25">
      <c r="A92">
        <f t="shared" si="5"/>
        <v>2020</v>
      </c>
      <c r="B92">
        <f t="shared" si="6"/>
        <v>8</v>
      </c>
      <c r="C92" s="1">
        <v>44062</v>
      </c>
      <c r="D92" t="s">
        <v>26</v>
      </c>
      <c r="E92" t="s">
        <v>7</v>
      </c>
      <c r="F92">
        <v>32.93</v>
      </c>
      <c r="G92">
        <v>50</v>
      </c>
      <c r="H92" s="2">
        <f t="shared" si="7"/>
        <v>1646.5</v>
      </c>
      <c r="I92" s="4"/>
      <c r="M92" s="4"/>
    </row>
    <row r="93" spans="1:13" x14ac:dyDescent="0.25">
      <c r="A93">
        <f t="shared" si="5"/>
        <v>2020</v>
      </c>
      <c r="B93">
        <f t="shared" si="6"/>
        <v>8</v>
      </c>
      <c r="C93" s="1">
        <v>44069</v>
      </c>
      <c r="D93" t="s">
        <v>69</v>
      </c>
      <c r="E93" t="s">
        <v>7</v>
      </c>
      <c r="F93">
        <v>48.29</v>
      </c>
      <c r="G93">
        <v>40</v>
      </c>
      <c r="H93" s="2">
        <f t="shared" si="7"/>
        <v>1931.6</v>
      </c>
      <c r="I93" s="4"/>
      <c r="M93" s="4"/>
    </row>
    <row r="94" spans="1:13" x14ac:dyDescent="0.25">
      <c r="A94">
        <f t="shared" si="5"/>
        <v>2020</v>
      </c>
      <c r="B94">
        <f t="shared" si="6"/>
        <v>9</v>
      </c>
      <c r="C94" s="1">
        <v>44099</v>
      </c>
      <c r="D94" t="s">
        <v>12</v>
      </c>
      <c r="E94" t="s">
        <v>7</v>
      </c>
      <c r="F94">
        <v>57.93</v>
      </c>
      <c r="G94">
        <v>50</v>
      </c>
      <c r="H94" s="2">
        <f t="shared" si="7"/>
        <v>2896.5</v>
      </c>
      <c r="I94" s="4"/>
      <c r="M94" s="4"/>
    </row>
    <row r="95" spans="1:13" x14ac:dyDescent="0.25">
      <c r="A95">
        <f t="shared" si="5"/>
        <v>2020</v>
      </c>
      <c r="B95">
        <f t="shared" si="6"/>
        <v>9</v>
      </c>
      <c r="C95" s="1">
        <v>44099</v>
      </c>
      <c r="D95" t="s">
        <v>12</v>
      </c>
      <c r="E95" t="s">
        <v>10</v>
      </c>
      <c r="F95">
        <v>58</v>
      </c>
      <c r="G95">
        <v>-100</v>
      </c>
      <c r="H95" s="2">
        <f t="shared" si="7"/>
        <v>-5800</v>
      </c>
      <c r="I95" s="4"/>
      <c r="M95" s="4"/>
    </row>
    <row r="96" spans="1:13" x14ac:dyDescent="0.25">
      <c r="A96">
        <f t="shared" si="5"/>
        <v>2020</v>
      </c>
      <c r="B96">
        <f t="shared" si="6"/>
        <v>9</v>
      </c>
      <c r="C96" s="1">
        <v>44099</v>
      </c>
      <c r="D96" t="s">
        <v>75</v>
      </c>
      <c r="E96" t="s">
        <v>7</v>
      </c>
      <c r="F96">
        <v>17.05</v>
      </c>
      <c r="G96">
        <v>100</v>
      </c>
      <c r="H96" s="2">
        <f t="shared" si="7"/>
        <v>1705</v>
      </c>
      <c r="M96" s="4"/>
    </row>
    <row r="97" spans="1:13" x14ac:dyDescent="0.25">
      <c r="A97">
        <f t="shared" si="5"/>
        <v>2020</v>
      </c>
      <c r="B97">
        <f t="shared" si="6"/>
        <v>10</v>
      </c>
      <c r="C97" s="1">
        <v>44120</v>
      </c>
      <c r="D97" t="s">
        <v>69</v>
      </c>
      <c r="E97" t="s">
        <v>7</v>
      </c>
      <c r="F97">
        <v>48.5</v>
      </c>
      <c r="G97">
        <v>20</v>
      </c>
      <c r="H97" s="2">
        <f t="shared" si="7"/>
        <v>970</v>
      </c>
      <c r="M97" s="4"/>
    </row>
    <row r="98" spans="1:13" x14ac:dyDescent="0.25">
      <c r="A98">
        <f t="shared" si="5"/>
        <v>2020</v>
      </c>
      <c r="B98">
        <f t="shared" si="6"/>
        <v>10</v>
      </c>
      <c r="C98" s="1">
        <v>44131</v>
      </c>
      <c r="D98" t="s">
        <v>75</v>
      </c>
      <c r="E98" t="s">
        <v>10</v>
      </c>
      <c r="F98">
        <v>21.35</v>
      </c>
      <c r="G98">
        <v>-100</v>
      </c>
      <c r="H98" s="2">
        <f t="shared" si="7"/>
        <v>-2135</v>
      </c>
      <c r="M98" s="4"/>
    </row>
    <row r="99" spans="1:13" x14ac:dyDescent="0.25">
      <c r="A99">
        <f t="shared" si="5"/>
        <v>2020</v>
      </c>
      <c r="B99">
        <f t="shared" si="6"/>
        <v>10</v>
      </c>
      <c r="C99" s="1">
        <v>44131</v>
      </c>
      <c r="D99" t="s">
        <v>76</v>
      </c>
      <c r="E99" t="s">
        <v>7</v>
      </c>
      <c r="F99">
        <v>41.36</v>
      </c>
      <c r="G99">
        <v>60</v>
      </c>
      <c r="H99" s="2">
        <f t="shared" si="7"/>
        <v>2481.6</v>
      </c>
      <c r="M99" s="4"/>
    </row>
    <row r="100" spans="1:13" x14ac:dyDescent="0.25">
      <c r="A100">
        <f t="shared" si="5"/>
        <v>2020</v>
      </c>
      <c r="B100">
        <f t="shared" si="6"/>
        <v>10</v>
      </c>
      <c r="C100" s="1">
        <v>44132</v>
      </c>
      <c r="D100" t="s">
        <v>77</v>
      </c>
      <c r="E100" t="s">
        <v>7</v>
      </c>
      <c r="F100">
        <v>63.2</v>
      </c>
      <c r="G100">
        <v>15</v>
      </c>
      <c r="H100" s="2">
        <f t="shared" si="7"/>
        <v>948</v>
      </c>
      <c r="M100" s="4"/>
    </row>
    <row r="101" spans="1:13" x14ac:dyDescent="0.25">
      <c r="A101">
        <f t="shared" si="5"/>
        <v>2020</v>
      </c>
      <c r="B101">
        <f t="shared" si="6"/>
        <v>10</v>
      </c>
      <c r="C101" s="1">
        <v>44132</v>
      </c>
      <c r="D101" t="s">
        <v>53</v>
      </c>
      <c r="E101" t="s">
        <v>7</v>
      </c>
      <c r="F101">
        <v>27.53</v>
      </c>
      <c r="G101">
        <v>30</v>
      </c>
      <c r="H101" s="2">
        <f t="shared" si="7"/>
        <v>825.90000000000009</v>
      </c>
      <c r="M101" s="4"/>
    </row>
    <row r="102" spans="1:13" x14ac:dyDescent="0.25">
      <c r="A102">
        <f t="shared" si="5"/>
        <v>2020</v>
      </c>
      <c r="B102">
        <f t="shared" si="6"/>
        <v>11</v>
      </c>
      <c r="C102" s="1">
        <v>44152</v>
      </c>
      <c r="D102" t="s">
        <v>18</v>
      </c>
      <c r="E102" t="s">
        <v>10</v>
      </c>
      <c r="F102">
        <v>67.5</v>
      </c>
      <c r="G102">
        <v>-30</v>
      </c>
      <c r="H102" s="2">
        <f t="shared" si="7"/>
        <v>-2025</v>
      </c>
      <c r="M102" s="4"/>
    </row>
    <row r="103" spans="1:13" x14ac:dyDescent="0.25">
      <c r="A103">
        <f t="shared" si="5"/>
        <v>2020</v>
      </c>
      <c r="B103">
        <f t="shared" si="6"/>
        <v>11</v>
      </c>
      <c r="C103" s="1">
        <v>44158</v>
      </c>
      <c r="D103" t="s">
        <v>92</v>
      </c>
      <c r="E103" t="s">
        <v>7</v>
      </c>
      <c r="F103">
        <f>69/4</f>
        <v>17.25</v>
      </c>
      <c r="G103">
        <v>100</v>
      </c>
      <c r="H103" s="2">
        <f t="shared" si="7"/>
        <v>1725</v>
      </c>
      <c r="M103" s="4"/>
    </row>
    <row r="104" spans="1:13" x14ac:dyDescent="0.25">
      <c r="A104">
        <f t="shared" si="5"/>
        <v>2020</v>
      </c>
      <c r="B104">
        <f t="shared" si="6"/>
        <v>11</v>
      </c>
      <c r="C104" s="1">
        <v>44159</v>
      </c>
      <c r="D104" t="s">
        <v>42</v>
      </c>
      <c r="E104" t="s">
        <v>10</v>
      </c>
      <c r="F104">
        <v>26.17</v>
      </c>
      <c r="G104">
        <v>-40</v>
      </c>
      <c r="H104" s="2">
        <f t="shared" si="7"/>
        <v>-1046.8000000000002</v>
      </c>
      <c r="M104" s="4"/>
    </row>
    <row r="105" spans="1:13" x14ac:dyDescent="0.25">
      <c r="A105">
        <f t="shared" si="5"/>
        <v>2020</v>
      </c>
      <c r="B105">
        <f t="shared" si="6"/>
        <v>12</v>
      </c>
      <c r="C105" s="1">
        <v>44167</v>
      </c>
      <c r="D105" t="s">
        <v>78</v>
      </c>
      <c r="E105" t="s">
        <v>7</v>
      </c>
      <c r="F105">
        <v>8.08</v>
      </c>
      <c r="G105">
        <v>300</v>
      </c>
      <c r="H105" s="2">
        <f t="shared" si="7"/>
        <v>2424</v>
      </c>
    </row>
    <row r="106" spans="1:13" x14ac:dyDescent="0.25">
      <c r="A106">
        <f t="shared" si="5"/>
        <v>2020</v>
      </c>
      <c r="B106">
        <f t="shared" si="6"/>
        <v>12</v>
      </c>
      <c r="C106" s="1">
        <v>44167</v>
      </c>
      <c r="D106" t="s">
        <v>16</v>
      </c>
      <c r="E106" t="s">
        <v>10</v>
      </c>
      <c r="F106">
        <v>13.62</v>
      </c>
      <c r="G106">
        <v>-100</v>
      </c>
      <c r="H106" s="2">
        <f t="shared" si="7"/>
        <v>-1362</v>
      </c>
    </row>
    <row r="107" spans="1:13" x14ac:dyDescent="0.25">
      <c r="A107">
        <f t="shared" si="5"/>
        <v>2020</v>
      </c>
      <c r="B107">
        <f t="shared" si="6"/>
        <v>12</v>
      </c>
      <c r="C107" s="1">
        <v>44168</v>
      </c>
      <c r="D107" t="s">
        <v>11</v>
      </c>
      <c r="E107" t="s">
        <v>10</v>
      </c>
      <c r="F107">
        <v>17.12</v>
      </c>
      <c r="G107">
        <v>-100</v>
      </c>
      <c r="H107" s="2">
        <f t="shared" si="7"/>
        <v>-1712</v>
      </c>
    </row>
    <row r="108" spans="1:13" x14ac:dyDescent="0.25">
      <c r="A108">
        <f t="shared" si="5"/>
        <v>2020</v>
      </c>
      <c r="B108">
        <f t="shared" si="6"/>
        <v>12</v>
      </c>
      <c r="C108" s="1">
        <v>44168</v>
      </c>
      <c r="D108" t="s">
        <v>19</v>
      </c>
      <c r="E108" t="s">
        <v>7</v>
      </c>
      <c r="F108">
        <v>23.29</v>
      </c>
      <c r="G108">
        <v>100</v>
      </c>
      <c r="H108" s="2">
        <f t="shared" si="7"/>
        <v>2329</v>
      </c>
    </row>
    <row r="109" spans="1:13" x14ac:dyDescent="0.25">
      <c r="A109">
        <f t="shared" si="5"/>
        <v>2021</v>
      </c>
      <c r="B109">
        <f t="shared" si="6"/>
        <v>1</v>
      </c>
      <c r="C109" s="1">
        <v>44204</v>
      </c>
      <c r="D109" t="s">
        <v>18</v>
      </c>
      <c r="E109" t="s">
        <v>7</v>
      </c>
      <c r="F109">
        <v>101.85</v>
      </c>
      <c r="G109">
        <v>20</v>
      </c>
      <c r="H109" s="2">
        <f t="shared" si="7"/>
        <v>2037</v>
      </c>
    </row>
    <row r="110" spans="1:13" x14ac:dyDescent="0.25">
      <c r="A110">
        <f t="shared" si="5"/>
        <v>2021</v>
      </c>
      <c r="B110">
        <f t="shared" si="6"/>
        <v>1</v>
      </c>
      <c r="C110" s="1">
        <v>44223</v>
      </c>
      <c r="D110" t="s">
        <v>15</v>
      </c>
      <c r="E110" t="s">
        <v>10</v>
      </c>
      <c r="F110">
        <v>39.9</v>
      </c>
      <c r="G110">
        <v>-50</v>
      </c>
      <c r="H110" s="2">
        <f t="shared" si="7"/>
        <v>-1995</v>
      </c>
    </row>
    <row r="111" spans="1:13" x14ac:dyDescent="0.25">
      <c r="A111">
        <f t="shared" si="5"/>
        <v>2021</v>
      </c>
      <c r="B111">
        <f t="shared" si="6"/>
        <v>2</v>
      </c>
      <c r="C111" s="1">
        <v>44229</v>
      </c>
      <c r="D111" t="s">
        <v>18</v>
      </c>
      <c r="E111" t="s">
        <v>7</v>
      </c>
      <c r="F111">
        <v>88.08</v>
      </c>
      <c r="G111">
        <v>10</v>
      </c>
      <c r="H111" s="2">
        <f t="shared" si="7"/>
        <v>880.8</v>
      </c>
    </row>
    <row r="112" spans="1:13" x14ac:dyDescent="0.25">
      <c r="A112">
        <f t="shared" si="5"/>
        <v>2021</v>
      </c>
      <c r="B112">
        <f t="shared" si="6"/>
        <v>2</v>
      </c>
      <c r="C112" s="1">
        <v>44236</v>
      </c>
      <c r="D112" t="s">
        <v>84</v>
      </c>
      <c r="E112" t="s">
        <v>7</v>
      </c>
      <c r="F112">
        <v>46.74</v>
      </c>
      <c r="G112">
        <v>25</v>
      </c>
      <c r="H112" s="2">
        <f t="shared" si="7"/>
        <v>1168.5</v>
      </c>
    </row>
    <row r="113" spans="1:8" x14ac:dyDescent="0.25">
      <c r="A113">
        <f t="shared" si="5"/>
        <v>2021</v>
      </c>
      <c r="B113">
        <f t="shared" si="6"/>
        <v>2</v>
      </c>
      <c r="C113" s="1">
        <v>44244</v>
      </c>
      <c r="D113" t="s">
        <v>85</v>
      </c>
      <c r="E113" t="s">
        <v>7</v>
      </c>
      <c r="F113">
        <v>12.79</v>
      </c>
      <c r="G113">
        <v>100</v>
      </c>
      <c r="H113" s="2">
        <f t="shared" si="7"/>
        <v>1279</v>
      </c>
    </row>
    <row r="114" spans="1:8" x14ac:dyDescent="0.25">
      <c r="A114">
        <f t="shared" si="5"/>
        <v>2021</v>
      </c>
      <c r="B114">
        <f t="shared" si="6"/>
        <v>2</v>
      </c>
      <c r="C114" s="1">
        <v>44249</v>
      </c>
      <c r="D114" t="s">
        <v>13</v>
      </c>
      <c r="E114" t="s">
        <v>10</v>
      </c>
      <c r="F114">
        <v>23</v>
      </c>
      <c r="G114">
        <v>-100</v>
      </c>
      <c r="H114" s="2">
        <f t="shared" si="7"/>
        <v>-2300</v>
      </c>
    </row>
    <row r="115" spans="1:8" x14ac:dyDescent="0.25">
      <c r="A115">
        <f t="shared" si="5"/>
        <v>2021</v>
      </c>
      <c r="B115">
        <f t="shared" si="6"/>
        <v>2</v>
      </c>
      <c r="C115" s="1">
        <v>44249</v>
      </c>
      <c r="D115" t="s">
        <v>6</v>
      </c>
      <c r="E115" t="s">
        <v>10</v>
      </c>
      <c r="F115">
        <v>29.64</v>
      </c>
      <c r="G115">
        <v>-100</v>
      </c>
      <c r="H115" s="2">
        <f t="shared" si="7"/>
        <v>-2964</v>
      </c>
    </row>
    <row r="116" spans="1:8" x14ac:dyDescent="0.25">
      <c r="A116">
        <f t="shared" si="5"/>
        <v>2021</v>
      </c>
      <c r="B116">
        <f t="shared" si="6"/>
        <v>2</v>
      </c>
      <c r="C116" s="1">
        <v>44249</v>
      </c>
      <c r="D116" t="s">
        <v>88</v>
      </c>
      <c r="E116" t="s">
        <v>7</v>
      </c>
      <c r="F116">
        <f>103.67/4</f>
        <v>25.9175</v>
      </c>
      <c r="G116">
        <v>120</v>
      </c>
      <c r="H116" s="2">
        <f t="shared" si="7"/>
        <v>3110.1</v>
      </c>
    </row>
    <row r="117" spans="1:8" x14ac:dyDescent="0.25">
      <c r="A117">
        <f t="shared" si="5"/>
        <v>2021</v>
      </c>
      <c r="B117">
        <f t="shared" si="6"/>
        <v>2</v>
      </c>
      <c r="C117" s="1">
        <v>44250</v>
      </c>
      <c r="D117" t="s">
        <v>89</v>
      </c>
      <c r="E117" t="s">
        <v>7</v>
      </c>
      <c r="F117">
        <v>23.14</v>
      </c>
      <c r="G117">
        <v>100</v>
      </c>
      <c r="H117" s="2">
        <f t="shared" si="7"/>
        <v>2314</v>
      </c>
    </row>
    <row r="118" spans="1:8" x14ac:dyDescent="0.25">
      <c r="A118">
        <f t="shared" si="5"/>
        <v>2021</v>
      </c>
      <c r="B118">
        <f t="shared" si="6"/>
        <v>2</v>
      </c>
      <c r="C118" s="1">
        <v>44251</v>
      </c>
      <c r="D118" t="s">
        <v>13</v>
      </c>
      <c r="E118" t="s">
        <v>7</v>
      </c>
      <c r="F118">
        <v>24.29</v>
      </c>
      <c r="G118">
        <v>50</v>
      </c>
      <c r="H118" s="2">
        <f t="shared" si="7"/>
        <v>1214.5</v>
      </c>
    </row>
    <row r="119" spans="1:8" x14ac:dyDescent="0.25">
      <c r="A119">
        <f t="shared" si="5"/>
        <v>2021</v>
      </c>
      <c r="B119">
        <f t="shared" si="6"/>
        <v>2</v>
      </c>
      <c r="C119" s="1">
        <v>44251</v>
      </c>
      <c r="D119" t="s">
        <v>15</v>
      </c>
      <c r="E119" t="s">
        <v>10</v>
      </c>
      <c r="F119">
        <v>44.2</v>
      </c>
      <c r="G119">
        <v>-45</v>
      </c>
      <c r="H119" s="2">
        <f t="shared" si="7"/>
        <v>-1989.0000000000002</v>
      </c>
    </row>
    <row r="120" spans="1:8" x14ac:dyDescent="0.25">
      <c r="A120">
        <f t="shared" si="5"/>
        <v>2021</v>
      </c>
      <c r="B120">
        <f t="shared" si="6"/>
        <v>3</v>
      </c>
      <c r="C120" s="1">
        <v>44256</v>
      </c>
      <c r="D120" t="s">
        <v>91</v>
      </c>
      <c r="E120" t="s">
        <v>7</v>
      </c>
      <c r="F120">
        <v>23.35</v>
      </c>
      <c r="G120">
        <v>100</v>
      </c>
      <c r="H120" s="2">
        <f t="shared" si="7"/>
        <v>2335</v>
      </c>
    </row>
    <row r="121" spans="1:8" x14ac:dyDescent="0.25">
      <c r="A121">
        <f t="shared" si="5"/>
        <v>2021</v>
      </c>
      <c r="B121">
        <f t="shared" si="6"/>
        <v>3</v>
      </c>
      <c r="C121" s="1">
        <v>44273</v>
      </c>
      <c r="D121" t="s">
        <v>17</v>
      </c>
      <c r="E121" t="s">
        <v>10</v>
      </c>
      <c r="F121">
        <v>27.5</v>
      </c>
      <c r="G121">
        <v>-50</v>
      </c>
      <c r="H121" s="2">
        <f t="shared" si="7"/>
        <v>-1375</v>
      </c>
    </row>
    <row r="122" spans="1:8" x14ac:dyDescent="0.25">
      <c r="A122">
        <f t="shared" si="5"/>
        <v>2021</v>
      </c>
      <c r="B122">
        <f t="shared" si="6"/>
        <v>3</v>
      </c>
      <c r="C122" s="1">
        <v>44280</v>
      </c>
      <c r="D122" t="s">
        <v>78</v>
      </c>
      <c r="E122" t="s">
        <v>7</v>
      </c>
      <c r="F122">
        <v>7.86</v>
      </c>
      <c r="G122">
        <v>100</v>
      </c>
      <c r="H122" s="2">
        <f t="shared" si="7"/>
        <v>786</v>
      </c>
    </row>
    <row r="123" spans="1:8" x14ac:dyDescent="0.25">
      <c r="A123">
        <f t="shared" si="5"/>
        <v>2021</v>
      </c>
      <c r="B123">
        <f t="shared" si="6"/>
        <v>3</v>
      </c>
      <c r="C123" s="1">
        <v>44284</v>
      </c>
      <c r="D123" t="s">
        <v>94</v>
      </c>
      <c r="E123" t="s">
        <v>7</v>
      </c>
      <c r="F123">
        <v>249</v>
      </c>
      <c r="G123">
        <v>25</v>
      </c>
      <c r="H123" s="2">
        <f t="shared" si="7"/>
        <v>6225</v>
      </c>
    </row>
    <row r="124" spans="1:8" x14ac:dyDescent="0.25">
      <c r="A124">
        <f t="shared" ref="A124:A187" si="8">YEAR(C124)</f>
        <v>2021</v>
      </c>
      <c r="B124">
        <f t="shared" si="6"/>
        <v>4</v>
      </c>
      <c r="C124" s="1">
        <v>44312</v>
      </c>
      <c r="D124" t="s">
        <v>181</v>
      </c>
      <c r="E124" t="s">
        <v>7</v>
      </c>
      <c r="F124">
        <f>53.4/3</f>
        <v>17.8</v>
      </c>
      <c r="G124">
        <f>50*3</f>
        <v>150</v>
      </c>
      <c r="H124" s="2">
        <f t="shared" si="7"/>
        <v>2670</v>
      </c>
    </row>
    <row r="125" spans="1:8" x14ac:dyDescent="0.25">
      <c r="A125">
        <f t="shared" si="8"/>
        <v>2021</v>
      </c>
      <c r="B125">
        <f t="shared" si="6"/>
        <v>5</v>
      </c>
      <c r="C125" s="1">
        <v>44321</v>
      </c>
      <c r="D125" t="s">
        <v>85</v>
      </c>
      <c r="E125" t="s">
        <v>10</v>
      </c>
      <c r="F125">
        <v>10.66</v>
      </c>
      <c r="G125">
        <v>-100</v>
      </c>
      <c r="H125" s="2">
        <f t="shared" si="7"/>
        <v>-1066</v>
      </c>
    </row>
    <row r="126" spans="1:8" x14ac:dyDescent="0.25">
      <c r="A126">
        <f t="shared" si="8"/>
        <v>2021</v>
      </c>
      <c r="B126">
        <f t="shared" si="6"/>
        <v>5</v>
      </c>
      <c r="C126" s="1">
        <v>44321</v>
      </c>
      <c r="D126" t="s">
        <v>84</v>
      </c>
      <c r="E126" t="s">
        <v>10</v>
      </c>
      <c r="F126">
        <v>42</v>
      </c>
      <c r="G126">
        <v>-25</v>
      </c>
      <c r="H126" s="2">
        <f t="shared" si="7"/>
        <v>-1050</v>
      </c>
    </row>
    <row r="127" spans="1:8" x14ac:dyDescent="0.25">
      <c r="A127">
        <f t="shared" si="8"/>
        <v>2021</v>
      </c>
      <c r="B127">
        <f t="shared" si="6"/>
        <v>5</v>
      </c>
      <c r="C127" s="1">
        <v>44321</v>
      </c>
      <c r="D127" t="s">
        <v>183</v>
      </c>
      <c r="E127" t="s">
        <v>7</v>
      </c>
      <c r="F127">
        <v>33.869999999999997</v>
      </c>
      <c r="G127">
        <v>100</v>
      </c>
      <c r="H127" s="2">
        <f t="shared" si="7"/>
        <v>3386.9999999999995</v>
      </c>
    </row>
    <row r="128" spans="1:8" x14ac:dyDescent="0.25">
      <c r="A128">
        <f t="shared" si="8"/>
        <v>2021</v>
      </c>
      <c r="B128">
        <f t="shared" si="6"/>
        <v>5</v>
      </c>
      <c r="C128" s="1">
        <v>44333</v>
      </c>
      <c r="D128" t="s">
        <v>185</v>
      </c>
      <c r="E128" t="s">
        <v>7</v>
      </c>
      <c r="F128">
        <v>13.93</v>
      </c>
      <c r="G128">
        <v>70</v>
      </c>
      <c r="H128" s="2">
        <f t="shared" si="7"/>
        <v>975.1</v>
      </c>
    </row>
    <row r="129" spans="1:8" x14ac:dyDescent="0.25">
      <c r="A129">
        <f t="shared" si="8"/>
        <v>2021</v>
      </c>
      <c r="B129">
        <f t="shared" si="6"/>
        <v>5</v>
      </c>
      <c r="C129" s="1">
        <v>44333</v>
      </c>
      <c r="D129" t="s">
        <v>77</v>
      </c>
      <c r="E129" t="s">
        <v>10</v>
      </c>
      <c r="F129">
        <v>39.5</v>
      </c>
      <c r="G129">
        <v>-15</v>
      </c>
      <c r="H129" s="2">
        <f t="shared" si="7"/>
        <v>-592.5</v>
      </c>
    </row>
    <row r="130" spans="1:8" x14ac:dyDescent="0.25">
      <c r="A130">
        <f t="shared" si="8"/>
        <v>2021</v>
      </c>
      <c r="B130">
        <f t="shared" si="6"/>
        <v>5</v>
      </c>
      <c r="C130" s="1">
        <v>44342</v>
      </c>
      <c r="D130" t="s">
        <v>186</v>
      </c>
      <c r="E130" t="s">
        <v>7</v>
      </c>
      <c r="F130">
        <v>37.76</v>
      </c>
      <c r="G130">
        <v>60</v>
      </c>
      <c r="H130" s="2">
        <f t="shared" si="7"/>
        <v>2265.6</v>
      </c>
    </row>
    <row r="131" spans="1:8" x14ac:dyDescent="0.25">
      <c r="A131">
        <f t="shared" si="8"/>
        <v>2021</v>
      </c>
      <c r="B131">
        <f t="shared" ref="B131:B194" si="9">MONTH(C131)</f>
        <v>6</v>
      </c>
      <c r="C131" s="1">
        <v>44348</v>
      </c>
      <c r="D131" t="s">
        <v>185</v>
      </c>
      <c r="E131" t="s">
        <v>10</v>
      </c>
      <c r="F131">
        <v>14.18</v>
      </c>
      <c r="G131">
        <v>-70</v>
      </c>
      <c r="H131" s="2">
        <f t="shared" si="7"/>
        <v>-992.6</v>
      </c>
    </row>
    <row r="132" spans="1:8" x14ac:dyDescent="0.25">
      <c r="A132">
        <f t="shared" si="8"/>
        <v>2021</v>
      </c>
      <c r="B132">
        <f t="shared" si="9"/>
        <v>6</v>
      </c>
      <c r="C132" s="1">
        <v>44362</v>
      </c>
      <c r="D132" t="s">
        <v>197</v>
      </c>
      <c r="E132" t="s">
        <v>7</v>
      </c>
      <c r="F132">
        <v>10.28</v>
      </c>
      <c r="G132">
        <v>100</v>
      </c>
      <c r="H132" s="2">
        <f t="shared" si="7"/>
        <v>1028</v>
      </c>
    </row>
    <row r="133" spans="1:8" x14ac:dyDescent="0.25">
      <c r="A133">
        <f t="shared" si="8"/>
        <v>2021</v>
      </c>
      <c r="B133">
        <f t="shared" si="9"/>
        <v>7</v>
      </c>
      <c r="C133" s="1">
        <v>44390</v>
      </c>
      <c r="D133" t="s">
        <v>76</v>
      </c>
      <c r="E133" t="s">
        <v>7</v>
      </c>
      <c r="F133">
        <v>44.45</v>
      </c>
      <c r="G133">
        <v>30</v>
      </c>
      <c r="H133" s="2">
        <f t="shared" si="7"/>
        <v>1333.5</v>
      </c>
    </row>
    <row r="134" spans="1:8" x14ac:dyDescent="0.25">
      <c r="A134">
        <f>YEAR(C134)</f>
        <v>2021</v>
      </c>
      <c r="B134">
        <f>MONTH(C134)</f>
        <v>7</v>
      </c>
      <c r="C134" s="1">
        <v>44393</v>
      </c>
      <c r="D134" t="s">
        <v>199</v>
      </c>
      <c r="E134" t="s">
        <v>7</v>
      </c>
      <c r="F134">
        <v>40.479999999999997</v>
      </c>
      <c r="G134" s="58">
        <v>60</v>
      </c>
      <c r="H134" s="2">
        <f>F134*G134</f>
        <v>2428.7999999999997</v>
      </c>
    </row>
    <row r="135" spans="1:8" x14ac:dyDescent="0.25">
      <c r="A135">
        <f>YEAR(C135)</f>
        <v>2021</v>
      </c>
      <c r="B135">
        <f>MONTH(C135)</f>
        <v>7</v>
      </c>
      <c r="C135" s="1">
        <v>44406</v>
      </c>
      <c r="D135" t="s">
        <v>198</v>
      </c>
      <c r="E135" t="s">
        <v>7</v>
      </c>
      <c r="F135">
        <v>13.92</v>
      </c>
      <c r="G135" s="58">
        <v>215</v>
      </c>
      <c r="H135" s="2">
        <f>F135*G135</f>
        <v>2992.8</v>
      </c>
    </row>
    <row r="136" spans="1:8" x14ac:dyDescent="0.25">
      <c r="A136">
        <f t="shared" si="8"/>
        <v>2021</v>
      </c>
      <c r="B136">
        <f t="shared" si="9"/>
        <v>7</v>
      </c>
      <c r="C136" s="1">
        <v>44407</v>
      </c>
      <c r="D136" t="s">
        <v>197</v>
      </c>
      <c r="E136" t="s">
        <v>10</v>
      </c>
      <c r="F136">
        <v>9.0299999999999994</v>
      </c>
      <c r="G136">
        <v>-100</v>
      </c>
      <c r="H136" s="2">
        <f>F136*G136</f>
        <v>-902.99999999999989</v>
      </c>
    </row>
    <row r="137" spans="1:8" x14ac:dyDescent="0.25">
      <c r="A137">
        <f t="shared" si="8"/>
        <v>2021</v>
      </c>
      <c r="B137">
        <f t="shared" si="9"/>
        <v>8</v>
      </c>
      <c r="C137" s="1">
        <v>44428</v>
      </c>
      <c r="D137" t="s">
        <v>26</v>
      </c>
      <c r="E137" t="s">
        <v>10</v>
      </c>
      <c r="F137">
        <v>35.270000000000003</v>
      </c>
      <c r="G137">
        <v>-100</v>
      </c>
      <c r="H137" s="2">
        <f t="shared" ref="H137:H172" si="10">F137*G137</f>
        <v>-3527.0000000000005</v>
      </c>
    </row>
    <row r="138" spans="1:8" x14ac:dyDescent="0.25">
      <c r="A138">
        <f t="shared" si="8"/>
        <v>2021</v>
      </c>
      <c r="B138">
        <f t="shared" si="9"/>
        <v>9</v>
      </c>
      <c r="C138" s="1">
        <v>44440</v>
      </c>
      <c r="D138" t="s">
        <v>53</v>
      </c>
      <c r="E138" t="s">
        <v>10</v>
      </c>
      <c r="F138">
        <v>40.89</v>
      </c>
      <c r="G138">
        <v>-60</v>
      </c>
      <c r="H138" s="2">
        <f t="shared" si="10"/>
        <v>-2453.4</v>
      </c>
    </row>
    <row r="139" spans="1:8" x14ac:dyDescent="0.25">
      <c r="A139">
        <f t="shared" si="8"/>
        <v>2021</v>
      </c>
      <c r="B139">
        <f t="shared" si="9"/>
        <v>9</v>
      </c>
      <c r="C139" s="1">
        <v>44440</v>
      </c>
      <c r="D139" t="s">
        <v>186</v>
      </c>
      <c r="E139" t="s">
        <v>7</v>
      </c>
      <c r="F139">
        <v>47.71</v>
      </c>
      <c r="G139">
        <v>50</v>
      </c>
      <c r="H139" s="2">
        <f t="shared" si="10"/>
        <v>2385.5</v>
      </c>
    </row>
    <row r="140" spans="1:8" x14ac:dyDescent="0.25">
      <c r="A140">
        <f t="shared" si="8"/>
        <v>2021</v>
      </c>
      <c r="B140">
        <f t="shared" si="9"/>
        <v>9</v>
      </c>
      <c r="C140" s="1">
        <v>44447</v>
      </c>
      <c r="D140" t="s">
        <v>69</v>
      </c>
      <c r="E140" t="s">
        <v>10</v>
      </c>
      <c r="F140">
        <v>50.9</v>
      </c>
      <c r="G140">
        <v>-60</v>
      </c>
      <c r="H140" s="2">
        <f t="shared" si="10"/>
        <v>-3054</v>
      </c>
    </row>
    <row r="141" spans="1:8" x14ac:dyDescent="0.25">
      <c r="A141">
        <f t="shared" si="8"/>
        <v>2021</v>
      </c>
      <c r="B141">
        <f t="shared" si="9"/>
        <v>9</v>
      </c>
      <c r="C141" s="1">
        <v>44456</v>
      </c>
      <c r="D141" t="s">
        <v>76</v>
      </c>
      <c r="E141" t="s">
        <v>10</v>
      </c>
      <c r="F141">
        <v>37.22</v>
      </c>
      <c r="G141">
        <v>-90</v>
      </c>
      <c r="H141" s="2">
        <f t="shared" si="10"/>
        <v>-3349.7999999999997</v>
      </c>
    </row>
    <row r="142" spans="1:8" x14ac:dyDescent="0.25">
      <c r="A142">
        <f t="shared" si="8"/>
        <v>1900</v>
      </c>
      <c r="B142">
        <f t="shared" si="9"/>
        <v>1</v>
      </c>
      <c r="H142" s="2">
        <f t="shared" si="10"/>
        <v>0</v>
      </c>
    </row>
    <row r="143" spans="1:8" x14ac:dyDescent="0.25">
      <c r="A143">
        <f t="shared" si="8"/>
        <v>1900</v>
      </c>
      <c r="B143">
        <f t="shared" si="9"/>
        <v>1</v>
      </c>
      <c r="H143" s="2">
        <f t="shared" si="10"/>
        <v>0</v>
      </c>
    </row>
    <row r="144" spans="1:8" x14ac:dyDescent="0.25">
      <c r="A144">
        <f t="shared" si="8"/>
        <v>1900</v>
      </c>
      <c r="B144">
        <f t="shared" si="9"/>
        <v>1</v>
      </c>
      <c r="H144" s="2">
        <f t="shared" si="10"/>
        <v>0</v>
      </c>
    </row>
    <row r="145" spans="1:8" x14ac:dyDescent="0.25">
      <c r="A145">
        <f t="shared" si="8"/>
        <v>1900</v>
      </c>
      <c r="B145">
        <f t="shared" si="9"/>
        <v>1</v>
      </c>
      <c r="H145" s="2">
        <f t="shared" si="10"/>
        <v>0</v>
      </c>
    </row>
    <row r="146" spans="1:8" x14ac:dyDescent="0.25">
      <c r="A146">
        <f t="shared" si="8"/>
        <v>1900</v>
      </c>
      <c r="B146">
        <f t="shared" si="9"/>
        <v>1</v>
      </c>
      <c r="H146" s="2">
        <f t="shared" si="10"/>
        <v>0</v>
      </c>
    </row>
    <row r="147" spans="1:8" x14ac:dyDescent="0.25">
      <c r="A147">
        <f t="shared" si="8"/>
        <v>1900</v>
      </c>
      <c r="B147">
        <f t="shared" si="9"/>
        <v>1</v>
      </c>
      <c r="H147" s="2">
        <f t="shared" si="10"/>
        <v>0</v>
      </c>
    </row>
    <row r="148" spans="1:8" x14ac:dyDescent="0.25">
      <c r="A148">
        <f t="shared" si="8"/>
        <v>1900</v>
      </c>
      <c r="B148">
        <f t="shared" si="9"/>
        <v>1</v>
      </c>
      <c r="H148" s="2">
        <f t="shared" si="10"/>
        <v>0</v>
      </c>
    </row>
    <row r="149" spans="1:8" x14ac:dyDescent="0.25">
      <c r="A149">
        <f t="shared" si="8"/>
        <v>1900</v>
      </c>
      <c r="B149">
        <f t="shared" si="9"/>
        <v>1</v>
      </c>
      <c r="H149" s="2">
        <f t="shared" si="10"/>
        <v>0</v>
      </c>
    </row>
    <row r="150" spans="1:8" x14ac:dyDescent="0.25">
      <c r="A150">
        <f t="shared" si="8"/>
        <v>1900</v>
      </c>
      <c r="B150">
        <f t="shared" si="9"/>
        <v>1</v>
      </c>
      <c r="H150" s="2">
        <f t="shared" si="10"/>
        <v>0</v>
      </c>
    </row>
    <row r="151" spans="1:8" x14ac:dyDescent="0.25">
      <c r="A151">
        <f t="shared" si="8"/>
        <v>1900</v>
      </c>
      <c r="B151">
        <f t="shared" si="9"/>
        <v>1</v>
      </c>
      <c r="H151" s="2">
        <f t="shared" si="10"/>
        <v>0</v>
      </c>
    </row>
    <row r="152" spans="1:8" x14ac:dyDescent="0.25">
      <c r="A152">
        <f t="shared" si="8"/>
        <v>1900</v>
      </c>
      <c r="B152">
        <f t="shared" si="9"/>
        <v>1</v>
      </c>
      <c r="H152" s="2">
        <f t="shared" si="10"/>
        <v>0</v>
      </c>
    </row>
    <row r="153" spans="1:8" x14ac:dyDescent="0.25">
      <c r="A153">
        <f t="shared" si="8"/>
        <v>1900</v>
      </c>
      <c r="B153">
        <f t="shared" si="9"/>
        <v>1</v>
      </c>
      <c r="H153" s="2">
        <f t="shared" si="10"/>
        <v>0</v>
      </c>
    </row>
    <row r="154" spans="1:8" x14ac:dyDescent="0.25">
      <c r="A154">
        <f t="shared" si="8"/>
        <v>1900</v>
      </c>
      <c r="B154">
        <f t="shared" si="9"/>
        <v>1</v>
      </c>
      <c r="H154" s="2">
        <f t="shared" si="10"/>
        <v>0</v>
      </c>
    </row>
    <row r="155" spans="1:8" x14ac:dyDescent="0.25">
      <c r="A155">
        <f t="shared" si="8"/>
        <v>1900</v>
      </c>
      <c r="B155">
        <f t="shared" si="9"/>
        <v>1</v>
      </c>
      <c r="H155" s="2">
        <f t="shared" si="10"/>
        <v>0</v>
      </c>
    </row>
    <row r="156" spans="1:8" x14ac:dyDescent="0.25">
      <c r="A156">
        <f t="shared" si="8"/>
        <v>1900</v>
      </c>
      <c r="B156">
        <f t="shared" si="9"/>
        <v>1</v>
      </c>
      <c r="H156" s="2">
        <f t="shared" si="10"/>
        <v>0</v>
      </c>
    </row>
    <row r="157" spans="1:8" x14ac:dyDescent="0.25">
      <c r="A157">
        <f t="shared" si="8"/>
        <v>1900</v>
      </c>
      <c r="B157">
        <f t="shared" si="9"/>
        <v>1</v>
      </c>
      <c r="H157" s="2">
        <f t="shared" si="10"/>
        <v>0</v>
      </c>
    </row>
    <row r="158" spans="1:8" x14ac:dyDescent="0.25">
      <c r="A158">
        <f t="shared" si="8"/>
        <v>1900</v>
      </c>
      <c r="B158">
        <f t="shared" si="9"/>
        <v>1</v>
      </c>
      <c r="H158" s="2">
        <f t="shared" si="10"/>
        <v>0</v>
      </c>
    </row>
    <row r="159" spans="1:8" x14ac:dyDescent="0.25">
      <c r="A159">
        <f t="shared" si="8"/>
        <v>1900</v>
      </c>
      <c r="B159">
        <f t="shared" si="9"/>
        <v>1</v>
      </c>
      <c r="H159" s="2">
        <f t="shared" si="10"/>
        <v>0</v>
      </c>
    </row>
    <row r="160" spans="1:8" x14ac:dyDescent="0.25">
      <c r="A160">
        <f t="shared" si="8"/>
        <v>1900</v>
      </c>
      <c r="B160">
        <f t="shared" si="9"/>
        <v>1</v>
      </c>
      <c r="H160" s="2">
        <f t="shared" si="10"/>
        <v>0</v>
      </c>
    </row>
    <row r="161" spans="1:8" x14ac:dyDescent="0.25">
      <c r="A161">
        <f t="shared" si="8"/>
        <v>1900</v>
      </c>
      <c r="B161">
        <f t="shared" si="9"/>
        <v>1</v>
      </c>
      <c r="H161" s="2">
        <f t="shared" si="10"/>
        <v>0</v>
      </c>
    </row>
    <row r="162" spans="1:8" x14ac:dyDescent="0.25">
      <c r="A162">
        <f t="shared" si="8"/>
        <v>1900</v>
      </c>
      <c r="B162">
        <f t="shared" si="9"/>
        <v>1</v>
      </c>
      <c r="H162" s="2">
        <f t="shared" si="10"/>
        <v>0</v>
      </c>
    </row>
    <row r="163" spans="1:8" x14ac:dyDescent="0.25">
      <c r="A163">
        <f t="shared" si="8"/>
        <v>1900</v>
      </c>
      <c r="B163">
        <f t="shared" si="9"/>
        <v>1</v>
      </c>
      <c r="H163" s="2">
        <f t="shared" si="10"/>
        <v>0</v>
      </c>
    </row>
    <row r="164" spans="1:8" x14ac:dyDescent="0.25">
      <c r="A164">
        <f t="shared" si="8"/>
        <v>1900</v>
      </c>
      <c r="B164">
        <f t="shared" si="9"/>
        <v>1</v>
      </c>
      <c r="H164" s="2">
        <f t="shared" si="10"/>
        <v>0</v>
      </c>
    </row>
    <row r="165" spans="1:8" x14ac:dyDescent="0.25">
      <c r="A165">
        <f t="shared" si="8"/>
        <v>1900</v>
      </c>
      <c r="B165">
        <f t="shared" si="9"/>
        <v>1</v>
      </c>
      <c r="H165" s="2">
        <f t="shared" si="10"/>
        <v>0</v>
      </c>
    </row>
    <row r="166" spans="1:8" x14ac:dyDescent="0.25">
      <c r="A166">
        <f t="shared" si="8"/>
        <v>1900</v>
      </c>
      <c r="B166">
        <f t="shared" si="9"/>
        <v>1</v>
      </c>
      <c r="H166" s="2">
        <f t="shared" si="10"/>
        <v>0</v>
      </c>
    </row>
    <row r="167" spans="1:8" x14ac:dyDescent="0.25">
      <c r="A167">
        <f t="shared" si="8"/>
        <v>1900</v>
      </c>
      <c r="B167">
        <f t="shared" si="9"/>
        <v>1</v>
      </c>
      <c r="H167" s="2">
        <f t="shared" si="10"/>
        <v>0</v>
      </c>
    </row>
    <row r="168" spans="1:8" x14ac:dyDescent="0.25">
      <c r="A168">
        <f t="shared" si="8"/>
        <v>1900</v>
      </c>
      <c r="B168">
        <f t="shared" si="9"/>
        <v>1</v>
      </c>
      <c r="H168" s="2">
        <f t="shared" si="10"/>
        <v>0</v>
      </c>
    </row>
    <row r="169" spans="1:8" x14ac:dyDescent="0.25">
      <c r="A169">
        <f t="shared" si="8"/>
        <v>1900</v>
      </c>
      <c r="B169">
        <f t="shared" si="9"/>
        <v>1</v>
      </c>
      <c r="H169" s="2">
        <f t="shared" si="10"/>
        <v>0</v>
      </c>
    </row>
    <row r="170" spans="1:8" x14ac:dyDescent="0.25">
      <c r="A170">
        <f t="shared" si="8"/>
        <v>1900</v>
      </c>
      <c r="B170">
        <f t="shared" si="9"/>
        <v>1</v>
      </c>
      <c r="H170" s="2">
        <f t="shared" si="10"/>
        <v>0</v>
      </c>
    </row>
    <row r="171" spans="1:8" x14ac:dyDescent="0.25">
      <c r="A171">
        <f t="shared" si="8"/>
        <v>1900</v>
      </c>
      <c r="B171">
        <f t="shared" si="9"/>
        <v>1</v>
      </c>
      <c r="H171" s="2">
        <f t="shared" si="10"/>
        <v>0</v>
      </c>
    </row>
    <row r="172" spans="1:8" x14ac:dyDescent="0.25">
      <c r="A172">
        <f t="shared" si="8"/>
        <v>1900</v>
      </c>
      <c r="B172">
        <f t="shared" si="9"/>
        <v>1</v>
      </c>
      <c r="H172" s="2">
        <f t="shared" si="10"/>
        <v>0</v>
      </c>
    </row>
    <row r="173" spans="1:8" x14ac:dyDescent="0.25">
      <c r="A173">
        <f t="shared" si="8"/>
        <v>1900</v>
      </c>
      <c r="B173">
        <f t="shared" si="9"/>
        <v>1</v>
      </c>
    </row>
    <row r="174" spans="1:8" x14ac:dyDescent="0.25">
      <c r="A174">
        <f t="shared" si="8"/>
        <v>1900</v>
      </c>
      <c r="B174">
        <f t="shared" si="9"/>
        <v>1</v>
      </c>
    </row>
    <row r="175" spans="1:8" x14ac:dyDescent="0.25">
      <c r="A175">
        <f t="shared" si="8"/>
        <v>1900</v>
      </c>
      <c r="B175">
        <f t="shared" si="9"/>
        <v>1</v>
      </c>
    </row>
    <row r="176" spans="1:8" x14ac:dyDescent="0.25">
      <c r="A176">
        <f t="shared" si="8"/>
        <v>1900</v>
      </c>
      <c r="B176">
        <f t="shared" si="9"/>
        <v>1</v>
      </c>
    </row>
    <row r="177" spans="1:2" x14ac:dyDescent="0.25">
      <c r="A177">
        <f t="shared" si="8"/>
        <v>1900</v>
      </c>
      <c r="B177">
        <f t="shared" si="9"/>
        <v>1</v>
      </c>
    </row>
    <row r="178" spans="1:2" x14ac:dyDescent="0.25">
      <c r="A178">
        <f t="shared" si="8"/>
        <v>1900</v>
      </c>
      <c r="B178">
        <f t="shared" si="9"/>
        <v>1</v>
      </c>
    </row>
    <row r="179" spans="1:2" x14ac:dyDescent="0.25">
      <c r="A179">
        <f t="shared" si="8"/>
        <v>1900</v>
      </c>
      <c r="B179">
        <f t="shared" si="9"/>
        <v>1</v>
      </c>
    </row>
    <row r="180" spans="1:2" x14ac:dyDescent="0.25">
      <c r="A180">
        <f t="shared" si="8"/>
        <v>1900</v>
      </c>
      <c r="B180">
        <f t="shared" si="9"/>
        <v>1</v>
      </c>
    </row>
    <row r="181" spans="1:2" x14ac:dyDescent="0.25">
      <c r="A181">
        <f t="shared" si="8"/>
        <v>1900</v>
      </c>
      <c r="B181">
        <f t="shared" si="9"/>
        <v>1</v>
      </c>
    </row>
    <row r="182" spans="1:2" x14ac:dyDescent="0.25">
      <c r="A182">
        <f t="shared" si="8"/>
        <v>1900</v>
      </c>
      <c r="B182">
        <f t="shared" si="9"/>
        <v>1</v>
      </c>
    </row>
    <row r="183" spans="1:2" x14ac:dyDescent="0.25">
      <c r="A183">
        <f t="shared" si="8"/>
        <v>1900</v>
      </c>
      <c r="B183">
        <f t="shared" si="9"/>
        <v>1</v>
      </c>
    </row>
    <row r="184" spans="1:2" x14ac:dyDescent="0.25">
      <c r="A184">
        <f t="shared" si="8"/>
        <v>1900</v>
      </c>
      <c r="B184">
        <f t="shared" si="9"/>
        <v>1</v>
      </c>
    </row>
    <row r="185" spans="1:2" x14ac:dyDescent="0.25">
      <c r="A185">
        <f t="shared" si="8"/>
        <v>1900</v>
      </c>
      <c r="B185">
        <f t="shared" si="9"/>
        <v>1</v>
      </c>
    </row>
    <row r="186" spans="1:2" x14ac:dyDescent="0.25">
      <c r="A186">
        <f t="shared" si="8"/>
        <v>1900</v>
      </c>
      <c r="B186">
        <f t="shared" si="9"/>
        <v>1</v>
      </c>
    </row>
    <row r="187" spans="1:2" x14ac:dyDescent="0.25">
      <c r="A187">
        <f t="shared" si="8"/>
        <v>1900</v>
      </c>
      <c r="B187">
        <f t="shared" si="9"/>
        <v>1</v>
      </c>
    </row>
    <row r="188" spans="1:2" x14ac:dyDescent="0.25">
      <c r="A188">
        <f t="shared" ref="A188:A251" si="11">YEAR(C188)</f>
        <v>1900</v>
      </c>
      <c r="B188">
        <f t="shared" si="9"/>
        <v>1</v>
      </c>
    </row>
    <row r="189" spans="1:2" x14ac:dyDescent="0.25">
      <c r="A189">
        <f t="shared" si="11"/>
        <v>1900</v>
      </c>
      <c r="B189">
        <f t="shared" si="9"/>
        <v>1</v>
      </c>
    </row>
    <row r="190" spans="1:2" x14ac:dyDescent="0.25">
      <c r="A190">
        <f t="shared" si="11"/>
        <v>1900</v>
      </c>
      <c r="B190">
        <f t="shared" si="9"/>
        <v>1</v>
      </c>
    </row>
    <row r="191" spans="1:2" x14ac:dyDescent="0.25">
      <c r="A191">
        <f t="shared" si="11"/>
        <v>1900</v>
      </c>
      <c r="B191">
        <f t="shared" si="9"/>
        <v>1</v>
      </c>
    </row>
    <row r="192" spans="1:2" x14ac:dyDescent="0.25">
      <c r="A192">
        <f t="shared" si="11"/>
        <v>1900</v>
      </c>
      <c r="B192">
        <f t="shared" si="9"/>
        <v>1</v>
      </c>
    </row>
    <row r="193" spans="1:2" x14ac:dyDescent="0.25">
      <c r="A193">
        <f t="shared" si="11"/>
        <v>1900</v>
      </c>
      <c r="B193">
        <f t="shared" si="9"/>
        <v>1</v>
      </c>
    </row>
    <row r="194" spans="1:2" x14ac:dyDescent="0.25">
      <c r="A194">
        <f t="shared" si="11"/>
        <v>1900</v>
      </c>
      <c r="B194">
        <f t="shared" si="9"/>
        <v>1</v>
      </c>
    </row>
    <row r="195" spans="1:2" x14ac:dyDescent="0.25">
      <c r="A195">
        <f t="shared" si="11"/>
        <v>1900</v>
      </c>
      <c r="B195">
        <f t="shared" ref="B195:B258" si="12">MONTH(C195)</f>
        <v>1</v>
      </c>
    </row>
    <row r="196" spans="1:2" x14ac:dyDescent="0.25">
      <c r="A196">
        <f t="shared" si="11"/>
        <v>1900</v>
      </c>
      <c r="B196">
        <f t="shared" si="12"/>
        <v>1</v>
      </c>
    </row>
    <row r="197" spans="1:2" x14ac:dyDescent="0.25">
      <c r="A197">
        <f t="shared" si="11"/>
        <v>1900</v>
      </c>
      <c r="B197">
        <f t="shared" si="12"/>
        <v>1</v>
      </c>
    </row>
    <row r="198" spans="1:2" x14ac:dyDescent="0.25">
      <c r="A198">
        <f t="shared" si="11"/>
        <v>1900</v>
      </c>
      <c r="B198">
        <f t="shared" si="12"/>
        <v>1</v>
      </c>
    </row>
    <row r="199" spans="1:2" x14ac:dyDescent="0.25">
      <c r="A199">
        <f t="shared" si="11"/>
        <v>1900</v>
      </c>
      <c r="B199">
        <f t="shared" si="12"/>
        <v>1</v>
      </c>
    </row>
    <row r="200" spans="1:2" x14ac:dyDescent="0.25">
      <c r="A200">
        <f t="shared" si="11"/>
        <v>1900</v>
      </c>
      <c r="B200">
        <f t="shared" si="12"/>
        <v>1</v>
      </c>
    </row>
    <row r="201" spans="1:2" x14ac:dyDescent="0.25">
      <c r="A201">
        <f t="shared" si="11"/>
        <v>1900</v>
      </c>
      <c r="B201">
        <f t="shared" si="12"/>
        <v>1</v>
      </c>
    </row>
    <row r="202" spans="1:2" x14ac:dyDescent="0.25">
      <c r="A202">
        <f t="shared" si="11"/>
        <v>1900</v>
      </c>
      <c r="B202">
        <f t="shared" si="12"/>
        <v>1</v>
      </c>
    </row>
    <row r="203" spans="1:2" x14ac:dyDescent="0.25">
      <c r="A203">
        <f t="shared" si="11"/>
        <v>1900</v>
      </c>
      <c r="B203">
        <f t="shared" si="12"/>
        <v>1</v>
      </c>
    </row>
    <row r="204" spans="1:2" x14ac:dyDescent="0.25">
      <c r="A204">
        <f t="shared" si="11"/>
        <v>1900</v>
      </c>
      <c r="B204">
        <f t="shared" si="12"/>
        <v>1</v>
      </c>
    </row>
    <row r="205" spans="1:2" x14ac:dyDescent="0.25">
      <c r="A205">
        <f t="shared" si="11"/>
        <v>1900</v>
      </c>
      <c r="B205">
        <f t="shared" si="12"/>
        <v>1</v>
      </c>
    </row>
    <row r="206" spans="1:2" x14ac:dyDescent="0.25">
      <c r="A206">
        <f t="shared" si="11"/>
        <v>1900</v>
      </c>
      <c r="B206">
        <f t="shared" si="12"/>
        <v>1</v>
      </c>
    </row>
    <row r="207" spans="1:2" x14ac:dyDescent="0.25">
      <c r="A207">
        <f t="shared" si="11"/>
        <v>1900</v>
      </c>
      <c r="B207">
        <f t="shared" si="12"/>
        <v>1</v>
      </c>
    </row>
    <row r="208" spans="1:2" x14ac:dyDescent="0.25">
      <c r="A208">
        <f t="shared" si="11"/>
        <v>1900</v>
      </c>
      <c r="B208">
        <f t="shared" si="12"/>
        <v>1</v>
      </c>
    </row>
    <row r="209" spans="1:2" x14ac:dyDescent="0.25">
      <c r="A209">
        <f t="shared" si="11"/>
        <v>1900</v>
      </c>
      <c r="B209">
        <f t="shared" si="12"/>
        <v>1</v>
      </c>
    </row>
    <row r="210" spans="1:2" x14ac:dyDescent="0.25">
      <c r="A210">
        <f t="shared" si="11"/>
        <v>1900</v>
      </c>
      <c r="B210">
        <f t="shared" si="12"/>
        <v>1</v>
      </c>
    </row>
    <row r="211" spans="1:2" x14ac:dyDescent="0.25">
      <c r="A211">
        <f t="shared" si="11"/>
        <v>1900</v>
      </c>
      <c r="B211">
        <f t="shared" si="12"/>
        <v>1</v>
      </c>
    </row>
    <row r="212" spans="1:2" x14ac:dyDescent="0.25">
      <c r="A212">
        <f t="shared" si="11"/>
        <v>1900</v>
      </c>
      <c r="B212">
        <f t="shared" si="12"/>
        <v>1</v>
      </c>
    </row>
    <row r="213" spans="1:2" x14ac:dyDescent="0.25">
      <c r="A213">
        <f t="shared" si="11"/>
        <v>1900</v>
      </c>
      <c r="B213">
        <f t="shared" si="12"/>
        <v>1</v>
      </c>
    </row>
    <row r="214" spans="1:2" x14ac:dyDescent="0.25">
      <c r="A214">
        <f t="shared" si="11"/>
        <v>1900</v>
      </c>
      <c r="B214">
        <f t="shared" si="12"/>
        <v>1</v>
      </c>
    </row>
    <row r="215" spans="1:2" x14ac:dyDescent="0.25">
      <c r="A215">
        <f t="shared" si="11"/>
        <v>1900</v>
      </c>
      <c r="B215">
        <f t="shared" si="12"/>
        <v>1</v>
      </c>
    </row>
    <row r="216" spans="1:2" x14ac:dyDescent="0.25">
      <c r="A216">
        <f t="shared" si="11"/>
        <v>1900</v>
      </c>
      <c r="B216">
        <f t="shared" si="12"/>
        <v>1</v>
      </c>
    </row>
    <row r="217" spans="1:2" x14ac:dyDescent="0.25">
      <c r="A217">
        <f t="shared" si="11"/>
        <v>1900</v>
      </c>
      <c r="B217">
        <f t="shared" si="12"/>
        <v>1</v>
      </c>
    </row>
    <row r="218" spans="1:2" x14ac:dyDescent="0.25">
      <c r="A218">
        <f t="shared" si="11"/>
        <v>1900</v>
      </c>
      <c r="B218">
        <f t="shared" si="12"/>
        <v>1</v>
      </c>
    </row>
    <row r="219" spans="1:2" x14ac:dyDescent="0.25">
      <c r="A219">
        <f t="shared" si="11"/>
        <v>1900</v>
      </c>
      <c r="B219">
        <f t="shared" si="12"/>
        <v>1</v>
      </c>
    </row>
    <row r="220" spans="1:2" x14ac:dyDescent="0.25">
      <c r="A220">
        <f t="shared" si="11"/>
        <v>1900</v>
      </c>
      <c r="B220">
        <f t="shared" si="12"/>
        <v>1</v>
      </c>
    </row>
    <row r="221" spans="1:2" x14ac:dyDescent="0.25">
      <c r="A221">
        <f t="shared" si="11"/>
        <v>1900</v>
      </c>
      <c r="B221">
        <f t="shared" si="12"/>
        <v>1</v>
      </c>
    </row>
    <row r="222" spans="1:2" x14ac:dyDescent="0.25">
      <c r="A222">
        <f t="shared" si="11"/>
        <v>1900</v>
      </c>
      <c r="B222">
        <f t="shared" si="12"/>
        <v>1</v>
      </c>
    </row>
    <row r="223" spans="1:2" x14ac:dyDescent="0.25">
      <c r="A223">
        <f t="shared" si="11"/>
        <v>1900</v>
      </c>
      <c r="B223">
        <f t="shared" si="12"/>
        <v>1</v>
      </c>
    </row>
    <row r="224" spans="1:2" x14ac:dyDescent="0.25">
      <c r="A224">
        <f t="shared" si="11"/>
        <v>1900</v>
      </c>
      <c r="B224">
        <f t="shared" si="12"/>
        <v>1</v>
      </c>
    </row>
    <row r="225" spans="1:2" x14ac:dyDescent="0.25">
      <c r="A225">
        <f t="shared" si="11"/>
        <v>1900</v>
      </c>
      <c r="B225">
        <f t="shared" si="12"/>
        <v>1</v>
      </c>
    </row>
    <row r="226" spans="1:2" x14ac:dyDescent="0.25">
      <c r="A226">
        <f t="shared" si="11"/>
        <v>1900</v>
      </c>
      <c r="B226">
        <f t="shared" si="12"/>
        <v>1</v>
      </c>
    </row>
    <row r="227" spans="1:2" x14ac:dyDescent="0.25">
      <c r="A227">
        <f t="shared" si="11"/>
        <v>1900</v>
      </c>
      <c r="B227">
        <f t="shared" si="12"/>
        <v>1</v>
      </c>
    </row>
    <row r="228" spans="1:2" x14ac:dyDescent="0.25">
      <c r="A228">
        <f t="shared" si="11"/>
        <v>1900</v>
      </c>
      <c r="B228">
        <f t="shared" si="12"/>
        <v>1</v>
      </c>
    </row>
    <row r="229" spans="1:2" x14ac:dyDescent="0.25">
      <c r="A229">
        <f t="shared" si="11"/>
        <v>1900</v>
      </c>
      <c r="B229">
        <f t="shared" si="12"/>
        <v>1</v>
      </c>
    </row>
    <row r="230" spans="1:2" x14ac:dyDescent="0.25">
      <c r="A230">
        <f t="shared" si="11"/>
        <v>1900</v>
      </c>
      <c r="B230">
        <f t="shared" si="12"/>
        <v>1</v>
      </c>
    </row>
    <row r="231" spans="1:2" x14ac:dyDescent="0.25">
      <c r="A231">
        <f t="shared" si="11"/>
        <v>1900</v>
      </c>
      <c r="B231">
        <f t="shared" si="12"/>
        <v>1</v>
      </c>
    </row>
    <row r="232" spans="1:2" x14ac:dyDescent="0.25">
      <c r="A232">
        <f t="shared" si="11"/>
        <v>1900</v>
      </c>
      <c r="B232">
        <f t="shared" si="12"/>
        <v>1</v>
      </c>
    </row>
    <row r="233" spans="1:2" x14ac:dyDescent="0.25">
      <c r="A233">
        <f t="shared" si="11"/>
        <v>1900</v>
      </c>
      <c r="B233">
        <f t="shared" si="12"/>
        <v>1</v>
      </c>
    </row>
    <row r="234" spans="1:2" x14ac:dyDescent="0.25">
      <c r="A234">
        <f t="shared" si="11"/>
        <v>1900</v>
      </c>
      <c r="B234">
        <f t="shared" si="12"/>
        <v>1</v>
      </c>
    </row>
    <row r="235" spans="1:2" x14ac:dyDescent="0.25">
      <c r="A235">
        <f t="shared" si="11"/>
        <v>1900</v>
      </c>
      <c r="B235">
        <f t="shared" si="12"/>
        <v>1</v>
      </c>
    </row>
    <row r="236" spans="1:2" x14ac:dyDescent="0.25">
      <c r="A236">
        <f t="shared" si="11"/>
        <v>1900</v>
      </c>
      <c r="B236">
        <f t="shared" si="12"/>
        <v>1</v>
      </c>
    </row>
    <row r="237" spans="1:2" x14ac:dyDescent="0.25">
      <c r="A237">
        <f t="shared" si="11"/>
        <v>1900</v>
      </c>
      <c r="B237">
        <f t="shared" si="12"/>
        <v>1</v>
      </c>
    </row>
    <row r="238" spans="1:2" x14ac:dyDescent="0.25">
      <c r="A238">
        <f t="shared" si="11"/>
        <v>1900</v>
      </c>
      <c r="B238">
        <f t="shared" si="12"/>
        <v>1</v>
      </c>
    </row>
    <row r="239" spans="1:2" x14ac:dyDescent="0.25">
      <c r="A239">
        <f t="shared" si="11"/>
        <v>1900</v>
      </c>
      <c r="B239">
        <f t="shared" si="12"/>
        <v>1</v>
      </c>
    </row>
    <row r="240" spans="1:2" x14ac:dyDescent="0.25">
      <c r="A240">
        <f t="shared" si="11"/>
        <v>1900</v>
      </c>
      <c r="B240">
        <f t="shared" si="12"/>
        <v>1</v>
      </c>
    </row>
    <row r="241" spans="1:2" x14ac:dyDescent="0.25">
      <c r="A241">
        <f t="shared" si="11"/>
        <v>1900</v>
      </c>
      <c r="B241">
        <f t="shared" si="12"/>
        <v>1</v>
      </c>
    </row>
    <row r="242" spans="1:2" x14ac:dyDescent="0.25">
      <c r="A242">
        <f t="shared" si="11"/>
        <v>1900</v>
      </c>
      <c r="B242">
        <f t="shared" si="12"/>
        <v>1</v>
      </c>
    </row>
    <row r="243" spans="1:2" x14ac:dyDescent="0.25">
      <c r="A243">
        <f t="shared" si="11"/>
        <v>1900</v>
      </c>
      <c r="B243">
        <f t="shared" si="12"/>
        <v>1</v>
      </c>
    </row>
    <row r="244" spans="1:2" x14ac:dyDescent="0.25">
      <c r="A244">
        <f t="shared" si="11"/>
        <v>1900</v>
      </c>
      <c r="B244">
        <f t="shared" si="12"/>
        <v>1</v>
      </c>
    </row>
    <row r="245" spans="1:2" x14ac:dyDescent="0.25">
      <c r="A245">
        <f t="shared" si="11"/>
        <v>1900</v>
      </c>
      <c r="B245">
        <f t="shared" si="12"/>
        <v>1</v>
      </c>
    </row>
    <row r="246" spans="1:2" x14ac:dyDescent="0.25">
      <c r="A246">
        <f t="shared" si="11"/>
        <v>1900</v>
      </c>
      <c r="B246">
        <f t="shared" si="12"/>
        <v>1</v>
      </c>
    </row>
    <row r="247" spans="1:2" x14ac:dyDescent="0.25">
      <c r="A247">
        <f t="shared" si="11"/>
        <v>1900</v>
      </c>
      <c r="B247">
        <f t="shared" si="12"/>
        <v>1</v>
      </c>
    </row>
    <row r="248" spans="1:2" x14ac:dyDescent="0.25">
      <c r="A248">
        <f t="shared" si="11"/>
        <v>1900</v>
      </c>
      <c r="B248">
        <f t="shared" si="12"/>
        <v>1</v>
      </c>
    </row>
    <row r="249" spans="1:2" x14ac:dyDescent="0.25">
      <c r="A249">
        <f t="shared" si="11"/>
        <v>1900</v>
      </c>
      <c r="B249">
        <f t="shared" si="12"/>
        <v>1</v>
      </c>
    </row>
    <row r="250" spans="1:2" x14ac:dyDescent="0.25">
      <c r="A250">
        <f t="shared" si="11"/>
        <v>1900</v>
      </c>
      <c r="B250">
        <f t="shared" si="12"/>
        <v>1</v>
      </c>
    </row>
    <row r="251" spans="1:2" x14ac:dyDescent="0.25">
      <c r="A251">
        <f t="shared" si="11"/>
        <v>1900</v>
      </c>
      <c r="B251">
        <f t="shared" si="12"/>
        <v>1</v>
      </c>
    </row>
    <row r="252" spans="1:2" x14ac:dyDescent="0.25">
      <c r="A252">
        <f t="shared" ref="A252:A271" si="13">YEAR(C252)</f>
        <v>1900</v>
      </c>
      <c r="B252">
        <f t="shared" si="12"/>
        <v>1</v>
      </c>
    </row>
    <row r="253" spans="1:2" x14ac:dyDescent="0.25">
      <c r="A253">
        <f t="shared" si="13"/>
        <v>1900</v>
      </c>
      <c r="B253">
        <f t="shared" si="12"/>
        <v>1</v>
      </c>
    </row>
    <row r="254" spans="1:2" x14ac:dyDescent="0.25">
      <c r="A254">
        <f t="shared" si="13"/>
        <v>1900</v>
      </c>
      <c r="B254">
        <f t="shared" si="12"/>
        <v>1</v>
      </c>
    </row>
    <row r="255" spans="1:2" x14ac:dyDescent="0.25">
      <c r="A255">
        <f t="shared" si="13"/>
        <v>1900</v>
      </c>
      <c r="B255">
        <f t="shared" si="12"/>
        <v>1</v>
      </c>
    </row>
    <row r="256" spans="1:2" x14ac:dyDescent="0.25">
      <c r="A256">
        <f t="shared" si="13"/>
        <v>1900</v>
      </c>
      <c r="B256">
        <f t="shared" si="12"/>
        <v>1</v>
      </c>
    </row>
    <row r="257" spans="1:2" x14ac:dyDescent="0.25">
      <c r="A257">
        <f t="shared" si="13"/>
        <v>1900</v>
      </c>
      <c r="B257">
        <f t="shared" si="12"/>
        <v>1</v>
      </c>
    </row>
    <row r="258" spans="1:2" x14ac:dyDescent="0.25">
      <c r="A258">
        <f t="shared" si="13"/>
        <v>1900</v>
      </c>
      <c r="B258">
        <f t="shared" si="12"/>
        <v>1</v>
      </c>
    </row>
    <row r="259" spans="1:2" x14ac:dyDescent="0.25">
      <c r="A259">
        <f t="shared" si="13"/>
        <v>1900</v>
      </c>
      <c r="B259">
        <f t="shared" ref="B259:B271" si="14">MONTH(C259)</f>
        <v>1</v>
      </c>
    </row>
    <row r="260" spans="1:2" x14ac:dyDescent="0.25">
      <c r="A260">
        <f t="shared" si="13"/>
        <v>1900</v>
      </c>
      <c r="B260">
        <f t="shared" si="14"/>
        <v>1</v>
      </c>
    </row>
    <row r="261" spans="1:2" x14ac:dyDescent="0.25">
      <c r="A261">
        <f t="shared" si="13"/>
        <v>1900</v>
      </c>
      <c r="B261">
        <f t="shared" si="14"/>
        <v>1</v>
      </c>
    </row>
    <row r="262" spans="1:2" x14ac:dyDescent="0.25">
      <c r="A262">
        <f t="shared" si="13"/>
        <v>1900</v>
      </c>
      <c r="B262">
        <f t="shared" si="14"/>
        <v>1</v>
      </c>
    </row>
    <row r="263" spans="1:2" x14ac:dyDescent="0.25">
      <c r="A263">
        <f t="shared" si="13"/>
        <v>1900</v>
      </c>
      <c r="B263">
        <f t="shared" si="14"/>
        <v>1</v>
      </c>
    </row>
    <row r="264" spans="1:2" x14ac:dyDescent="0.25">
      <c r="A264">
        <f t="shared" si="13"/>
        <v>1900</v>
      </c>
      <c r="B264">
        <f t="shared" si="14"/>
        <v>1</v>
      </c>
    </row>
    <row r="265" spans="1:2" x14ac:dyDescent="0.25">
      <c r="A265">
        <f t="shared" si="13"/>
        <v>1900</v>
      </c>
      <c r="B265">
        <f t="shared" si="14"/>
        <v>1</v>
      </c>
    </row>
    <row r="266" spans="1:2" x14ac:dyDescent="0.25">
      <c r="A266">
        <f t="shared" si="13"/>
        <v>1900</v>
      </c>
      <c r="B266">
        <f t="shared" si="14"/>
        <v>1</v>
      </c>
    </row>
    <row r="267" spans="1:2" x14ac:dyDescent="0.25">
      <c r="A267">
        <f t="shared" si="13"/>
        <v>1900</v>
      </c>
      <c r="B267">
        <f t="shared" si="14"/>
        <v>1</v>
      </c>
    </row>
    <row r="268" spans="1:2" x14ac:dyDescent="0.25">
      <c r="A268">
        <f t="shared" si="13"/>
        <v>1900</v>
      </c>
      <c r="B268">
        <f t="shared" si="14"/>
        <v>1</v>
      </c>
    </row>
    <row r="269" spans="1:2" x14ac:dyDescent="0.25">
      <c r="A269">
        <f t="shared" si="13"/>
        <v>1900</v>
      </c>
      <c r="B269">
        <f t="shared" si="14"/>
        <v>1</v>
      </c>
    </row>
    <row r="270" spans="1:2" x14ac:dyDescent="0.25">
      <c r="A270">
        <f t="shared" si="13"/>
        <v>1900</v>
      </c>
      <c r="B270">
        <f t="shared" si="14"/>
        <v>1</v>
      </c>
    </row>
    <row r="271" spans="1:2" x14ac:dyDescent="0.25">
      <c r="A271">
        <f t="shared" si="13"/>
        <v>1900</v>
      </c>
      <c r="B271">
        <f t="shared" si="14"/>
        <v>1</v>
      </c>
    </row>
  </sheetData>
  <sortState xmlns:xlrd2="http://schemas.microsoft.com/office/spreadsheetml/2017/richdata2" ref="T2:T18">
    <sortCondition ref="T3:T1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8"/>
  <sheetViews>
    <sheetView topLeftCell="G11" zoomScale="80" zoomScaleNormal="80" workbookViewId="0">
      <selection activeCell="K25" sqref="K25"/>
    </sheetView>
  </sheetViews>
  <sheetFormatPr defaultRowHeight="15" x14ac:dyDescent="0.25"/>
  <cols>
    <col min="1" max="1" width="10.5703125" customWidth="1"/>
    <col min="2" max="2" width="18.7109375" bestFit="1" customWidth="1"/>
    <col min="3" max="3" width="17.28515625" bestFit="1" customWidth="1"/>
    <col min="4" max="4" width="16.42578125" bestFit="1" customWidth="1"/>
    <col min="5" max="5" width="15.28515625" bestFit="1" customWidth="1"/>
    <col min="6" max="7" width="24.140625" bestFit="1" customWidth="1"/>
    <col min="8" max="8" width="14.140625" style="13" bestFit="1" customWidth="1"/>
    <col min="11" max="11" width="10.5703125" bestFit="1" customWidth="1"/>
    <col min="12" max="12" width="13.5703125" customWidth="1"/>
    <col min="13" max="14" width="11.42578125" customWidth="1"/>
    <col min="15" max="15" width="14" bestFit="1" customWidth="1"/>
    <col min="16" max="16" width="13.85546875" customWidth="1"/>
    <col min="17" max="18" width="16" bestFit="1" customWidth="1"/>
    <col min="19" max="19" width="19" bestFit="1" customWidth="1"/>
    <col min="20" max="20" width="12" bestFit="1" customWidth="1"/>
    <col min="24" max="24" width="29.42578125" bestFit="1" customWidth="1"/>
    <col min="36" max="36" width="29.42578125" bestFit="1" customWidth="1"/>
  </cols>
  <sheetData>
    <row r="1" spans="1:37" x14ac:dyDescent="0.25">
      <c r="A1" s="3"/>
    </row>
    <row r="4" spans="1:37" x14ac:dyDescent="0.25">
      <c r="J4" s="69" t="s">
        <v>29</v>
      </c>
      <c r="K4" s="69"/>
      <c r="L4" s="69"/>
      <c r="M4" s="69"/>
      <c r="N4" s="22"/>
      <c r="O4" s="70" t="s">
        <v>31</v>
      </c>
      <c r="P4" s="70"/>
      <c r="Q4" s="70"/>
      <c r="R4" s="57"/>
      <c r="W4" s="69" t="s">
        <v>80</v>
      </c>
      <c r="X4" s="69"/>
      <c r="Y4" s="69"/>
    </row>
    <row r="5" spans="1:37" x14ac:dyDescent="0.25">
      <c r="A5" s="4"/>
      <c r="B5" t="s">
        <v>36</v>
      </c>
      <c r="C5" t="s">
        <v>37</v>
      </c>
      <c r="D5" s="4" t="s">
        <v>34</v>
      </c>
      <c r="E5" s="4" t="s">
        <v>35</v>
      </c>
      <c r="F5" s="4" t="s">
        <v>39</v>
      </c>
      <c r="G5" s="4" t="s">
        <v>38</v>
      </c>
      <c r="J5" s="6" t="s">
        <v>1</v>
      </c>
      <c r="K5" s="6" t="s">
        <v>2</v>
      </c>
      <c r="L5" s="6" t="s">
        <v>211</v>
      </c>
      <c r="M5" s="6" t="s">
        <v>4</v>
      </c>
      <c r="N5" s="14" t="s">
        <v>54</v>
      </c>
      <c r="O5" s="11" t="s">
        <v>72</v>
      </c>
      <c r="P5" s="11" t="s">
        <v>73</v>
      </c>
      <c r="Q5" s="11" t="s">
        <v>188</v>
      </c>
      <c r="R5" s="11" t="s">
        <v>189</v>
      </c>
      <c r="S5" s="11" t="s">
        <v>51</v>
      </c>
      <c r="T5" s="11" t="s">
        <v>74</v>
      </c>
      <c r="U5" s="11"/>
      <c r="W5" s="41" t="s">
        <v>1</v>
      </c>
      <c r="X5" s="41" t="s">
        <v>81</v>
      </c>
      <c r="Y5" s="41" t="s">
        <v>82</v>
      </c>
    </row>
    <row r="6" spans="1:37" x14ac:dyDescent="0.25">
      <c r="A6" s="38" t="s">
        <v>197</v>
      </c>
      <c r="B6">
        <f>SUMIFS(Fluxo!G:G,Fluxo!D:D,A6,Fluxo!E:E,"Compra")</f>
        <v>100</v>
      </c>
      <c r="C6">
        <f>SUMIFS(Fluxo!G:G,Fluxo!D:D,A6,Fluxo!E:E,"Venda")</f>
        <v>-100</v>
      </c>
      <c r="D6" s="5">
        <f>SUMIFS(Fluxo!H:H,Fluxo!D:D,A6,Fluxo!E:E,"Compra")/SUMIFS(Fluxo!G:G,Fluxo!D:D,'Análise Ações BR'!A6,Fluxo!E:E,"compra")</f>
        <v>10.28</v>
      </c>
      <c r="E6" s="21">
        <f>IFERROR(SUMIFS(Fluxo!H:H,Fluxo!D:D,A6,Fluxo!E:E,"Venda")/SUMIFS(Fluxo!G:G,Fluxo!D:D,'Análise Ações BR'!A6,Fluxo!E:E,"Venda"),0)</f>
        <v>9.0299999999999994</v>
      </c>
      <c r="F6" s="2">
        <f t="shared" ref="F6" si="0">IF(E6&lt;&gt;0,E6-D6)</f>
        <v>-1.25</v>
      </c>
      <c r="G6" s="2">
        <f t="shared" ref="G6" si="1">-F6*C6</f>
        <v>-125</v>
      </c>
      <c r="J6" s="7" t="s">
        <v>197</v>
      </c>
      <c r="K6" s="7">
        <f ca="1">SUMIF(Fluxo!D:H,J6,Fluxo!G:G)</f>
        <v>0</v>
      </c>
      <c r="L6" s="8">
        <v>10.37</v>
      </c>
      <c r="M6" s="9">
        <f t="shared" ref="M6:M37" ca="1" si="2">L6*K6</f>
        <v>0</v>
      </c>
      <c r="N6" s="14"/>
      <c r="O6" s="31">
        <f ca="1">M6-SUMIF(Fluxo!D:H,J6,Fluxo!H:H)</f>
        <v>-125.00000000000011</v>
      </c>
      <c r="P6" s="11"/>
      <c r="Q6" s="11"/>
      <c r="R6" s="11"/>
      <c r="S6" s="33">
        <f ca="1">P6+O6+Q6+R6</f>
        <v>-125.00000000000011</v>
      </c>
      <c r="T6" s="12" t="e">
        <f ca="1">(L6*K6+Q6)/(K6*D6)-1</f>
        <v>#DIV/0!</v>
      </c>
      <c r="U6" s="11"/>
      <c r="W6" s="7" t="s">
        <v>197</v>
      </c>
      <c r="X6" s="7"/>
      <c r="Y6" s="42">
        <f ca="1">M6/($M$38+'Rendimento Ações BR'!$AA$3)</f>
        <v>0</v>
      </c>
    </row>
    <row r="7" spans="1:37" x14ac:dyDescent="0.25">
      <c r="A7" t="s">
        <v>15</v>
      </c>
      <c r="B7">
        <f>SUMIFS(Fluxo!G:G,Fluxo!D:D,A7,Fluxo!E:E,"Compra")</f>
        <v>385</v>
      </c>
      <c r="C7">
        <f>SUMIFS(Fluxo!G:G,Fluxo!D:D,A7,Fluxo!E:E,"Venda")</f>
        <v>-265</v>
      </c>
      <c r="D7" s="5">
        <f>SUMIFS(Fluxo!H:H,Fluxo!D:D,A7,Fluxo!E:E,"Compra")/SUMIFS(Fluxo!G:G,Fluxo!D:D,'Análise Ações BR'!A7,Fluxo!E:E,"compra")</f>
        <v>18.793246753246752</v>
      </c>
      <c r="E7" s="21">
        <f>IFERROR(SUMIFS(Fluxo!H:H,Fluxo!D:D,A7,Fluxo!E:E,"Venda")/SUMIFS(Fluxo!G:G,Fluxo!D:D,'Análise Ações BR'!A7,Fluxo!E:E,"Venda"),0)</f>
        <v>26.343396226415095</v>
      </c>
      <c r="F7" s="2">
        <f t="shared" ref="F7:F20" si="3">IF(E7&lt;&gt;0,E7-D7)</f>
        <v>7.550149473168343</v>
      </c>
      <c r="G7" s="2">
        <f t="shared" ref="G7:G20" si="4">-F7*C7</f>
        <v>2000.789610389611</v>
      </c>
      <c r="H7" s="35"/>
      <c r="I7" t="s">
        <v>97</v>
      </c>
      <c r="J7" s="7" t="s">
        <v>15</v>
      </c>
      <c r="K7" s="7">
        <f ca="1">SUMIF(Fluxo!D:H,J7,Fluxo!G:G)</f>
        <v>120</v>
      </c>
      <c r="L7" s="8">
        <v>24.87</v>
      </c>
      <c r="M7" s="9">
        <f t="shared" ca="1" si="2"/>
        <v>2984.4</v>
      </c>
      <c r="N7" s="23">
        <v>42</v>
      </c>
      <c r="O7" s="31">
        <f ca="1">M7-SUMIF(Fluxo!D:H,J7,Fluxo!H:H)</f>
        <v>2730.0000000000009</v>
      </c>
      <c r="P7" s="32"/>
      <c r="Q7" s="32"/>
      <c r="R7" s="32"/>
      <c r="S7" s="33">
        <f ca="1">P7+O7+Q7+R7</f>
        <v>2730.0000000000009</v>
      </c>
      <c r="T7" s="12">
        <f ca="1">(L7*K7+Q7)/(K7*D7)-1</f>
        <v>0.32334770710672545</v>
      </c>
      <c r="W7" s="7" t="s">
        <v>15</v>
      </c>
      <c r="X7" s="7" t="s">
        <v>191</v>
      </c>
      <c r="Y7" s="42">
        <f ca="1">M7/($M$38+'Rendimento Ações BR'!$AA$3)</f>
        <v>5.9540684438562114E-2</v>
      </c>
      <c r="AJ7" s="7" t="s">
        <v>191</v>
      </c>
      <c r="AK7" s="42">
        <f ca="1">SUMIF($X$7:$Y$37,AJ7,$Y$7:$Y$37)</f>
        <v>0.17284035838528317</v>
      </c>
    </row>
    <row r="8" spans="1:37" x14ac:dyDescent="0.25">
      <c r="A8" t="s">
        <v>6</v>
      </c>
      <c r="B8">
        <f>SUMIFS(Fluxo!G10:G1000,Fluxo!D10:D1000,A8,Fluxo!E10:E1000,"Compra")</f>
        <v>100</v>
      </c>
      <c r="C8">
        <f>SUMIFS(Fluxo!G10:G1000,Fluxo!D10:D1000,A8,Fluxo!E10:E1000,"Venda")</f>
        <v>-100</v>
      </c>
      <c r="D8" s="5">
        <f>SUMIFS(Fluxo!H10:H1000,Fluxo!D10:D1000,A8,Fluxo!E10:E1000,"Compra")/SUMIFS(Fluxo!G10:G1000,Fluxo!D10:D1000,'Análise Ações BR'!A8,Fluxo!E10:E1000,"compra")</f>
        <v>29.13</v>
      </c>
      <c r="E8" s="21">
        <f>IFERROR(SUMIFS(Fluxo!H10:H1000,Fluxo!D10:D1000,A8,Fluxo!E10:E1000,"Venda")/SUMIFS(Fluxo!G10:G1000,Fluxo!D10:D1000,'Análise Ações BR'!A8,Fluxo!E10:E1000,"Venda"),0)</f>
        <v>29.64</v>
      </c>
      <c r="F8" s="2">
        <f t="shared" si="3"/>
        <v>0.51000000000000156</v>
      </c>
      <c r="G8" s="2">
        <f t="shared" si="4"/>
        <v>51.000000000000156</v>
      </c>
      <c r="H8" s="35"/>
      <c r="J8" s="7" t="s">
        <v>6</v>
      </c>
      <c r="K8" s="7">
        <f ca="1">SUMIF(Fluxo!D:H,J8,Fluxo!G:G)</f>
        <v>0</v>
      </c>
      <c r="L8" s="8">
        <v>33.26</v>
      </c>
      <c r="M8" s="9">
        <f t="shared" ca="1" si="2"/>
        <v>0</v>
      </c>
      <c r="N8" s="23"/>
      <c r="O8" s="31">
        <f ca="1">M8-SUMIF(Fluxo!D10:H1000,J8,Fluxo!H10:H1000)</f>
        <v>51</v>
      </c>
      <c r="P8" s="32">
        <f ca="1">-SUMIF(Fluxo!D1:H9,J8,Fluxo!H1:H9)</f>
        <v>801</v>
      </c>
      <c r="Q8" s="32">
        <f>8.74+37.46+16.55+9.94</f>
        <v>72.69</v>
      </c>
      <c r="R8" s="32"/>
      <c r="S8" s="33">
        <f t="shared" ref="S8:S37" ca="1" si="5">P8+O8+Q8+R8</f>
        <v>924.69</v>
      </c>
      <c r="T8" s="12">
        <f t="shared" ref="T8:T17" si="6">L8/D8-1</f>
        <v>0.14177823549605217</v>
      </c>
      <c r="W8" s="7" t="s">
        <v>6</v>
      </c>
      <c r="X8" s="7"/>
      <c r="Y8" s="42">
        <f ca="1">M8/($M$38+'Rendimento Ações BR'!$AA$3)</f>
        <v>0</v>
      </c>
      <c r="AJ8" s="7" t="s">
        <v>182</v>
      </c>
      <c r="AK8" s="42">
        <f t="shared" ref="AK8:AK14" ca="1" si="7">SUMIF($X$7:$Y$37,AJ8,$Y$7:$Y$37)</f>
        <v>0.13080635890679282</v>
      </c>
    </row>
    <row r="9" spans="1:37" x14ac:dyDescent="0.25">
      <c r="A9" t="s">
        <v>88</v>
      </c>
      <c r="B9">
        <f>SUMIFS(Fluxo!G11:G1001,Fluxo!D11:D1001,A9,Fluxo!E11:E1001,"Compra")</f>
        <v>120</v>
      </c>
      <c r="C9">
        <f>SUMIFS(Fluxo!G11:G1001,Fluxo!D11:D1001,A9,Fluxo!E11:E1001,"Venda")</f>
        <v>0</v>
      </c>
      <c r="D9" s="5">
        <f>SUMIFS(Fluxo!H11:H1001,Fluxo!D11:D1001,A9,Fluxo!E11:E1001,"Compra")/SUMIFS(Fluxo!G11:G1001,Fluxo!D11:D1001,'Análise Ações BR'!A9,Fluxo!E11:E1001,"compra")</f>
        <v>25.9175</v>
      </c>
      <c r="E9" s="21">
        <f>IFERROR(SUMIFS(Fluxo!H11:H1001,Fluxo!D11:D1001,A9,Fluxo!E11:E1001,"Venda")/SUMIFS(Fluxo!G11:G1001,Fluxo!D11:D1001,'Análise Ações BR'!A9,Fluxo!E11:E1001,"Venda"),0)</f>
        <v>0</v>
      </c>
      <c r="F9" s="2" t="b">
        <f t="shared" ref="F9:F11" si="8">IF(E9&lt;&gt;0,E9-D9)</f>
        <v>0</v>
      </c>
      <c r="G9" s="2">
        <f t="shared" ref="G9:G11" si="9">-F9*C9</f>
        <v>0</v>
      </c>
      <c r="H9" s="35"/>
      <c r="I9" t="s">
        <v>97</v>
      </c>
      <c r="J9" s="7" t="s">
        <v>88</v>
      </c>
      <c r="K9" s="7">
        <f ca="1">SUMIF(Fluxo!D:H,J9,Fluxo!G:G)</f>
        <v>120</v>
      </c>
      <c r="L9" s="8">
        <v>22.55</v>
      </c>
      <c r="M9" s="9">
        <f t="shared" ca="1" si="2"/>
        <v>2706</v>
      </c>
      <c r="N9" s="23">
        <v>37.5</v>
      </c>
      <c r="O9" s="31">
        <f ca="1">M9-SUMIF(Fluxo!D11:H1001,J9,Fluxo!H11:H1001)</f>
        <v>-404.09999999999991</v>
      </c>
      <c r="P9" s="32"/>
      <c r="Q9" s="32"/>
      <c r="R9" s="32">
        <v>17.329999999999998</v>
      </c>
      <c r="S9" s="33">
        <f t="shared" ca="1" si="5"/>
        <v>-386.76999999999992</v>
      </c>
      <c r="T9" s="12">
        <f ca="1">(L9*K9+Q9+R9)/(K9*D9)-1</f>
        <v>-0.1243593453586701</v>
      </c>
      <c r="W9" s="7" t="s">
        <v>88</v>
      </c>
      <c r="X9" s="7" t="s">
        <v>182</v>
      </c>
      <c r="Y9" s="42">
        <f ca="1">M9/($M$38+'Rendimento Ações BR'!$AA$3)</f>
        <v>5.3986426782853862E-2</v>
      </c>
      <c r="AJ9" s="7" t="s">
        <v>193</v>
      </c>
      <c r="AK9" s="42">
        <f t="shared" ca="1" si="7"/>
        <v>0.12263996420057494</v>
      </c>
    </row>
    <row r="10" spans="1:37" x14ac:dyDescent="0.25">
      <c r="A10" t="s">
        <v>198</v>
      </c>
      <c r="B10">
        <f>SUMIFS(Fluxo!G:G,Fluxo!D:D,A10,Fluxo!E:E,"Compra")</f>
        <v>215</v>
      </c>
      <c r="C10">
        <f>SUMIFS(Fluxo!G:G,Fluxo!D:D,A10,Fluxo!E:E,"Venda")</f>
        <v>0</v>
      </c>
      <c r="D10" s="5">
        <f>SUMIFS(Fluxo!H:H,Fluxo!D:D,A10,Fluxo!E:E,"Compra")/SUMIFS(Fluxo!G:G,Fluxo!D:D,'Análise Ações BR'!A10,Fluxo!E:E,"compra")</f>
        <v>13.920000000000002</v>
      </c>
      <c r="E10" s="21">
        <f>IFERROR(SUMIFS(Fluxo!H:H,Fluxo!D:D,A10,Fluxo!E:E,"Venda")/SUMIFS(Fluxo!G:G,Fluxo!D:D,'Análise Ações BR'!A10,Fluxo!E:E,"Venda"),0)</f>
        <v>0</v>
      </c>
      <c r="F10" s="2" t="b">
        <f t="shared" si="8"/>
        <v>0</v>
      </c>
      <c r="G10" s="2">
        <f t="shared" si="9"/>
        <v>0</v>
      </c>
      <c r="H10" s="35"/>
      <c r="J10" s="7" t="s">
        <v>198</v>
      </c>
      <c r="K10" s="7">
        <f ca="1">SUMIF(Fluxo!D:H,J10,Fluxo!G:G)</f>
        <v>215</v>
      </c>
      <c r="L10" s="8">
        <v>7.76</v>
      </c>
      <c r="M10" s="9">
        <f t="shared" ca="1" si="2"/>
        <v>1668.3999999999999</v>
      </c>
      <c r="N10" s="23">
        <v>19</v>
      </c>
      <c r="O10" s="31">
        <f ca="1">M10-SUMIF(Fluxo!D:H,J10,Fluxo!H:H)</f>
        <v>-1324.4000000000003</v>
      </c>
      <c r="P10" s="32"/>
      <c r="Q10" s="32"/>
      <c r="R10" s="32"/>
      <c r="S10" s="33">
        <f t="shared" ca="1" si="5"/>
        <v>-1324.4000000000003</v>
      </c>
      <c r="T10" s="12">
        <f t="shared" si="6"/>
        <v>-0.44252873563218398</v>
      </c>
      <c r="W10" s="7" t="s">
        <v>198</v>
      </c>
      <c r="X10" s="7" t="s">
        <v>195</v>
      </c>
      <c r="Y10" s="42">
        <f ca="1">M10/($M$38+'Rendimento Ações BR'!$AA$3)</f>
        <v>3.3285644657987203E-2</v>
      </c>
      <c r="AJ10" s="7" t="s">
        <v>194</v>
      </c>
      <c r="AK10" s="42">
        <f t="shared" ca="1" si="7"/>
        <v>0.16059465670039191</v>
      </c>
    </row>
    <row r="11" spans="1:37" x14ac:dyDescent="0.25">
      <c r="A11" t="s">
        <v>181</v>
      </c>
      <c r="B11">
        <f>SUMIFS(Fluxo!G:G,Fluxo!D:D,A11,Fluxo!E:E,"Compra")</f>
        <v>150</v>
      </c>
      <c r="C11">
        <f>SUMIFS(Fluxo!G:G,Fluxo!D:D,A11,Fluxo!E:E,"Venda")</f>
        <v>0</v>
      </c>
      <c r="D11" s="5">
        <f>SUMIFS(Fluxo!H:H,Fluxo!D:D,A11,Fluxo!E:E,"Compra")/SUMIFS(Fluxo!G:G,Fluxo!D:D,'Análise Ações BR'!A11,Fluxo!E:E,"compra")</f>
        <v>17.8</v>
      </c>
      <c r="E11" s="21">
        <f>IFERROR(SUMIFS(Fluxo!H:H,Fluxo!D:D,A11,Fluxo!E:E,"Venda")/SUMIFS(Fluxo!G:G,Fluxo!D:D,'Análise Ações BR'!A11,Fluxo!E:E,"Venda"),0)</f>
        <v>0</v>
      </c>
      <c r="F11" s="2" t="b">
        <f t="shared" si="8"/>
        <v>0</v>
      </c>
      <c r="G11" s="2">
        <f t="shared" si="9"/>
        <v>0</v>
      </c>
      <c r="H11" s="35"/>
      <c r="J11" s="7" t="s">
        <v>181</v>
      </c>
      <c r="K11" s="7">
        <f ca="1">SUMIF(Fluxo!D:H,J11,Fluxo!G:G)</f>
        <v>150</v>
      </c>
      <c r="L11" s="8">
        <v>11.91</v>
      </c>
      <c r="M11" s="9">
        <f t="shared" ca="1" si="2"/>
        <v>1786.5</v>
      </c>
      <c r="N11" s="23">
        <v>21.6</v>
      </c>
      <c r="O11" s="31">
        <f ca="1">M11-SUMIF(Fluxo!D:H,J11,Fluxo!H:H)</f>
        <v>-883.5</v>
      </c>
      <c r="P11" s="32"/>
      <c r="Q11" s="32"/>
      <c r="R11" s="32">
        <f>5.88+25.28+5.64+22.55</f>
        <v>59.349999999999994</v>
      </c>
      <c r="S11" s="33">
        <f t="shared" ca="1" si="5"/>
        <v>-824.15</v>
      </c>
      <c r="T11" s="12">
        <f ca="1">(L11*K11+Q11+R11)/(K11*D11)-1</f>
        <v>-0.30867041198501877</v>
      </c>
      <c r="W11" s="7" t="s">
        <v>181</v>
      </c>
      <c r="X11" s="7" t="s">
        <v>182</v>
      </c>
      <c r="Y11" s="42">
        <f ca="1">M11/($M$38+'Rendimento Ações BR'!$AA$3)</f>
        <v>3.5641815021274365E-2</v>
      </c>
      <c r="AJ11" s="7" t="s">
        <v>192</v>
      </c>
      <c r="AK11" s="42">
        <f t="shared" ca="1" si="7"/>
        <v>5.6899219949999712E-2</v>
      </c>
    </row>
    <row r="12" spans="1:37" x14ac:dyDescent="0.25">
      <c r="A12" t="s">
        <v>16</v>
      </c>
      <c r="B12">
        <f>SUMIFS(Fluxo!G:G,Fluxo!D:D,A12,Fluxo!E:E,"Compra")</f>
        <v>100</v>
      </c>
      <c r="C12">
        <f>SUMIFS(Fluxo!G:G,Fluxo!D:D,A12,Fluxo!E:E,"Venda")</f>
        <v>-100</v>
      </c>
      <c r="D12" s="5">
        <f>SUMIFS(Fluxo!H:H,Fluxo!D:D,A12,Fluxo!E:E,"Compra")/SUMIFS(Fluxo!G:G,Fluxo!D:D,'Análise Ações BR'!A12,Fluxo!E:E,"compra")</f>
        <v>7.14</v>
      </c>
      <c r="E12" s="21">
        <f>IFERROR(SUMIFS(Fluxo!H:H,Fluxo!D:D,A12,Fluxo!E:E,"Venda")/SUMIFS(Fluxo!G:G,Fluxo!D:D,'Análise Ações BR'!A12,Fluxo!E:E,"Venda"),0)</f>
        <v>13.62</v>
      </c>
      <c r="F12" s="2">
        <f t="shared" si="3"/>
        <v>6.4799999999999995</v>
      </c>
      <c r="G12" s="2">
        <f t="shared" si="4"/>
        <v>648</v>
      </c>
      <c r="H12" s="35"/>
      <c r="J12" s="7" t="s">
        <v>16</v>
      </c>
      <c r="K12" s="7">
        <f ca="1">SUMIF(Fluxo!D:H,J12,Fluxo!G:G)</f>
        <v>0</v>
      </c>
      <c r="L12" s="8">
        <v>12.89</v>
      </c>
      <c r="M12" s="9">
        <f t="shared" ca="1" si="2"/>
        <v>0</v>
      </c>
      <c r="N12" s="23"/>
      <c r="O12" s="31">
        <f ca="1">M12-SUMIF(Fluxo!D107:H1000,J12,Fluxo!H107:H1000)</f>
        <v>0</v>
      </c>
      <c r="P12" s="32">
        <f ca="1">-SUMIF(Fluxo!D1:H106,J12,Fluxo!H1:H106)</f>
        <v>648</v>
      </c>
      <c r="Q12" s="32"/>
      <c r="R12" s="32"/>
      <c r="S12" s="33">
        <f t="shared" ca="1" si="5"/>
        <v>648</v>
      </c>
      <c r="T12" s="12">
        <f t="shared" si="6"/>
        <v>0.80532212885154086</v>
      </c>
      <c r="W12" s="7" t="s">
        <v>16</v>
      </c>
      <c r="X12" s="7"/>
      <c r="Y12" s="42">
        <f ca="1">M12/($M$38+'Rendimento Ações BR'!$AA$3)</f>
        <v>0</v>
      </c>
      <c r="AJ12" s="7" t="s">
        <v>196</v>
      </c>
      <c r="AK12" s="42">
        <f t="shared" ca="1" si="7"/>
        <v>5.4365488907345445E-2</v>
      </c>
    </row>
    <row r="13" spans="1:37" x14ac:dyDescent="0.25">
      <c r="A13" t="s">
        <v>92</v>
      </c>
      <c r="B13">
        <f>SUMIFS(Fluxo!G:G,Fluxo!D:D,A13,Fluxo!E:E,"Compra")</f>
        <v>100</v>
      </c>
      <c r="C13">
        <f>SUMIFS(Fluxo!G:G,Fluxo!D:D,A13,Fluxo!E:E,"Venda")</f>
        <v>0</v>
      </c>
      <c r="D13" s="5">
        <f>SUMIFS(Fluxo!H:H,Fluxo!D:D,A13,Fluxo!E:E,"Compra")/SUMIFS(Fluxo!G:G,Fluxo!D:D,'Análise Ações BR'!A13,Fluxo!E:E,"compra")</f>
        <v>17.25</v>
      </c>
      <c r="E13" s="21">
        <f>IFERROR(SUMIFS(Fluxo!H:H,Fluxo!D:D,A13,Fluxo!E:E,"Venda")/SUMIFS(Fluxo!G:G,Fluxo!D:D,'Análise Ações BR'!A13,Fluxo!E:E,"Venda"),0)</f>
        <v>0</v>
      </c>
      <c r="F13" s="2" t="b">
        <f t="shared" ref="F13" si="10">IF(E13&lt;&gt;0,E13-D13)</f>
        <v>0</v>
      </c>
      <c r="G13" s="2">
        <f t="shared" ref="G13" si="11">-F13*C13</f>
        <v>0</v>
      </c>
      <c r="H13" s="35"/>
      <c r="I13" t="s">
        <v>97</v>
      </c>
      <c r="J13" s="7" t="s">
        <v>92</v>
      </c>
      <c r="K13" s="7">
        <f ca="1">SUMIF(Fluxo!D:H,J13,Fluxo!G:G)</f>
        <v>100</v>
      </c>
      <c r="L13" s="8">
        <v>19.79</v>
      </c>
      <c r="M13" s="9">
        <f t="shared" ca="1" si="2"/>
        <v>1979</v>
      </c>
      <c r="N13" s="23">
        <v>33</v>
      </c>
      <c r="O13" s="31">
        <f ca="1">M13-SUMIF(Fluxo!D:H,J13,Fluxo!H:H)</f>
        <v>254</v>
      </c>
      <c r="P13" s="32"/>
      <c r="Q13" s="32"/>
      <c r="R13" s="32">
        <v>25.76</v>
      </c>
      <c r="S13" s="33">
        <f t="shared" ca="1" si="5"/>
        <v>279.76</v>
      </c>
      <c r="T13" s="12">
        <f ca="1">(L13*K13+Q13+R13)/(K13*D13)-1</f>
        <v>0.1621797101449276</v>
      </c>
      <c r="W13" s="7" t="s">
        <v>92</v>
      </c>
      <c r="X13" s="7" t="s">
        <v>191</v>
      </c>
      <c r="Y13" s="42">
        <f ca="1">M13/($M$38+'Rendimento Ações BR'!$AA$3)</f>
        <v>3.9482312861518036E-2</v>
      </c>
      <c r="AJ13" s="7" t="s">
        <v>83</v>
      </c>
      <c r="AK13" s="42">
        <f t="shared" ca="1" si="7"/>
        <v>7.311110849536076E-2</v>
      </c>
    </row>
    <row r="14" spans="1:37" x14ac:dyDescent="0.25">
      <c r="A14" t="s">
        <v>8</v>
      </c>
      <c r="B14">
        <f>SUMIFS(Fluxo!G:G,Fluxo!D:D,A14,Fluxo!E:E,"Compra")</f>
        <v>100</v>
      </c>
      <c r="C14">
        <f>SUMIFS(Fluxo!G:G,Fluxo!D:D,A14,Fluxo!E:E,"Venda")</f>
        <v>0</v>
      </c>
      <c r="D14" s="5">
        <f>SUMIFS(Fluxo!H:H,Fluxo!D:D,A14,Fluxo!E:E,"Compra")/SUMIFS(Fluxo!G:G,Fluxo!D:D,'Análise Ações BR'!A14,Fluxo!E:E,"compra")</f>
        <v>14.14</v>
      </c>
      <c r="E14" s="21">
        <f>IFERROR(SUMIFS(Fluxo!H:H,Fluxo!D:D,A14,Fluxo!E:E,"Venda")/SUMIFS(Fluxo!G:G,Fluxo!D:D,'Análise Ações BR'!A14,Fluxo!E:E,"Venda"),0)</f>
        <v>0</v>
      </c>
      <c r="F14" s="2" t="b">
        <f t="shared" si="3"/>
        <v>0</v>
      </c>
      <c r="G14" s="2">
        <f t="shared" si="4"/>
        <v>0</v>
      </c>
      <c r="H14" s="35"/>
      <c r="I14" t="s">
        <v>97</v>
      </c>
      <c r="J14" s="7" t="s">
        <v>8</v>
      </c>
      <c r="K14" s="7">
        <f ca="1">SUMIF(Fluxo!D:H,J14,Fluxo!G:G)</f>
        <v>100</v>
      </c>
      <c r="L14" s="8">
        <v>15.97</v>
      </c>
      <c r="M14" s="9">
        <f t="shared" ca="1" si="2"/>
        <v>1597</v>
      </c>
      <c r="N14" s="23">
        <v>30</v>
      </c>
      <c r="O14" s="31">
        <f ca="1">M14-SUMIF(Fluxo!D:H,J14,Fluxo!H:H)</f>
        <v>183</v>
      </c>
      <c r="P14" s="32"/>
      <c r="Q14" s="32"/>
      <c r="R14" s="32"/>
      <c r="S14" s="33">
        <f t="shared" ca="1" si="5"/>
        <v>183</v>
      </c>
      <c r="T14" s="12">
        <f ca="1">(L14*K14+Q14)/(K14*D14)-1</f>
        <v>0.1294200848656295</v>
      </c>
      <c r="W14" s="7" t="s">
        <v>8</v>
      </c>
      <c r="X14" s="7" t="s">
        <v>193</v>
      </c>
      <c r="Y14" s="42">
        <f ca="1">M14/($M$38+'Rendimento Ações BR'!$AA$3)</f>
        <v>3.1861169095424101E-2</v>
      </c>
      <c r="AJ14" s="7" t="s">
        <v>195</v>
      </c>
      <c r="AK14" s="42">
        <f t="shared" ca="1" si="7"/>
        <v>7.8693297044452604E-2</v>
      </c>
    </row>
    <row r="15" spans="1:37" x14ac:dyDescent="0.25">
      <c r="A15" t="s">
        <v>21</v>
      </c>
      <c r="B15">
        <f>SUMIFS(Fluxo!G:G,Fluxo!D:D,A15,Fluxo!E:E,"Compra")</f>
        <v>113</v>
      </c>
      <c r="C15">
        <f>SUMIFS(Fluxo!G:G,Fluxo!D:D,A15,Fluxo!E:E,"Venda")</f>
        <v>0</v>
      </c>
      <c r="D15" s="5">
        <f>SUMIFS(Fluxo!H:H,Fluxo!D:D,A15,Fluxo!E:E,"Compra")/SUMIFS(Fluxo!G:G,Fluxo!D:D,'Análise Ações BR'!A15,Fluxo!E:E,"compra")</f>
        <v>24.341415929203539</v>
      </c>
      <c r="E15" s="21">
        <f>IFERROR(SUMIFS(Fluxo!H:H,Fluxo!D:D,A15,Fluxo!E:E,"Venda")/SUMIFS(Fluxo!G:G,Fluxo!D:D,'Análise Ações BR'!A15,Fluxo!E:E,"Venda"),0)</f>
        <v>0</v>
      </c>
      <c r="F15" s="2" t="b">
        <f t="shared" si="3"/>
        <v>0</v>
      </c>
      <c r="G15" s="2">
        <f t="shared" si="4"/>
        <v>0</v>
      </c>
      <c r="H15" s="35"/>
      <c r="I15" t="s">
        <v>97</v>
      </c>
      <c r="J15" s="7" t="s">
        <v>21</v>
      </c>
      <c r="K15" s="7">
        <f ca="1">SUMIF(Fluxo!D:H,J15,Fluxo!G:G)</f>
        <v>113</v>
      </c>
      <c r="L15" s="8">
        <v>14.09</v>
      </c>
      <c r="M15" s="9">
        <f t="shared" ca="1" si="2"/>
        <v>1592.17</v>
      </c>
      <c r="N15" s="23">
        <v>33</v>
      </c>
      <c r="O15" s="31">
        <f ca="1">M15-SUMIF(Fluxo!D:H,J15,Fluxo!H:H)</f>
        <v>-1158.4099999999999</v>
      </c>
      <c r="P15" s="32"/>
      <c r="Q15" s="32">
        <f>11.04+176.33</f>
        <v>187.37</v>
      </c>
      <c r="R15" s="32">
        <v>122.86</v>
      </c>
      <c r="S15" s="33">
        <f t="shared" ca="1" si="5"/>
        <v>-848.17999999999984</v>
      </c>
      <c r="T15" s="12">
        <f ca="1">(L15*K15+Q15+R15)/(K15*D15)-1</f>
        <v>-0.30836405412676604</v>
      </c>
      <c r="W15" s="7" t="s">
        <v>21</v>
      </c>
      <c r="X15" s="7" t="s">
        <v>193</v>
      </c>
      <c r="Y15" s="42">
        <f ca="1">M15/($M$38+'Rendimento Ações BR'!$AA$3)</f>
        <v>3.1764807513250719E-2</v>
      </c>
      <c r="AJ15" s="20" t="s">
        <v>93</v>
      </c>
      <c r="AK15" s="42">
        <f ca="1">SUMIF($X$7:$Y$38,AJ15,$Y$7:$Y$37)</f>
        <v>0.15004954740979867</v>
      </c>
    </row>
    <row r="16" spans="1:37" x14ac:dyDescent="0.25">
      <c r="A16" t="s">
        <v>185</v>
      </c>
      <c r="B16">
        <f>SUMIFS(Fluxo!G:G,Fluxo!D:D,A16,Fluxo!E:E,"Compra")</f>
        <v>70</v>
      </c>
      <c r="C16">
        <f>SUMIFS(Fluxo!G:G,Fluxo!D:D,A16,Fluxo!E:E,"Venda")</f>
        <v>-70</v>
      </c>
      <c r="D16" s="5">
        <f>SUMIFS(Fluxo!H:H,Fluxo!D:D,A16,Fluxo!E:E,"Compra")/SUMIFS(Fluxo!G:G,Fluxo!D:D,'Análise Ações BR'!A16,Fluxo!E:E,"compra")</f>
        <v>13.93</v>
      </c>
      <c r="E16" s="21">
        <f>IFERROR(SUMIFS(Fluxo!H:H,Fluxo!D:D,A16,Fluxo!E:E,"Venda")/SUMIFS(Fluxo!G:G,Fluxo!D:D,'Análise Ações BR'!A16,Fluxo!E:E,"Venda"),0)</f>
        <v>14.18</v>
      </c>
      <c r="F16" s="2">
        <f t="shared" ref="F16" si="12">IF(E16&lt;&gt;0,E16-D16)</f>
        <v>0.25</v>
      </c>
      <c r="G16" s="2">
        <f t="shared" ref="G16" si="13">-F16*C16</f>
        <v>17.5</v>
      </c>
      <c r="H16" s="35"/>
      <c r="J16" s="7" t="s">
        <v>185</v>
      </c>
      <c r="K16" s="7">
        <f ca="1">SUMIF(Fluxo!D:H,J16,Fluxo!G:G)</f>
        <v>0</v>
      </c>
      <c r="L16" s="8">
        <v>13.56</v>
      </c>
      <c r="M16" s="9">
        <f t="shared" ca="1" si="2"/>
        <v>0</v>
      </c>
      <c r="N16" s="23"/>
      <c r="O16" s="31">
        <f ca="1">M16-SUMIF(Fluxo!D:H,J16,Fluxo!H:H)</f>
        <v>17.5</v>
      </c>
      <c r="P16" s="32"/>
      <c r="Q16" s="32"/>
      <c r="R16" s="32">
        <v>48.3</v>
      </c>
      <c r="S16" s="33">
        <f t="shared" ca="1" si="5"/>
        <v>65.8</v>
      </c>
      <c r="T16" s="12">
        <f ca="1">(S16+R16+E16*B16)/(D16*B16)-1</f>
        <v>0.13496051687006472</v>
      </c>
      <c r="W16" s="7" t="s">
        <v>185</v>
      </c>
      <c r="X16" s="7"/>
      <c r="Y16" s="42">
        <f ca="1">M16/($M$38+'Rendimento Ações BR'!$AA$3)</f>
        <v>0</v>
      </c>
      <c r="AK16" s="12"/>
    </row>
    <row r="17" spans="1:36" x14ac:dyDescent="0.25">
      <c r="A17" t="s">
        <v>75</v>
      </c>
      <c r="B17">
        <f>SUMIFS(Fluxo!G:G,Fluxo!D:D,A17,Fluxo!E:E,"Compra")</f>
        <v>100</v>
      </c>
      <c r="C17">
        <f>SUMIFS(Fluxo!G:G,Fluxo!D:D,A17,Fluxo!E:E,"Venda")</f>
        <v>-100</v>
      </c>
      <c r="D17" s="5">
        <f>SUMIFS(Fluxo!H:H,Fluxo!D:D,A17,Fluxo!E:E,"Compra")/SUMIFS(Fluxo!G:G,Fluxo!D:D,'Análise Ações BR'!A17,Fluxo!E:E,"compra")</f>
        <v>17.05</v>
      </c>
      <c r="E17" s="21">
        <f>IFERROR(SUMIFS(Fluxo!H:H,Fluxo!D:D,A17,Fluxo!E:E,"Venda")/SUMIFS(Fluxo!G:G,Fluxo!D:D,'Análise Ações BR'!A17,Fluxo!E:E,"Venda"),0)</f>
        <v>21.35</v>
      </c>
      <c r="F17" s="2">
        <f>IF(E17&lt;&gt;0,E17-D17)</f>
        <v>4.3000000000000007</v>
      </c>
      <c r="G17" s="2">
        <f>-F17*C17</f>
        <v>430.00000000000006</v>
      </c>
      <c r="H17" s="35"/>
      <c r="J17" s="7" t="s">
        <v>75</v>
      </c>
      <c r="K17" s="7">
        <f ca="1">SUMIF(Fluxo!D:H,J17,Fluxo!G:G)</f>
        <v>0</v>
      </c>
      <c r="L17" s="8">
        <v>20.03</v>
      </c>
      <c r="M17" s="9">
        <f t="shared" ca="1" si="2"/>
        <v>0</v>
      </c>
      <c r="N17" s="23"/>
      <c r="O17" s="31">
        <f ca="1">M17-SUMIF(Fluxo!D99:H1000,J17,Fluxo!H99:H1000)</f>
        <v>0</v>
      </c>
      <c r="P17" s="32">
        <f ca="1">-SUMIF(Fluxo!D5:H98,J17,Fluxo!H5:H98)</f>
        <v>430</v>
      </c>
      <c r="Q17" s="32"/>
      <c r="R17" s="32"/>
      <c r="S17" s="33">
        <f t="shared" ca="1" si="5"/>
        <v>430</v>
      </c>
      <c r="T17" s="12">
        <f t="shared" si="6"/>
        <v>0.17478005865102642</v>
      </c>
      <c r="W17" s="7" t="s">
        <v>75</v>
      </c>
      <c r="X17" s="7"/>
      <c r="Y17" s="42">
        <f ca="1">M17/($M$38+'Rendimento Ações BR'!$AA$3)</f>
        <v>0</v>
      </c>
    </row>
    <row r="18" spans="1:36" x14ac:dyDescent="0.25">
      <c r="A18" t="s">
        <v>55</v>
      </c>
      <c r="B18">
        <f>SUMIFS(Fluxo!G:G,Fluxo!D:D,A18,Fluxo!E:E,"Compra")</f>
        <v>300</v>
      </c>
      <c r="C18">
        <f>SUMIFS(Fluxo!G:G,Fluxo!D:D,A18,Fluxo!E:E,"Venda")</f>
        <v>0</v>
      </c>
      <c r="D18" s="5">
        <f>SUMIFS(Fluxo!H:H,Fluxo!D:D,A18,Fluxo!E:E,"Compra")/SUMIFS(Fluxo!G:G,Fluxo!D:D,'Análise Ações BR'!A18,Fluxo!E:E,"compra")</f>
        <v>7.9766666666666666</v>
      </c>
      <c r="E18" s="21">
        <f>IFERROR(SUMIFS(Fluxo!H:H,Fluxo!D:D,A18,Fluxo!E:E,"Venda")/SUMIFS(Fluxo!G:G,Fluxo!D:D,'Análise Ações BR'!A18,Fluxo!E:E,"Venda"),0)</f>
        <v>0</v>
      </c>
      <c r="F18" s="2" t="b">
        <f>IF(E18&lt;&gt;0,E18-D18)</f>
        <v>0</v>
      </c>
      <c r="G18" s="2">
        <f>-F18*C18</f>
        <v>0</v>
      </c>
      <c r="H18" s="35"/>
      <c r="I18" t="s">
        <v>97</v>
      </c>
      <c r="J18" s="7" t="s">
        <v>55</v>
      </c>
      <c r="K18" s="7">
        <f ca="1">SUMIF(Fluxo!D:H,J18,Fluxo!G:G)</f>
        <v>300</v>
      </c>
      <c r="L18" s="8">
        <v>12.51</v>
      </c>
      <c r="M18" s="9">
        <f ca="1">L18*K18</f>
        <v>3753</v>
      </c>
      <c r="N18" s="23">
        <v>18.5</v>
      </c>
      <c r="O18" s="31">
        <f ca="1">M18-SUMIF(Fluxo!D:H,J18,Fluxo!H:H)</f>
        <v>1360</v>
      </c>
      <c r="P18" s="32"/>
      <c r="Q18" s="32">
        <v>21</v>
      </c>
      <c r="R18" s="32">
        <f>20.4+22.95+63+84</f>
        <v>190.35</v>
      </c>
      <c r="S18" s="33">
        <f t="shared" ca="1" si="5"/>
        <v>1571.35</v>
      </c>
      <c r="T18" s="12">
        <f ca="1">(L18*K18+Q18+R18)/(K18*D18)-1</f>
        <v>0.6566443794400334</v>
      </c>
      <c r="W18" s="7" t="s">
        <v>55</v>
      </c>
      <c r="X18" s="7" t="s">
        <v>194</v>
      </c>
      <c r="Y18" s="42">
        <f ca="1">M18/($M$38+'Rendimento Ações BR'!$AA$3)</f>
        <v>7.4874744906153201E-2</v>
      </c>
    </row>
    <row r="19" spans="1:36" x14ac:dyDescent="0.25">
      <c r="A19" t="s">
        <v>78</v>
      </c>
      <c r="B19">
        <f>SUMIFS(Fluxo!G:G,Fluxo!D:D,A19,Fluxo!E:E,"Compra")</f>
        <v>400</v>
      </c>
      <c r="C19">
        <f>SUMIFS(Fluxo!G:G,Fluxo!D:D,A19,Fluxo!E:E,"Venda")</f>
        <v>0</v>
      </c>
      <c r="D19" s="5">
        <f>SUMIFS(Fluxo!H:H,Fluxo!D:D,A19,Fluxo!E:E,"Compra")/SUMIFS(Fluxo!G:G,Fluxo!D:D,'Análise Ações BR'!A19,Fluxo!E:E,"compra")</f>
        <v>8.0250000000000004</v>
      </c>
      <c r="E19" s="21">
        <f>IFERROR(SUMIFS(Fluxo!H:H,Fluxo!D:D,A19,Fluxo!E:E,"Venda")/SUMIFS(Fluxo!G:G,Fluxo!D:D,'Análise Ações BR'!A19,Fluxo!E:E,"Venda"),0)</f>
        <v>0</v>
      </c>
      <c r="F19" s="2" t="b">
        <f>IF(E19&lt;&gt;0,E19-D19)</f>
        <v>0</v>
      </c>
      <c r="G19" s="2">
        <f>-F19*C19</f>
        <v>0</v>
      </c>
      <c r="H19" s="35"/>
      <c r="I19" t="s">
        <v>97</v>
      </c>
      <c r="J19" s="7" t="s">
        <v>78</v>
      </c>
      <c r="K19" s="7">
        <f ca="1">SUMIF(Fluxo!D:H,J19,Fluxo!G:G)</f>
        <v>400</v>
      </c>
      <c r="L19" s="8">
        <v>7.13</v>
      </c>
      <c r="M19" s="9">
        <f ca="1">L19*K19</f>
        <v>2852</v>
      </c>
      <c r="N19" s="23">
        <v>13</v>
      </c>
      <c r="O19" s="31">
        <f ca="1">M19-SUMIF(Fluxo!D:H,J19,Fluxo!H:H)</f>
        <v>-358</v>
      </c>
      <c r="P19" s="32"/>
      <c r="Q19" s="32"/>
      <c r="R19" s="32"/>
      <c r="S19" s="33">
        <f t="shared" ca="1" si="5"/>
        <v>-358</v>
      </c>
      <c r="T19" s="12">
        <f ca="1">(L19*K19+Q19)/(K19*D19)-1</f>
        <v>-0.11152647975077878</v>
      </c>
      <c r="W19" s="7" t="s">
        <v>78</v>
      </c>
      <c r="X19" s="7" t="s">
        <v>192</v>
      </c>
      <c r="Y19" s="42">
        <f ca="1">M19/($M$38+'Rendimento Ações BR'!$AA$3)</f>
        <v>5.6899219949999712E-2</v>
      </c>
    </row>
    <row r="20" spans="1:36" x14ac:dyDescent="0.25">
      <c r="A20" t="s">
        <v>26</v>
      </c>
      <c r="B20">
        <f>SUMIFS(Fluxo!G:G,Fluxo!D:D,A20,Fluxo!E:E,"Compra")</f>
        <v>100</v>
      </c>
      <c r="C20">
        <f>SUMIFS(Fluxo!G:G,Fluxo!D:D,A20,Fluxo!E:E,"Venda")</f>
        <v>-100</v>
      </c>
      <c r="D20" s="5">
        <f>SUMIFS(Fluxo!H:H,Fluxo!D:D,A20,Fluxo!E:E,"Compra")/SUMIFS(Fluxo!G:G,Fluxo!D:D,'Análise Ações BR'!A20,Fluxo!E:E,"compra")</f>
        <v>33.976000000000006</v>
      </c>
      <c r="E20" s="21">
        <f>IFERROR(SUMIFS(Fluxo!H:H,Fluxo!D:D,A20,Fluxo!E:E,"Venda")/SUMIFS(Fluxo!G:G,Fluxo!D:D,'Análise Ações BR'!A20,Fluxo!E:E,"Venda"),0)</f>
        <v>35.270000000000003</v>
      </c>
      <c r="F20" s="2">
        <f t="shared" si="3"/>
        <v>1.2939999999999969</v>
      </c>
      <c r="G20" s="2">
        <f t="shared" si="4"/>
        <v>129.39999999999969</v>
      </c>
      <c r="H20" s="35"/>
      <c r="I20" t="s">
        <v>97</v>
      </c>
      <c r="J20" s="7" t="s">
        <v>26</v>
      </c>
      <c r="K20" s="7">
        <f ca="1">SUMIF(Fluxo!D:H,J20,Fluxo!G:G)</f>
        <v>0</v>
      </c>
      <c r="L20" s="8">
        <v>39.51</v>
      </c>
      <c r="M20" s="9">
        <f t="shared" ca="1" si="2"/>
        <v>0</v>
      </c>
      <c r="N20" s="23"/>
      <c r="O20" s="31">
        <f ca="1">M20-SUMIF(Fluxo!D:H,J20,Fluxo!H:H)</f>
        <v>129.40000000000009</v>
      </c>
      <c r="P20" s="32"/>
      <c r="Q20" s="32">
        <v>4.0999999999999996</v>
      </c>
      <c r="R20" s="32">
        <v>14.2</v>
      </c>
      <c r="S20" s="33">
        <f t="shared" ca="1" si="5"/>
        <v>147.70000000000007</v>
      </c>
      <c r="T20" s="12">
        <f ca="1">(S20+R20+E20*B20)/(D20*B20)-1</f>
        <v>8.5736990817047332E-2</v>
      </c>
      <c r="V20" s="4"/>
      <c r="W20" s="7" t="s">
        <v>26</v>
      </c>
      <c r="X20" s="7"/>
      <c r="Y20" s="42">
        <f ca="1">M20/($M$38+'Rendimento Ações BR'!$AA$3)</f>
        <v>0</v>
      </c>
      <c r="AJ20" t="s">
        <v>200</v>
      </c>
    </row>
    <row r="21" spans="1:36" x14ac:dyDescent="0.25">
      <c r="A21" t="s">
        <v>41</v>
      </c>
      <c r="B21">
        <f>SUMIFS(Fluxo!G:G,Fluxo!D:D,A21,Fluxo!E:E,"Compra")</f>
        <v>30</v>
      </c>
      <c r="C21">
        <f>SUMIFS(Fluxo!G:G,Fluxo!D:D,A21,Fluxo!E:E,"Venda")</f>
        <v>-30</v>
      </c>
      <c r="D21" s="5">
        <f>SUMIFS(Fluxo!H:H,Fluxo!D:D,A21,Fluxo!E:E,"Compra")/SUMIFS(Fluxo!G:G,Fluxo!D:D,'Análise Ações BR'!A21,Fluxo!E:E,"compra")</f>
        <v>19.5</v>
      </c>
      <c r="E21" s="21">
        <f>IFERROR(SUMIFS(Fluxo!H:H,Fluxo!D:D,A21,Fluxo!E:E,"Venda")/SUMIFS(Fluxo!G:G,Fluxo!D:D,'Análise Ações BR'!A21,Fluxo!E:E,"Venda"),0)</f>
        <v>21.45</v>
      </c>
      <c r="F21" s="2">
        <f>IF(E21&lt;&gt;0,E21-D21)</f>
        <v>1.9499999999999993</v>
      </c>
      <c r="G21" s="2">
        <f>-F21*C21</f>
        <v>58.499999999999979</v>
      </c>
      <c r="H21" s="35"/>
      <c r="J21" s="7" t="s">
        <v>41</v>
      </c>
      <c r="K21" s="7">
        <f ca="1">SUMIF(Fluxo!D:H,J21,Fluxo!G:G)</f>
        <v>0</v>
      </c>
      <c r="L21" s="8">
        <v>0</v>
      </c>
      <c r="M21" s="9">
        <f t="shared" ca="1" si="2"/>
        <v>0</v>
      </c>
      <c r="N21" s="23"/>
      <c r="O21" s="31">
        <f ca="1">M21-SUMIF(Fluxo!D76:H1000,J21,Fluxo!H76:H1000)</f>
        <v>0</v>
      </c>
      <c r="P21" s="32">
        <f ca="1">-SUMIF(Fluxo!D1:H75,J21,Fluxo!H1:H75)</f>
        <v>58.5</v>
      </c>
      <c r="Q21" s="32"/>
      <c r="R21" s="32"/>
      <c r="S21" s="33">
        <f t="shared" ca="1" si="5"/>
        <v>58.5</v>
      </c>
      <c r="T21" s="12"/>
      <c r="W21" s="7" t="s">
        <v>41</v>
      </c>
      <c r="X21" s="7"/>
      <c r="Y21" s="42">
        <f ca="1">M21/($M$38+'Rendimento Ações BR'!$AA$3)</f>
        <v>0</v>
      </c>
      <c r="AJ21" t="s">
        <v>201</v>
      </c>
    </row>
    <row r="22" spans="1:36" x14ac:dyDescent="0.25">
      <c r="A22" t="s">
        <v>76</v>
      </c>
      <c r="B22">
        <f>SUMIFS(Fluxo!G:G,Fluxo!D:D,A22,Fluxo!E:E,"Compra")</f>
        <v>90</v>
      </c>
      <c r="C22">
        <f>SUMIFS(Fluxo!G:G,Fluxo!D:D,A22,Fluxo!E:E,"Venda")</f>
        <v>-90</v>
      </c>
      <c r="D22" s="5">
        <f>SUMIFS(Fluxo!H:H,Fluxo!D:D,A22,Fluxo!E:E,"Compra")/SUMIFS(Fluxo!G:G,Fluxo!D:D,'Análise Ações BR'!A22,Fluxo!E:E,"compra")</f>
        <v>42.39</v>
      </c>
      <c r="E22" s="21">
        <f>IFERROR(SUMIFS(Fluxo!H:H,Fluxo!D:D,A22,Fluxo!E:E,"Venda")/SUMIFS(Fluxo!G:G,Fluxo!D:D,'Análise Ações BR'!A22,Fluxo!E:E,"Venda"),0)</f>
        <v>37.22</v>
      </c>
      <c r="F22" s="2">
        <f>IF(E22&lt;&gt;0,E22-D22)</f>
        <v>-5.1700000000000017</v>
      </c>
      <c r="G22" s="2">
        <f>-F22*C22</f>
        <v>-465.30000000000018</v>
      </c>
      <c r="H22" s="35"/>
      <c r="J22" s="7" t="s">
        <v>76</v>
      </c>
      <c r="K22" s="7">
        <f ca="1">SUMIF(Fluxo!D:H,J22,Fluxo!G:G)</f>
        <v>0</v>
      </c>
      <c r="L22" s="8">
        <v>37.25</v>
      </c>
      <c r="M22" s="9">
        <f t="shared" ca="1" si="2"/>
        <v>0</v>
      </c>
      <c r="N22" s="23">
        <v>58</v>
      </c>
      <c r="O22" s="31">
        <f ca="1">M22-SUMIF(Fluxo!D77:H1001,J22,Fluxo!H77:H1001)</f>
        <v>-465.30000000000018</v>
      </c>
      <c r="P22" s="32"/>
      <c r="R22" s="32">
        <f>3.89+2.33</f>
        <v>6.2200000000000006</v>
      </c>
      <c r="S22" s="33">
        <f t="shared" ca="1" si="5"/>
        <v>-459.08000000000015</v>
      </c>
      <c r="T22" s="12" t="e">
        <f ca="1">(L22*K22+Q22+R22)/(K22*D22)-1</f>
        <v>#DIV/0!</v>
      </c>
      <c r="W22" s="7" t="s">
        <v>76</v>
      </c>
      <c r="X22" s="7"/>
      <c r="Y22" s="42">
        <f ca="1">M22/($M$38+'Rendimento Ações BR'!$AA$3)</f>
        <v>0</v>
      </c>
      <c r="AJ22" t="s">
        <v>202</v>
      </c>
    </row>
    <row r="23" spans="1:36" x14ac:dyDescent="0.25">
      <c r="A23" t="s">
        <v>19</v>
      </c>
      <c r="B23">
        <f>SUMIFS(Fluxo!G:G,Fluxo!D:D,A23,Fluxo!E:E,"Compra")</f>
        <v>133</v>
      </c>
      <c r="C23">
        <f>SUMIFS(Fluxo!G:G,Fluxo!D:D,A23,Fluxo!E:E,"Venda")</f>
        <v>-33</v>
      </c>
      <c r="D23" s="5">
        <f>SUMIFS(Fluxo!H:H,Fluxo!D:D,A23,Fluxo!E:E,"Compra")/SUMIFS(Fluxo!G:G,Fluxo!D:D,'Análise Ações BR'!A23,Fluxo!E:E,"compra")</f>
        <v>19.950751879699247</v>
      </c>
      <c r="E23" s="21">
        <f>IFERROR(SUMIFS(Fluxo!H:H,Fluxo!D:D,A23,Fluxo!E:E,"Venda")/SUMIFS(Fluxo!G:G,Fluxo!D:D,'Análise Ações BR'!A23,Fluxo!E:E,"Venda"),0)</f>
        <v>14.843712121212121</v>
      </c>
      <c r="F23" s="2">
        <f t="shared" ref="F23:F37" si="14">IF(E23&lt;&gt;0,E23-D23)</f>
        <v>-5.1070397584871259</v>
      </c>
      <c r="G23" s="2">
        <f t="shared" ref="G23:G37" si="15">-F23*C23</f>
        <v>-168.53231203007516</v>
      </c>
      <c r="H23" s="35"/>
      <c r="J23" s="7" t="s">
        <v>19</v>
      </c>
      <c r="K23" s="7">
        <f ca="1">SUMIF(Fluxo!D:H,J23,Fluxo!G:G)</f>
        <v>100</v>
      </c>
      <c r="L23" s="8">
        <v>10.81</v>
      </c>
      <c r="M23" s="9">
        <f t="shared" ca="1" si="2"/>
        <v>1081</v>
      </c>
      <c r="N23" s="23">
        <v>28</v>
      </c>
      <c r="O23" s="31">
        <f ca="1">M23-SUMIF(Fluxo!D79:H1000,J23,Fluxo!H79:H1000)</f>
        <v>-1248</v>
      </c>
      <c r="P23" s="32">
        <f ca="1">-SUMIF(Fluxo!D1:H78,J23,Fluxo!H1:H78)</f>
        <v>165.39249999999998</v>
      </c>
      <c r="R23" s="32">
        <v>2.2400000000000002</v>
      </c>
      <c r="S23" s="33">
        <f t="shared" ca="1" si="5"/>
        <v>-1080.3675000000001</v>
      </c>
      <c r="T23" s="12">
        <f ca="1">(L23*K23+R23)/(K23*D23)-1</f>
        <v>-0.45704301946522441</v>
      </c>
      <c r="W23" s="7" t="s">
        <v>19</v>
      </c>
      <c r="X23" s="7" t="s">
        <v>193</v>
      </c>
      <c r="Y23" s="42">
        <f ca="1">M23/($M$38+'Rendimento Ações BR'!$AA$3)</f>
        <v>2.1566639819757955E-2</v>
      </c>
      <c r="AJ23" t="s">
        <v>203</v>
      </c>
    </row>
    <row r="24" spans="1:36" x14ac:dyDescent="0.25">
      <c r="A24" t="s">
        <v>69</v>
      </c>
      <c r="B24">
        <f>SUMIFS(Fluxo!G:G,Fluxo!D:D,A24,Fluxo!E:E,"Compra")</f>
        <v>60</v>
      </c>
      <c r="C24">
        <f>SUMIFS(Fluxo!G:G,Fluxo!D:D,A24,Fluxo!E:E,"Venda")</f>
        <v>-60</v>
      </c>
      <c r="D24" s="5">
        <f>SUMIFS(Fluxo!H:H,Fluxo!D:D,A24,Fluxo!E:E,"Compra")/SUMIFS(Fluxo!G:G,Fluxo!D:D,'Análise Ações BR'!A24,Fluxo!E:E,"compra")</f>
        <v>48.36</v>
      </c>
      <c r="E24" s="21">
        <f>IFERROR(SUMIFS(Fluxo!H:H,Fluxo!D:D,A24,Fluxo!E:E,"Venda")/SUMIFS(Fluxo!G:G,Fluxo!D:D,'Análise Ações BR'!A24,Fluxo!E:E,"Venda"),0)</f>
        <v>50.9</v>
      </c>
      <c r="F24" s="2">
        <f>IF(E24&lt;&gt;0,E24-D24)</f>
        <v>2.5399999999999991</v>
      </c>
      <c r="G24" s="2">
        <f>-F24*C24</f>
        <v>152.39999999999995</v>
      </c>
      <c r="H24" s="35"/>
      <c r="I24" t="s">
        <v>97</v>
      </c>
      <c r="J24" s="7" t="s">
        <v>69</v>
      </c>
      <c r="K24" s="7">
        <f ca="1">SUMIF(Fluxo!D:H,J24,Fluxo!G:G)</f>
        <v>0</v>
      </c>
      <c r="L24" s="8">
        <v>51.62</v>
      </c>
      <c r="M24" s="9">
        <f t="shared" ca="1" si="2"/>
        <v>0</v>
      </c>
      <c r="N24" s="23"/>
      <c r="O24" s="31">
        <f ca="1">M24-SUMIF(Fluxo!D:H,J24,Fluxo!H:H)</f>
        <v>152.40000000000009</v>
      </c>
      <c r="P24" s="32"/>
      <c r="Q24" s="32"/>
      <c r="R24" s="32"/>
      <c r="S24" s="33">
        <f t="shared" ca="1" si="5"/>
        <v>152.40000000000009</v>
      </c>
      <c r="T24" s="12">
        <f>L24/D24-1</f>
        <v>6.7411083540115824E-2</v>
      </c>
      <c r="W24" s="7" t="s">
        <v>69</v>
      </c>
      <c r="X24" s="7"/>
      <c r="Y24" s="42">
        <f ca="1">M24/($M$38+'Rendimento Ações BR'!$AA$3)</f>
        <v>0</v>
      </c>
    </row>
    <row r="25" spans="1:36" x14ac:dyDescent="0.25">
      <c r="A25" t="s">
        <v>27</v>
      </c>
      <c r="B25">
        <f>SUMIFS(Fluxo!G:G,Fluxo!D:D,A25,Fluxo!E:E,"Compra")</f>
        <v>31</v>
      </c>
      <c r="C25">
        <f>SUMIFS(Fluxo!G:G,Fluxo!D:D,A25,Fluxo!E:E,"Venda")</f>
        <v>-31</v>
      </c>
      <c r="D25" s="5">
        <f>SUMIFS(Fluxo!H:H,Fluxo!D:D,A25,Fluxo!E:E,"Compra")/SUMIFS(Fluxo!G:G,Fluxo!D:D,'Análise Ações BR'!A25,Fluxo!E:E,"compra")</f>
        <v>65.639032258064518</v>
      </c>
      <c r="E25" s="21">
        <f>IFERROR(SUMIFS(Fluxo!H:H,Fluxo!D:D,A25,Fluxo!E:E,"Venda")/SUMIFS(Fluxo!G:G,Fluxo!D:D,'Análise Ações BR'!A25,Fluxo!E:E,"Venda"),0)</f>
        <v>76.13</v>
      </c>
      <c r="F25" s="2">
        <f t="shared" si="14"/>
        <v>10.490967741935478</v>
      </c>
      <c r="G25" s="2">
        <f t="shared" si="15"/>
        <v>325.2199999999998</v>
      </c>
      <c r="H25" s="35"/>
      <c r="J25" s="7" t="s">
        <v>27</v>
      </c>
      <c r="K25" s="7">
        <f ca="1">SUMIF(Fluxo!D:H,J25,Fluxo!G:G)</f>
        <v>0</v>
      </c>
      <c r="L25" s="8">
        <v>76.13</v>
      </c>
      <c r="M25" s="9">
        <f t="shared" ca="1" si="2"/>
        <v>0</v>
      </c>
      <c r="N25" s="23"/>
      <c r="O25" s="31">
        <f ca="1">M25-SUMIF(Fluxo!D75:H1000,J25,Fluxo!H75:H1000)</f>
        <v>0</v>
      </c>
      <c r="P25" s="32">
        <f ca="1">-SUMIF(Fluxo!D1:H75,J25,Fluxo!H1:H75)</f>
        <v>325.2199999999998</v>
      </c>
      <c r="Q25" s="32"/>
      <c r="R25" s="32"/>
      <c r="S25" s="33">
        <f t="shared" ca="1" si="5"/>
        <v>325.2199999999998</v>
      </c>
      <c r="T25" s="12">
        <f>L25/D25-1</f>
        <v>0.15982819034701023</v>
      </c>
      <c r="W25" s="7" t="s">
        <v>27</v>
      </c>
      <c r="X25" s="7"/>
      <c r="Y25" s="42">
        <f ca="1">M25/($M$38+'Rendimento Ações BR'!$AA$3)</f>
        <v>0</v>
      </c>
    </row>
    <row r="26" spans="1:36" x14ac:dyDescent="0.25">
      <c r="A26" t="s">
        <v>13</v>
      </c>
      <c r="B26">
        <f>SUMIFS(Fluxo!G:G,Fluxo!D:D,A26,Fluxo!E:E,"Compra")</f>
        <v>200</v>
      </c>
      <c r="C26">
        <f>SUMIFS(Fluxo!G:G,Fluxo!D:D,A26,Fluxo!E:E,"Venda")</f>
        <v>-100</v>
      </c>
      <c r="D26" s="5">
        <f>SUMIFS(Fluxo!H:H,Fluxo!D:D,A26,Fluxo!E:E,"Compra")/SUMIFS(Fluxo!G:G,Fluxo!D:D,'Análise Ações BR'!A26,Fluxo!E:E,"compra")</f>
        <v>15.5875</v>
      </c>
      <c r="E26" s="21">
        <f>IFERROR(SUMIFS(Fluxo!H:H,Fluxo!D:D,A26,Fluxo!E:E,"Venda")/SUMIFS(Fluxo!G:G,Fluxo!D:D,'Análise Ações BR'!A26,Fluxo!E:E,"Venda"),0)</f>
        <v>23</v>
      </c>
      <c r="F26" s="2">
        <f t="shared" si="14"/>
        <v>7.4124999999999996</v>
      </c>
      <c r="G26" s="2">
        <f t="shared" si="15"/>
        <v>741.25</v>
      </c>
      <c r="H26" s="35"/>
      <c r="J26" s="7" t="s">
        <v>13</v>
      </c>
      <c r="K26" s="7">
        <f ca="1">SUMIF(Fluxo!D:H,J26,Fluxo!G:G)</f>
        <v>100</v>
      </c>
      <c r="L26" s="8">
        <v>27.25</v>
      </c>
      <c r="M26" s="9">
        <f t="shared" ca="1" si="2"/>
        <v>2725</v>
      </c>
      <c r="N26" s="23">
        <v>33</v>
      </c>
      <c r="O26" s="31">
        <f ca="1">M26-SUMIF(Fluxo!D:H,J26,Fluxo!H:H)</f>
        <v>1907.5</v>
      </c>
      <c r="P26" s="32"/>
      <c r="Q26">
        <v>0.06</v>
      </c>
      <c r="R26" s="32">
        <f>78.74+0.42+160.99</f>
        <v>240.15</v>
      </c>
      <c r="S26" s="33">
        <f t="shared" ca="1" si="5"/>
        <v>2147.71</v>
      </c>
      <c r="T26" s="12">
        <f ca="1">(L26*K26+Q26+R26)/(K26*D26)-1</f>
        <v>0.9022999198075381</v>
      </c>
      <c r="W26" s="7" t="s">
        <v>13</v>
      </c>
      <c r="X26" s="7" t="s">
        <v>196</v>
      </c>
      <c r="Y26" s="42">
        <f ca="1">M26/($M$38+'Rendimento Ações BR'!$AA$3)</f>
        <v>5.4365488907345445E-2</v>
      </c>
    </row>
    <row r="27" spans="1:36" x14ac:dyDescent="0.25">
      <c r="A27" t="s">
        <v>89</v>
      </c>
      <c r="B27">
        <f>SUMIFS(Fluxo!G:G,Fluxo!D:D,A27,Fluxo!E:E,"Compra")</f>
        <v>100</v>
      </c>
      <c r="C27">
        <f>SUMIFS(Fluxo!G:G,Fluxo!D:D,A27,Fluxo!E:E,"Venda")</f>
        <v>0</v>
      </c>
      <c r="D27" s="5">
        <f>SUMIFS(Fluxo!H:H,Fluxo!D:D,A27,Fluxo!E:E,"Compra")/SUMIFS(Fluxo!G:G,Fluxo!D:D,'Análise Ações BR'!A27,Fluxo!E:E,"compra")</f>
        <v>23.14</v>
      </c>
      <c r="E27" s="21">
        <f>IFERROR(SUMIFS(Fluxo!H:H,Fluxo!D:D,A27,Fluxo!E:E,"Venda")/SUMIFS(Fluxo!G:G,Fluxo!D:D,'Análise Ações BR'!A27,Fluxo!E:E,"Venda"),0)</f>
        <v>0</v>
      </c>
      <c r="F27" s="2" t="b">
        <f t="shared" ref="F27" si="16">IF(E27&lt;&gt;0,E27-D27)</f>
        <v>0</v>
      </c>
      <c r="G27" s="2">
        <f t="shared" ref="G27" si="17">-F27*C27</f>
        <v>0</v>
      </c>
      <c r="H27" s="35"/>
      <c r="J27" s="7" t="s">
        <v>89</v>
      </c>
      <c r="K27" s="7">
        <f ca="1">SUMIF(Fluxo!D:H,J27,Fluxo!G:G)</f>
        <v>100</v>
      </c>
      <c r="L27" s="8">
        <v>18.77</v>
      </c>
      <c r="M27" s="9">
        <f t="shared" ca="1" si="2"/>
        <v>1877</v>
      </c>
      <c r="N27" s="23">
        <v>32</v>
      </c>
      <c r="O27" s="31">
        <f ca="1">M27-SUMIF(Fluxo!D:H,J27,Fluxo!H:H)</f>
        <v>-437</v>
      </c>
      <c r="P27" s="32"/>
      <c r="Q27" s="32"/>
      <c r="R27" s="32">
        <v>0.65</v>
      </c>
      <c r="S27" s="33">
        <f t="shared" ca="1" si="5"/>
        <v>-436.35</v>
      </c>
      <c r="T27" s="12">
        <f ca="1">(L27*K27+Q27)/(K27*D27)-1</f>
        <v>-0.18885047536732935</v>
      </c>
      <c r="W27" s="7" t="s">
        <v>89</v>
      </c>
      <c r="X27" s="7" t="s">
        <v>193</v>
      </c>
      <c r="Y27" s="42">
        <f ca="1">M27/($M$38+'Rendimento Ações BR'!$AA$3)</f>
        <v>3.7447347772142169E-2</v>
      </c>
    </row>
    <row r="28" spans="1:36" x14ac:dyDescent="0.25">
      <c r="A28" t="s">
        <v>12</v>
      </c>
      <c r="B28">
        <f>SUMIFS(Fluxo!G:G,Fluxo!D:D,A28,Fluxo!E:E,"Compra")</f>
        <v>250</v>
      </c>
      <c r="C28">
        <f>SUMIFS(Fluxo!G:G,Fluxo!D:D,A28,Fluxo!E:E,"Venda")</f>
        <v>-250</v>
      </c>
      <c r="D28" s="5">
        <f>SUMIFS(Fluxo!H:H,Fluxo!D:D,A28,Fluxo!E:E,"Compra")/SUMIFS(Fluxo!G:G,Fluxo!D:D,'Análise Ações BR'!A28,Fluxo!E:E,"compra")</f>
        <v>30.745999999999999</v>
      </c>
      <c r="E28" s="21">
        <f>IFERROR(SUMIFS(Fluxo!H:H,Fluxo!D:D,A28,Fluxo!E:E,"Venda")/SUMIFS(Fluxo!G:G,Fluxo!D:D,'Análise Ações BR'!A28,Fluxo!E:E,"Venda"),0)</f>
        <v>44</v>
      </c>
      <c r="F28" s="2">
        <f t="shared" si="14"/>
        <v>13.254000000000001</v>
      </c>
      <c r="G28" s="2">
        <f t="shared" si="15"/>
        <v>3313.5000000000005</v>
      </c>
      <c r="H28" s="35"/>
      <c r="J28" s="7" t="s">
        <v>12</v>
      </c>
      <c r="K28" s="7">
        <f ca="1">SUMIF(Fluxo!D:H,J28,Fluxo!G:G)</f>
        <v>0</v>
      </c>
      <c r="L28" s="8">
        <v>0</v>
      </c>
      <c r="M28" s="9">
        <f t="shared" ca="1" si="2"/>
        <v>0</v>
      </c>
      <c r="N28" s="23"/>
      <c r="O28" s="31">
        <f ca="1">SUMIF(Fluxo!D96:H1000,J28,Fluxo!H96:H1000)</f>
        <v>0</v>
      </c>
      <c r="P28" s="32">
        <f ca="1">-SUMIF(Fluxo!D1:H95,J28,Fluxo!H1:H95)</f>
        <v>3313.5</v>
      </c>
      <c r="Q28" s="32">
        <f>7.33+3.71</f>
        <v>11.04</v>
      </c>
      <c r="R28" s="32"/>
      <c r="S28" s="33">
        <f t="shared" ca="1" si="5"/>
        <v>3324.54</v>
      </c>
      <c r="T28" s="12"/>
      <c r="W28" s="7" t="s">
        <v>12</v>
      </c>
      <c r="X28" s="7"/>
      <c r="Y28" s="42">
        <f ca="1">M28/($M$38+'Rendimento Ações BR'!$AA$3)</f>
        <v>0</v>
      </c>
    </row>
    <row r="29" spans="1:36" x14ac:dyDescent="0.25">
      <c r="A29" t="s">
        <v>199</v>
      </c>
      <c r="B29">
        <f>SUMIFS(Fluxo!G:G,Fluxo!D:D,A29,Fluxo!E:E,"Compra")</f>
        <v>60</v>
      </c>
      <c r="C29">
        <f>SUMIFS(Fluxo!G:G,Fluxo!D:D,A29,Fluxo!E:E,"Venda")</f>
        <v>0</v>
      </c>
      <c r="D29" s="5">
        <f>SUMIFS(Fluxo!H:H,Fluxo!D:D,A29,Fluxo!E:E,"Compra")/SUMIFS(Fluxo!G:G,Fluxo!D:D,'Análise Ações BR'!A29,Fluxo!E:E,"compra")</f>
        <v>40.479999999999997</v>
      </c>
      <c r="E29" s="21">
        <f>IFERROR(SUMIFS(Fluxo!H:H,Fluxo!D:D,A29,Fluxo!E:E,"Venda")/SUMIFS(Fluxo!G:G,Fluxo!D:D,'Análise Ações BR'!A29,Fluxo!E:E,"Venda"),0)</f>
        <v>0</v>
      </c>
      <c r="F29" s="2" t="b">
        <f t="shared" ref="F29" si="18">IF(E29&lt;&gt;0,E29-D29)</f>
        <v>0</v>
      </c>
      <c r="G29" s="2">
        <f t="shared" ref="G29" si="19">-F29*C29</f>
        <v>0</v>
      </c>
      <c r="H29" s="35"/>
      <c r="J29" s="7" t="s">
        <v>199</v>
      </c>
      <c r="K29" s="7">
        <f ca="1">SUMIF(Fluxo!D:H,J29,Fluxo!G:G)</f>
        <v>60</v>
      </c>
      <c r="L29" s="8">
        <v>34.4</v>
      </c>
      <c r="M29" s="9">
        <f t="shared" ca="1" si="2"/>
        <v>2064</v>
      </c>
      <c r="N29" s="23">
        <v>50</v>
      </c>
      <c r="O29" s="31">
        <f ca="1">M29-SUMIF(Fluxo!D:H,J29,Fluxo!H:H)</f>
        <v>-364.79999999999973</v>
      </c>
      <c r="P29" s="32"/>
      <c r="Q29" s="32"/>
      <c r="R29" s="32">
        <v>46.68</v>
      </c>
      <c r="S29" s="33">
        <f t="shared" ca="1" si="5"/>
        <v>-318.11999999999972</v>
      </c>
      <c r="T29" s="12">
        <f ca="1">(L29*K29+Q29+R29)/(K29*D29)-1</f>
        <v>-0.13097826086956521</v>
      </c>
      <c r="W29" s="7" t="s">
        <v>199</v>
      </c>
      <c r="X29" s="7" t="s">
        <v>182</v>
      </c>
      <c r="Y29" s="42">
        <f ca="1">M29/($M$38+'Rendimento Ações BR'!$AA$3)</f>
        <v>4.1178117102664585E-2</v>
      </c>
    </row>
    <row r="30" spans="1:36" x14ac:dyDescent="0.25">
      <c r="A30" t="s">
        <v>91</v>
      </c>
      <c r="B30">
        <f>SUMIFS(Fluxo!G:G,Fluxo!D:D,A30,Fluxo!E:E,"Compra")</f>
        <v>100</v>
      </c>
      <c r="C30">
        <f>SUMIFS(Fluxo!G:G,Fluxo!D:D,A30,Fluxo!E:E,"Venda")</f>
        <v>0</v>
      </c>
      <c r="D30" s="5">
        <f>SUMIFS(Fluxo!H:H,Fluxo!D:D,A30,Fluxo!E:E,"Compra")/SUMIFS(Fluxo!G:G,Fluxo!D:D,'Análise Ações BR'!A30,Fluxo!E:E,"compra")</f>
        <v>23.35</v>
      </c>
      <c r="E30" s="21">
        <f>IFERROR(SUMIFS(Fluxo!H:H,Fluxo!D:D,A30,Fluxo!E:E,"Venda")/SUMIFS(Fluxo!G:G,Fluxo!D:D,'Análise Ações BR'!A30,Fluxo!E:E,"Venda"),0)</f>
        <v>0</v>
      </c>
      <c r="F30" s="2" t="b">
        <f t="shared" ref="F30" si="20">IF(E30&lt;&gt;0,E30-D30)</f>
        <v>0</v>
      </c>
      <c r="G30" s="2">
        <f t="shared" ref="G30" si="21">-F30*C30</f>
        <v>0</v>
      </c>
      <c r="H30" s="35"/>
      <c r="J30" s="7" t="s">
        <v>91</v>
      </c>
      <c r="K30" s="7">
        <f ca="1">SUMIF(Fluxo!D:H,J30,Fluxo!G:G)</f>
        <v>100</v>
      </c>
      <c r="L30" s="8">
        <v>16.989999999999998</v>
      </c>
      <c r="M30" s="9">
        <f t="shared" ca="1" si="2"/>
        <v>1698.9999999999998</v>
      </c>
      <c r="N30" s="23">
        <v>29</v>
      </c>
      <c r="O30" s="31">
        <f ca="1">M30-SUMIF(Fluxo!D:H,J30,Fluxo!H:H)</f>
        <v>-636.00000000000023</v>
      </c>
      <c r="P30" s="32"/>
      <c r="Q30" s="32"/>
      <c r="R30" s="32">
        <v>1.67</v>
      </c>
      <c r="S30" s="33">
        <f t="shared" ca="1" si="5"/>
        <v>-634.33000000000027</v>
      </c>
      <c r="T30" s="12">
        <f ca="1">(L30*K30+Q30+R30)/(K30*D30)-1</f>
        <v>-0.2716616702355461</v>
      </c>
      <c r="W30" s="7" t="s">
        <v>91</v>
      </c>
      <c r="X30" s="7" t="s">
        <v>83</v>
      </c>
      <c r="Y30" s="42">
        <f ca="1">M30/($M$38+'Rendimento Ações BR'!$AA$3)</f>
        <v>3.3896134184799961E-2</v>
      </c>
    </row>
    <row r="31" spans="1:36" x14ac:dyDescent="0.25">
      <c r="A31" t="s">
        <v>53</v>
      </c>
      <c r="B31">
        <f>SUMIFS(Fluxo!G:G,Fluxo!D:D,A31,Fluxo!E:E,"Compra")</f>
        <v>120</v>
      </c>
      <c r="C31">
        <f>SUMIFS(Fluxo!G:G,Fluxo!D:D,A31,Fluxo!E:E,"Venda")</f>
        <v>-60</v>
      </c>
      <c r="D31" s="5">
        <f>SUMIFS(Fluxo!H:H,Fluxo!D:D,A31,Fluxo!E:E,"Compra")/SUMIFS(Fluxo!G:G,Fluxo!D:D,'Análise Ações BR'!A31,Fluxo!E:E,"compra")</f>
        <v>26.597500000000004</v>
      </c>
      <c r="E31" s="21">
        <f>IFERROR(SUMIFS(Fluxo!H:H,Fluxo!D:D,A31,Fluxo!E:E,"Venda")/SUMIFS(Fluxo!G:G,Fluxo!D:D,'Análise Ações BR'!A31,Fluxo!E:E,"Venda"),0)</f>
        <v>40.89</v>
      </c>
      <c r="F31" s="2">
        <f>IF(E31&lt;&gt;0,E31-D31)</f>
        <v>14.292499999999997</v>
      </c>
      <c r="G31" s="2">
        <f>-F31*C31</f>
        <v>857.54999999999984</v>
      </c>
      <c r="H31" s="35">
        <f>2232.25/89.29</f>
        <v>25</v>
      </c>
      <c r="I31" t="s">
        <v>97</v>
      </c>
      <c r="J31" s="7" t="s">
        <v>53</v>
      </c>
      <c r="K31" s="7">
        <f ca="1">SUMIF(Fluxo!D:H,J31,Fluxo!G:G)</f>
        <v>60</v>
      </c>
      <c r="L31" s="8">
        <v>32.76</v>
      </c>
      <c r="M31" s="9">
        <f t="shared" ca="1" si="2"/>
        <v>1965.6</v>
      </c>
      <c r="N31" s="23">
        <v>41</v>
      </c>
      <c r="O31" s="31">
        <f ca="1">M31-SUMIF(Fluxo!D:H,J31,Fluxo!H:H)</f>
        <v>1227.2999999999997</v>
      </c>
      <c r="P31" s="32"/>
      <c r="Q31" s="32">
        <v>5.36</v>
      </c>
      <c r="R31" s="32">
        <f>10.2+10.77+9.18</f>
        <v>30.15</v>
      </c>
      <c r="S31" s="33">
        <f t="shared" ca="1" si="5"/>
        <v>1262.8099999999997</v>
      </c>
      <c r="T31" s="12">
        <f ca="1">(L31*K31+Q31+R31)/(K31*D31)-1</f>
        <v>0.25394617288592269</v>
      </c>
      <c r="W31" s="7" t="s">
        <v>53</v>
      </c>
      <c r="X31" s="7" t="s">
        <v>83</v>
      </c>
      <c r="Y31" s="42">
        <f ca="1">M31/($M$38+'Rendimento Ações BR'!$AA$3)</f>
        <v>3.9214974310560806E-2</v>
      </c>
    </row>
    <row r="32" spans="1:36" x14ac:dyDescent="0.25">
      <c r="A32" t="s">
        <v>18</v>
      </c>
      <c r="B32">
        <f>SUMIFS(Fluxo!G:G,Fluxo!D:D,A32,Fluxo!E:E,"Compra")</f>
        <v>90</v>
      </c>
      <c r="C32">
        <f>SUMIFS(Fluxo!G:G,Fluxo!D:D,A32,Fluxo!E:E,"Venda")</f>
        <v>-30</v>
      </c>
      <c r="D32" s="5">
        <f>SUMIFS(Fluxo!H:H,Fluxo!D:D,A32,Fluxo!E:E,"Compra")/SUMIFS(Fluxo!G:G,Fluxo!D:D,'Análise Ações BR'!A32,Fluxo!E:E,"compra")</f>
        <v>61.540000000000006</v>
      </c>
      <c r="E32" s="21">
        <f>IFERROR(SUMIFS(Fluxo!H:H,Fluxo!D:D,A32,Fluxo!E:E,"Venda")/SUMIFS(Fluxo!G:G,Fluxo!D:D,'Análise Ações BR'!A32,Fluxo!E:E,"Venda"),0)</f>
        <v>67.5</v>
      </c>
      <c r="F32" s="2">
        <f t="shared" si="14"/>
        <v>5.9599999999999937</v>
      </c>
      <c r="G32" s="2">
        <f t="shared" si="15"/>
        <v>178.79999999999981</v>
      </c>
      <c r="H32" s="35"/>
      <c r="I32" t="s">
        <v>97</v>
      </c>
      <c r="J32" s="7" t="s">
        <v>18</v>
      </c>
      <c r="K32" s="7">
        <f ca="1">SUMIF(Fluxo!D:H,J32,Fluxo!G:G)</f>
        <v>60</v>
      </c>
      <c r="L32" s="8">
        <v>71.61</v>
      </c>
      <c r="M32" s="9">
        <f t="shared" ca="1" si="2"/>
        <v>4296.6000000000004</v>
      </c>
      <c r="N32" s="23">
        <v>130</v>
      </c>
      <c r="O32" s="31">
        <f ca="1">M32-SUMIF(Fluxo!D:H,J32,Fluxo!H:H)</f>
        <v>783</v>
      </c>
      <c r="P32" s="32"/>
      <c r="Q32" s="32">
        <f>50.87+84.6</f>
        <v>135.47</v>
      </c>
      <c r="R32" s="32">
        <f>42.62+205.55+88.15+43.22+491.83</f>
        <v>871.37000000000012</v>
      </c>
      <c r="S32" s="33">
        <f t="shared" ca="1" si="5"/>
        <v>1789.8400000000001</v>
      </c>
      <c r="T32" s="12">
        <f ca="1">(L32*K32+Q32+R32)/(K32*D32)-1</f>
        <v>0.43631242552269511</v>
      </c>
      <c r="W32" s="7" t="s">
        <v>18</v>
      </c>
      <c r="X32" s="7" t="s">
        <v>194</v>
      </c>
      <c r="Y32" s="42">
        <f ca="1">M32/($M$38+'Rendimento Ações BR'!$AA$3)</f>
        <v>8.5719911794238698E-2</v>
      </c>
    </row>
    <row r="33" spans="1:25" x14ac:dyDescent="0.25">
      <c r="A33" t="s">
        <v>42</v>
      </c>
      <c r="B33">
        <f>SUMIFS(Fluxo!G:G,Fluxo!D:D,A33,Fluxo!E:E,"Compra")</f>
        <v>40</v>
      </c>
      <c r="C33">
        <f>SUMIFS(Fluxo!G:G,Fluxo!D:D,A33,Fluxo!E:E,"Venda")</f>
        <v>-40</v>
      </c>
      <c r="D33" s="5">
        <f>SUMIFS(Fluxo!H:H,Fluxo!D:D,A33,Fluxo!E:E,"Compra")/SUMIFS(Fluxo!G:G,Fluxo!D:D,'Análise Ações BR'!A33,Fluxo!E:E,"compra")</f>
        <v>19.287500000000001</v>
      </c>
      <c r="E33" s="21">
        <f>IFERROR(SUMIFS(Fluxo!H:H,Fluxo!D:D,A33,Fluxo!E:E,"Venda")/SUMIFS(Fluxo!G:G,Fluxo!D:D,'Análise Ações BR'!A33,Fluxo!E:E,"Venda"),0)</f>
        <v>26.170000000000005</v>
      </c>
      <c r="F33" s="2">
        <f>IF(E33&lt;&gt;0,E33-D33)</f>
        <v>6.8825000000000038</v>
      </c>
      <c r="G33" s="2">
        <f>-F33*C33</f>
        <v>275.30000000000018</v>
      </c>
      <c r="H33" s="35"/>
      <c r="J33" s="7" t="s">
        <v>42</v>
      </c>
      <c r="K33" s="7">
        <f ca="1">SUMIF(Fluxo!D:H,J33,Fluxo!G:G)</f>
        <v>0</v>
      </c>
      <c r="L33" s="8">
        <v>25.99</v>
      </c>
      <c r="M33" s="9">
        <f ca="1">L33*K33</f>
        <v>0</v>
      </c>
      <c r="N33" s="23"/>
      <c r="O33" s="31">
        <f ca="1">M33-SUMIF(Fluxo!D:H,J33,Fluxo!H:H)</f>
        <v>275.30000000000018</v>
      </c>
      <c r="P33" s="32"/>
      <c r="Q33" s="32"/>
      <c r="R33" s="32"/>
      <c r="S33" s="33">
        <f t="shared" ca="1" si="5"/>
        <v>275.30000000000018</v>
      </c>
      <c r="T33" s="12"/>
      <c r="W33" s="7" t="s">
        <v>42</v>
      </c>
      <c r="X33" s="7"/>
      <c r="Y33" s="42">
        <f ca="1">M33/($M$38+'Rendimento Ações BR'!$AA$3)</f>
        <v>0</v>
      </c>
    </row>
    <row r="34" spans="1:25" x14ac:dyDescent="0.25">
      <c r="A34" t="s">
        <v>90</v>
      </c>
      <c r="B34">
        <f>SUMIFS(Fluxo!G:G,Fluxo!D:D,A34,Fluxo!E:E,"Compra")</f>
        <v>50</v>
      </c>
      <c r="C34">
        <f>SUMIFS(Fluxo!G:G,Fluxo!D:D,A34,Fluxo!E:E,"Venda")</f>
        <v>0</v>
      </c>
      <c r="D34" s="5">
        <f>SUMIFS(Fluxo!H:H,Fluxo!D:D,A34,Fluxo!E:E,"Compra")/SUMIFS(Fluxo!G:G,Fluxo!D:D,'Análise Ações BR'!A34,Fluxo!E:E,"compra")</f>
        <v>50.063999999999993</v>
      </c>
      <c r="E34" s="21">
        <f>IFERROR(SUMIFS(Fluxo!H:H,Fluxo!D:D,A34,Fluxo!E:E,"Venda")/SUMIFS(Fluxo!G:G,Fluxo!D:D,'Análise Ações BR'!A34,Fluxo!E:E,"Venda"),0)</f>
        <v>0</v>
      </c>
      <c r="F34" s="2" t="b">
        <f>IF(E34&lt;&gt;0,E34-D34)</f>
        <v>0</v>
      </c>
      <c r="G34" s="2">
        <f>-F34*C34</f>
        <v>0</v>
      </c>
      <c r="H34" s="35"/>
      <c r="J34" s="7" t="s">
        <v>90</v>
      </c>
      <c r="K34" s="7">
        <f ca="1">SUMIF(Fluxo!D:H,J34,Fluxo!G:G)</f>
        <v>50</v>
      </c>
      <c r="L34" s="8">
        <v>45.52</v>
      </c>
      <c r="M34" s="9">
        <f ca="1">L34*K34</f>
        <v>2276</v>
      </c>
      <c r="N34" s="23">
        <v>50</v>
      </c>
      <c r="O34" s="31">
        <f ca="1">M34-SUMIF(Fluxo!D:H,J34,Fluxo!H:H)</f>
        <v>-227.19999999999982</v>
      </c>
      <c r="P34" s="32"/>
      <c r="Q34" s="32"/>
      <c r="R34" s="32">
        <f>16.88+6.55+10.07+47.09+35.54</f>
        <v>116.13</v>
      </c>
      <c r="S34" s="33">
        <f t="shared" ca="1" si="5"/>
        <v>-111.06999999999982</v>
      </c>
      <c r="T34" s="12">
        <f ca="1">(L34*K34+Q34+R34)/(K34*D34)-1</f>
        <v>-4.4371204857781898E-2</v>
      </c>
      <c r="W34" s="7" t="s">
        <v>90</v>
      </c>
      <c r="X34" s="7" t="s">
        <v>195</v>
      </c>
      <c r="Y34" s="42">
        <f ca="1">M34/($M$38+'Rendimento Ações BR'!$AA$3)</f>
        <v>4.5407652386465408E-2</v>
      </c>
    </row>
    <row r="35" spans="1:25" x14ac:dyDescent="0.25">
      <c r="A35" t="s">
        <v>11</v>
      </c>
      <c r="B35">
        <f>SUMIFS(Fluxo!G:G,Fluxo!D:D,A35,Fluxo!E:E,"Compra")</f>
        <v>300</v>
      </c>
      <c r="C35">
        <f>SUMIFS(Fluxo!G:G,Fluxo!D:D,A35,Fluxo!E:E,"Venda")</f>
        <v>-300</v>
      </c>
      <c r="D35" s="5">
        <f>SUMIFS(Fluxo!H:H,Fluxo!D:D,A35,Fluxo!E:E,"Compra")/SUMIFS(Fluxo!G:G,Fluxo!D:D,'Análise Ações BR'!A35,Fluxo!E:E,"compra")</f>
        <v>11.37</v>
      </c>
      <c r="E35" s="21">
        <f>IFERROR(SUMIFS(Fluxo!H:H,Fluxo!D:D,A35,Fluxo!E:E,"Venda")/SUMIFS(Fluxo!G:G,Fluxo!D:D,'Análise Ações BR'!A35,Fluxo!E:E,"Venda"),0)</f>
        <v>13.216666666666667</v>
      </c>
      <c r="F35" s="2">
        <f t="shared" si="14"/>
        <v>1.8466666666666676</v>
      </c>
      <c r="G35" s="2">
        <f t="shared" si="15"/>
        <v>554.00000000000023</v>
      </c>
      <c r="H35" s="35"/>
      <c r="J35" s="7" t="s">
        <v>11</v>
      </c>
      <c r="K35" s="7">
        <f ca="1">SUMIF(Fluxo!D:H,J35,Fluxo!G:G)</f>
        <v>0</v>
      </c>
      <c r="L35" s="8">
        <v>17.12</v>
      </c>
      <c r="M35" s="9">
        <f t="shared" ca="1" si="2"/>
        <v>0</v>
      </c>
      <c r="N35" s="23"/>
      <c r="O35" s="31">
        <f ca="1">M35-SUMIF(Fluxo!D108:H1000,J35,Fluxo!H108:H1000)</f>
        <v>0</v>
      </c>
      <c r="P35" s="32">
        <f ca="1">-SUMIF(Fluxo!D1:H10000,'Análise Ações BR'!J35,Fluxo!H1:H10000)</f>
        <v>554</v>
      </c>
      <c r="Q35" s="32"/>
      <c r="R35" s="32"/>
      <c r="S35" s="33">
        <f t="shared" ca="1" si="5"/>
        <v>554</v>
      </c>
      <c r="T35" s="12"/>
      <c r="W35" s="7" t="s">
        <v>11</v>
      </c>
      <c r="X35" s="7"/>
      <c r="Y35" s="42">
        <f ca="1">M35/($M$38+'Rendimento Ações BR'!$AA$3)</f>
        <v>0</v>
      </c>
    </row>
    <row r="36" spans="1:25" x14ac:dyDescent="0.25">
      <c r="A36" t="s">
        <v>183</v>
      </c>
      <c r="B36">
        <f>SUMIFS(Fluxo!G:G,Fluxo!D:D,A36,Fluxo!E:E,"Compra")</f>
        <v>100</v>
      </c>
      <c r="C36">
        <f>SUMIFS(Fluxo!G:G,Fluxo!D:D,A36,Fluxo!E:E,"Venda")</f>
        <v>0</v>
      </c>
      <c r="D36" s="5">
        <f>SUMIFS(Fluxo!H:H,Fluxo!D:D,A36,Fluxo!E:E,"Compra")/SUMIFS(Fluxo!G:G,Fluxo!D:D,'Análise Ações BR'!A36,Fluxo!E:E,"compra")</f>
        <v>33.869999999999997</v>
      </c>
      <c r="E36" s="21">
        <f>IFERROR(SUMIFS(Fluxo!H:H,Fluxo!D:D,A36,Fluxo!E:E,"Venda")/SUMIFS(Fluxo!G:G,Fluxo!D:D,'Análise Ações BR'!A36,Fluxo!E:E,"Venda"),0)</f>
        <v>0</v>
      </c>
      <c r="F36" s="2" t="b">
        <f>IF(E36&lt;&gt;0,E36-D36)</f>
        <v>0</v>
      </c>
      <c r="G36" s="2">
        <f>-F36*C36</f>
        <v>0</v>
      </c>
      <c r="H36" s="35"/>
      <c r="J36" s="7" t="s">
        <v>183</v>
      </c>
      <c r="K36" s="7">
        <f ca="1">SUMIF(Fluxo!D:H,J36,Fluxo!G:G)</f>
        <v>100</v>
      </c>
      <c r="L36" s="8">
        <v>37</v>
      </c>
      <c r="M36" s="9">
        <f t="shared" ca="1" si="2"/>
        <v>3700</v>
      </c>
      <c r="N36" s="23">
        <v>50</v>
      </c>
      <c r="O36" s="31">
        <f ca="1">M36-SUMIF(Fluxo!D:H,J36,Fluxo!H:H)</f>
        <v>313.00000000000045</v>
      </c>
      <c r="P36" s="32"/>
      <c r="Q36" s="32"/>
      <c r="R36" s="32">
        <f>1.75+15.81</f>
        <v>17.560000000000002</v>
      </c>
      <c r="S36" s="33">
        <f t="shared" ca="1" si="5"/>
        <v>330.56000000000046</v>
      </c>
      <c r="T36" s="12">
        <f ca="1">(L36*K36+Q36+R36)/(K36*D36)-1</f>
        <v>9.7596693238854559E-2</v>
      </c>
      <c r="W36" s="7" t="s">
        <v>183</v>
      </c>
      <c r="X36" s="7" t="s">
        <v>191</v>
      </c>
      <c r="Y36" s="42">
        <f ca="1">M36/($M$38+'Rendimento Ações BR'!$AA$3)</f>
        <v>7.3817361085202995E-2</v>
      </c>
    </row>
    <row r="37" spans="1:25" x14ac:dyDescent="0.25">
      <c r="A37" t="s">
        <v>17</v>
      </c>
      <c r="B37">
        <f>SUMIFS(Fluxo!G25:G1000,Fluxo!D25:D1000,A37,Fluxo!E25:E1000,"Compra")</f>
        <v>50</v>
      </c>
      <c r="C37">
        <f>SUMIFS(Fluxo!G25:G1000,Fluxo!D25:D1000,A37,Fluxo!E25:E1000,"Venda")</f>
        <v>-50</v>
      </c>
      <c r="D37" s="5">
        <f>SUMIFS(Fluxo!H25:H1000,Fluxo!D25:D1000,A37,Fluxo!E25:E1000,"Compra")/SUMIFS(Fluxo!G25:G1000,Fluxo!D25:D1000,'Análise Ações BR'!A37,Fluxo!E25:E1000,"compra")</f>
        <v>21.41</v>
      </c>
      <c r="E37" s="21">
        <f>IFERROR(SUMIFS(Fluxo!H25:H1000,Fluxo!D25:D1000,A37,Fluxo!E25:E1000,"Venda")/SUMIFS(Fluxo!G25:G1000,Fluxo!D25:D1000,'Análise Ações BR'!A37,Fluxo!E25:E1000,"Venda"),0)</f>
        <v>27.5</v>
      </c>
      <c r="F37" s="2">
        <f t="shared" si="14"/>
        <v>6.09</v>
      </c>
      <c r="G37" s="2">
        <f t="shared" si="15"/>
        <v>304.5</v>
      </c>
      <c r="H37" s="35"/>
      <c r="J37" s="7" t="s">
        <v>17</v>
      </c>
      <c r="K37" s="7">
        <f ca="1">SUMIF(Fluxo!D:H,J37,Fluxo!G:G)</f>
        <v>0</v>
      </c>
      <c r="L37" s="8">
        <v>28.13</v>
      </c>
      <c r="M37" s="9">
        <f t="shared" ca="1" si="2"/>
        <v>0</v>
      </c>
      <c r="N37" s="23"/>
      <c r="O37" s="31">
        <f ca="1">M37-SUMIF(Fluxo!D122:H1000,J37,Fluxo!H122:H1000)</f>
        <v>0</v>
      </c>
      <c r="P37" s="32">
        <f ca="1">-SUMIF(Fluxo!D1:H121,J37,Fluxo!H1:H121)</f>
        <v>339.5</v>
      </c>
      <c r="Q37" s="32">
        <v>25.48</v>
      </c>
      <c r="R37" s="32"/>
      <c r="S37" s="33">
        <f t="shared" ca="1" si="5"/>
        <v>364.98</v>
      </c>
      <c r="T37" s="12"/>
      <c r="W37" s="7" t="s">
        <v>17</v>
      </c>
      <c r="X37" s="7"/>
      <c r="Y37" s="42">
        <f ca="1">M37/($M$38+'Rendimento Ações BR'!$AA$3)</f>
        <v>0</v>
      </c>
    </row>
    <row r="38" spans="1:25" x14ac:dyDescent="0.25">
      <c r="G38" s="4">
        <f>SUM(G7:G37)</f>
        <v>9403.8772983595372</v>
      </c>
      <c r="J38" s="7" t="s">
        <v>30</v>
      </c>
      <c r="K38" s="10"/>
      <c r="L38" s="7"/>
      <c r="M38" s="10">
        <f ca="1">SUM(M6:M37)</f>
        <v>42602.67</v>
      </c>
      <c r="N38" s="24"/>
      <c r="O38" s="4">
        <f ca="1">SUM(O7:O37)</f>
        <v>1876.6900000000014</v>
      </c>
      <c r="P38" s="4">
        <f ca="1">SUM(P7:P37)</f>
        <v>6635.1124999999993</v>
      </c>
      <c r="Q38" s="4">
        <f>SUM(Q8:Q37)</f>
        <v>462.57000000000005</v>
      </c>
      <c r="R38" s="4"/>
      <c r="S38" s="4">
        <f ca="1">SUM(S7:S37)</f>
        <v>10785.342500000002</v>
      </c>
      <c r="W38" s="20" t="s">
        <v>93</v>
      </c>
      <c r="X38" s="20" t="s">
        <v>93</v>
      </c>
      <c r="Y38" s="42">
        <f ca="1">'Rendimento Ações BR'!AA3/('Rendimento Ações BR'!AA3+'Análise Ações BR'!M38)</f>
        <v>0.15004954740979867</v>
      </c>
    </row>
    <row r="40" spans="1:25" x14ac:dyDescent="0.25">
      <c r="J40" t="s">
        <v>66</v>
      </c>
      <c r="Q40">
        <f>COUNT(Fluxo!C2:C93)*21+COUNT(Fluxo!C94:C299)*7</f>
        <v>2268</v>
      </c>
    </row>
    <row r="41" spans="1:25" x14ac:dyDescent="0.25">
      <c r="J41" t="s">
        <v>67</v>
      </c>
      <c r="Q41" s="4">
        <f ca="1">S38-Q40</f>
        <v>8517.3425000000025</v>
      </c>
      <c r="R41" s="4"/>
    </row>
    <row r="46" spans="1:25" x14ac:dyDescent="0.25">
      <c r="H46"/>
      <c r="O46" s="12"/>
    </row>
    <row r="54" spans="10:10" x14ac:dyDescent="0.25">
      <c r="J54">
        <v>44.06</v>
      </c>
    </row>
    <row r="55" spans="10:10" x14ac:dyDescent="0.25">
      <c r="J55">
        <v>10.28</v>
      </c>
    </row>
    <row r="56" spans="10:10" x14ac:dyDescent="0.25">
      <c r="J56">
        <v>19.47</v>
      </c>
    </row>
    <row r="57" spans="10:10" x14ac:dyDescent="0.25">
      <c r="J57">
        <v>11.69</v>
      </c>
    </row>
    <row r="58" spans="10:10" x14ac:dyDescent="0.25">
      <c r="J58" s="5">
        <f>SUM(J54:J57)</f>
        <v>85.5</v>
      </c>
    </row>
  </sheetData>
  <mergeCells count="3">
    <mergeCell ref="J4:M4"/>
    <mergeCell ref="O4:Q4"/>
    <mergeCell ref="W4:Y4"/>
  </mergeCells>
  <conditionalFormatting sqref="O7:O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"/>
  <sheetViews>
    <sheetView tabSelected="1" topLeftCell="L1" zoomScale="80" zoomScaleNormal="80" workbookViewId="0">
      <selection activeCell="V7" sqref="V7"/>
    </sheetView>
  </sheetViews>
  <sheetFormatPr defaultRowHeight="15" x14ac:dyDescent="0.25"/>
  <cols>
    <col min="1" max="1" width="13.140625" bestFit="1" customWidth="1"/>
    <col min="2" max="2" width="19.5703125" hidden="1" customWidth="1"/>
    <col min="3" max="11" width="11.28515625" hidden="1" customWidth="1"/>
    <col min="12" max="17" width="11.28515625" bestFit="1" customWidth="1"/>
    <col min="18" max="18" width="17.85546875" bestFit="1" customWidth="1"/>
    <col min="19" max="19" width="11.28515625" bestFit="1" customWidth="1"/>
    <col min="20" max="20" width="17" customWidth="1"/>
    <col min="21" max="24" width="19.28515625" customWidth="1"/>
    <col min="26" max="27" width="11.28515625" bestFit="1" customWidth="1"/>
  </cols>
  <sheetData>
    <row r="1" spans="1:27" x14ac:dyDescent="0.25">
      <c r="A1" s="7"/>
      <c r="B1" s="59" t="s">
        <v>59</v>
      </c>
      <c r="C1" s="59"/>
      <c r="D1" s="59"/>
      <c r="E1" s="59"/>
      <c r="F1" s="59"/>
      <c r="G1" s="59"/>
      <c r="H1" s="59"/>
      <c r="I1" s="59"/>
      <c r="J1" s="59"/>
      <c r="K1" s="59"/>
      <c r="L1" s="59" t="s">
        <v>59</v>
      </c>
      <c r="M1" s="22"/>
      <c r="N1" s="22"/>
    </row>
    <row r="2" spans="1:27" x14ac:dyDescent="0.25">
      <c r="A2" s="7"/>
      <c r="B2" s="36">
        <v>43891</v>
      </c>
      <c r="C2" s="36">
        <v>43922</v>
      </c>
      <c r="D2" s="36">
        <v>43952</v>
      </c>
      <c r="E2" s="36">
        <v>43983</v>
      </c>
      <c r="F2" s="36">
        <v>44013</v>
      </c>
      <c r="G2" s="36">
        <v>44044</v>
      </c>
      <c r="H2" s="36">
        <v>44075</v>
      </c>
      <c r="I2" s="36">
        <v>44105</v>
      </c>
      <c r="J2" s="36">
        <v>44136</v>
      </c>
      <c r="K2" s="36">
        <v>44166</v>
      </c>
      <c r="L2" s="36">
        <v>44197</v>
      </c>
      <c r="M2" s="36">
        <v>44228</v>
      </c>
      <c r="N2" s="36">
        <v>44256</v>
      </c>
      <c r="O2" s="36">
        <v>44287</v>
      </c>
      <c r="P2" s="36">
        <v>44317</v>
      </c>
      <c r="Q2" s="36">
        <v>44348</v>
      </c>
      <c r="R2" s="36">
        <v>44378</v>
      </c>
      <c r="S2" s="36">
        <v>44409</v>
      </c>
      <c r="T2" s="36">
        <v>44440</v>
      </c>
      <c r="U2" s="36">
        <v>44470</v>
      </c>
      <c r="V2" s="36">
        <v>44501</v>
      </c>
      <c r="W2" s="60"/>
      <c r="X2" s="60"/>
      <c r="Y2" t="s">
        <v>33</v>
      </c>
      <c r="AA2" s="4">
        <f ca="1">'Análise Ações BR'!M38</f>
        <v>42602.67</v>
      </c>
    </row>
    <row r="3" spans="1:27" x14ac:dyDescent="0.25">
      <c r="A3" s="7" t="s">
        <v>40</v>
      </c>
      <c r="B3" s="19">
        <f t="shared" ref="B3:U3" si="0">B6/(B4+B5)-1</f>
        <v>-1.1316739997239367E-2</v>
      </c>
      <c r="C3" s="19">
        <f t="shared" si="0"/>
        <v>8.2352941176470518E-2</v>
      </c>
      <c r="D3" s="19">
        <f t="shared" si="0"/>
        <v>8.6956521739130377E-2</v>
      </c>
      <c r="E3" s="19">
        <f t="shared" si="0"/>
        <v>7.333333333333325E-2</v>
      </c>
      <c r="F3" s="19">
        <f t="shared" si="0"/>
        <v>7.7701420454545422E-2</v>
      </c>
      <c r="G3" s="19">
        <f t="shared" si="0"/>
        <v>-1.1331598391501885E-2</v>
      </c>
      <c r="H3" s="19">
        <f t="shared" si="0"/>
        <v>-1.6885081081054576E-2</v>
      </c>
      <c r="I3" s="19">
        <f t="shared" si="0"/>
        <v>-7.4410349223351102E-2</v>
      </c>
      <c r="J3" s="19">
        <f t="shared" si="0"/>
        <v>0.26868341571346477</v>
      </c>
      <c r="K3" s="19">
        <f t="shared" si="0"/>
        <v>5.7358906183107461E-2</v>
      </c>
      <c r="L3" s="19">
        <v>-3.7009830458790693E-2</v>
      </c>
      <c r="M3" s="19">
        <f t="shared" si="0"/>
        <v>-1.8191345663877256E-2</v>
      </c>
      <c r="N3" s="19">
        <f t="shared" si="0"/>
        <v>2.9304229944892901E-2</v>
      </c>
      <c r="O3" s="19">
        <f t="shared" si="0"/>
        <v>3.8579445173226423E-2</v>
      </c>
      <c r="P3" s="19">
        <f t="shared" si="0"/>
        <v>5.9842677642844899E-2</v>
      </c>
      <c r="Q3" s="19">
        <f t="shared" si="0"/>
        <v>-3.0743082510743536E-3</v>
      </c>
      <c r="R3" s="19">
        <f t="shared" si="0"/>
        <v>-2.0020228061171652E-2</v>
      </c>
      <c r="S3" s="19">
        <f t="shared" si="0"/>
        <v>-3.5222280572904441E-2</v>
      </c>
      <c r="T3" s="19">
        <f t="shared" si="0"/>
        <v>-6.4104343842884215E-2</v>
      </c>
      <c r="U3" s="19">
        <f t="shared" si="0"/>
        <v>-0.1008746808583536</v>
      </c>
      <c r="V3" s="19">
        <f t="shared" ref="V3" ca="1" si="1">V6/(V4+V5)-1</f>
        <v>0</v>
      </c>
      <c r="Y3" t="s">
        <v>32</v>
      </c>
      <c r="AA3" s="4">
        <v>7521.04</v>
      </c>
    </row>
    <row r="4" spans="1:27" x14ac:dyDescent="0.25">
      <c r="A4" s="7" t="s">
        <v>60</v>
      </c>
      <c r="B4" s="29">
        <v>25791.879999999997</v>
      </c>
      <c r="C4" s="29">
        <f t="shared" ref="C4:H4" si="2">B6</f>
        <v>25500</v>
      </c>
      <c r="D4" s="29">
        <f t="shared" si="2"/>
        <v>27600</v>
      </c>
      <c r="E4" s="29">
        <f t="shared" si="2"/>
        <v>30000</v>
      </c>
      <c r="F4" s="29">
        <f t="shared" si="2"/>
        <v>32200</v>
      </c>
      <c r="G4" s="9">
        <f t="shared" si="2"/>
        <v>37935.089999999997</v>
      </c>
      <c r="H4" s="10">
        <f t="shared" si="2"/>
        <v>40471.23000000001</v>
      </c>
      <c r="I4" s="10">
        <f>H6</f>
        <v>39787.870000000003</v>
      </c>
      <c r="J4" s="10">
        <f>I6</f>
        <v>38678.420000000006</v>
      </c>
      <c r="K4" s="10">
        <f>J6</f>
        <v>49070.67</v>
      </c>
      <c r="L4" s="34">
        <v>57447.98</v>
      </c>
      <c r="M4" s="34">
        <f t="shared" ref="M4:V4" si="3">L6</f>
        <v>55321.840000000004</v>
      </c>
      <c r="N4" s="34">
        <f t="shared" si="3"/>
        <v>50981.729999999989</v>
      </c>
      <c r="O4" s="34">
        <f t="shared" si="3"/>
        <v>55434.96</v>
      </c>
      <c r="P4" s="34">
        <f t="shared" si="3"/>
        <v>57573.61</v>
      </c>
      <c r="Q4" s="34">
        <f t="shared" si="3"/>
        <v>64137.979999999996</v>
      </c>
      <c r="R4" s="34">
        <f t="shared" si="3"/>
        <v>67430.039999999994</v>
      </c>
      <c r="S4" s="34">
        <f t="shared" si="3"/>
        <v>76245.179999999993</v>
      </c>
      <c r="T4" s="34">
        <f t="shared" si="3"/>
        <v>69700.540000000008</v>
      </c>
      <c r="U4" s="34">
        <f t="shared" si="3"/>
        <v>50833.21</v>
      </c>
      <c r="V4" s="34">
        <f>U6</f>
        <v>50123.71</v>
      </c>
      <c r="Y4" t="s">
        <v>209</v>
      </c>
      <c r="AA4" s="4">
        <f ca="1">AA2+AA3</f>
        <v>50123.71</v>
      </c>
    </row>
    <row r="5" spans="1:27" x14ac:dyDescent="0.25">
      <c r="A5" s="7" t="s">
        <v>62</v>
      </c>
      <c r="B5" s="8">
        <v>0</v>
      </c>
      <c r="C5" s="8">
        <v>0</v>
      </c>
      <c r="D5" s="8">
        <v>0</v>
      </c>
      <c r="E5" s="8">
        <v>0</v>
      </c>
      <c r="F5" s="27">
        <v>3000</v>
      </c>
      <c r="G5" s="27">
        <v>3000</v>
      </c>
      <c r="H5" s="27">
        <v>0</v>
      </c>
      <c r="I5" s="27">
        <v>2000</v>
      </c>
      <c r="J5" s="27">
        <v>0</v>
      </c>
      <c r="K5" s="27">
        <f>5306.95-46.04</f>
        <v>5260.91</v>
      </c>
      <c r="L5" s="27">
        <v>0</v>
      </c>
      <c r="M5" s="8">
        <v>-3395.5</v>
      </c>
      <c r="N5" s="8">
        <f>3000+6100-6225</f>
        <v>2875</v>
      </c>
      <c r="O5" s="27">
        <v>0</v>
      </c>
      <c r="P5" s="27">
        <f>2116+592.5+2500-2265.6</f>
        <v>2942.9</v>
      </c>
      <c r="Q5" s="8">
        <v>3500</v>
      </c>
      <c r="R5" s="7">
        <f>10791.5-118.73-300</f>
        <v>10372.77</v>
      </c>
      <c r="S5" s="7">
        <f>-5000+6000-5000</f>
        <v>-4000</v>
      </c>
      <c r="T5" s="7">
        <f>-2385.5-3000-10000</f>
        <v>-15385.5</v>
      </c>
      <c r="U5" s="7">
        <f>3508.39-4116+5565.58-43.99</f>
        <v>4913.9799999999996</v>
      </c>
      <c r="V5" s="7">
        <v>0</v>
      </c>
      <c r="Y5" t="s">
        <v>63</v>
      </c>
      <c r="AA5" s="4">
        <f ca="1">AA4-B4-SUM(B5:T5)</f>
        <v>14161.250000000004</v>
      </c>
    </row>
    <row r="6" spans="1:27" x14ac:dyDescent="0.25">
      <c r="A6" s="7" t="s">
        <v>61</v>
      </c>
      <c r="B6" s="29">
        <v>25500</v>
      </c>
      <c r="C6" s="29">
        <v>27600</v>
      </c>
      <c r="D6" s="29">
        <v>30000</v>
      </c>
      <c r="E6" s="29">
        <v>32200</v>
      </c>
      <c r="F6" s="9">
        <v>37935.089999999997</v>
      </c>
      <c r="G6" s="10">
        <v>40471.23000000001</v>
      </c>
      <c r="H6" s="10">
        <v>39787.870000000003</v>
      </c>
      <c r="I6" s="10">
        <v>38678.420000000006</v>
      </c>
      <c r="J6" s="34">
        <v>49070.67</v>
      </c>
      <c r="K6" s="34">
        <v>57447.98</v>
      </c>
      <c r="L6" s="34">
        <v>55321.840000000004</v>
      </c>
      <c r="M6" s="34">
        <v>50981.729999999989</v>
      </c>
      <c r="N6" s="34">
        <v>55434.96</v>
      </c>
      <c r="O6" s="34">
        <v>57573.61</v>
      </c>
      <c r="P6" s="34">
        <v>64137.979999999996</v>
      </c>
      <c r="Q6" s="34">
        <v>67430.039999999994</v>
      </c>
      <c r="R6" s="34">
        <v>76245.179999999993</v>
      </c>
      <c r="S6" s="34">
        <v>69700.540000000008</v>
      </c>
      <c r="T6" s="34">
        <v>50833.21</v>
      </c>
      <c r="U6" s="34">
        <v>50123.71</v>
      </c>
      <c r="V6" s="34">
        <f ca="1">AA4</f>
        <v>50123.71</v>
      </c>
    </row>
    <row r="7" spans="1:27" x14ac:dyDescent="0.25">
      <c r="A7" s="7" t="s">
        <v>64</v>
      </c>
      <c r="B7" s="12">
        <v>-0.1426</v>
      </c>
      <c r="C7" s="28">
        <v>0.10249999999999999</v>
      </c>
      <c r="D7" s="28">
        <v>8.5699999999999998E-2</v>
      </c>
      <c r="E7" s="28">
        <v>8.7599999999999997E-2</v>
      </c>
      <c r="F7" s="28">
        <v>8.2699999999999996E-2</v>
      </c>
      <c r="G7" s="19">
        <v>-3.44E-2</v>
      </c>
      <c r="H7" s="19">
        <v>-4.8000000000000001E-2</v>
      </c>
      <c r="I7" s="19">
        <v>-6.8999999999999999E-3</v>
      </c>
      <c r="J7" s="19">
        <v>0.159</v>
      </c>
      <c r="K7" s="19">
        <v>9.2799999999999994E-2</v>
      </c>
      <c r="L7" s="19">
        <v>-3.3099999999999997E-2</v>
      </c>
      <c r="M7" s="19">
        <v>-4.3700000000000003E-2</v>
      </c>
      <c r="N7" s="19">
        <v>0.06</v>
      </c>
      <c r="O7" s="19">
        <v>1.9300000000000001E-2</v>
      </c>
      <c r="P7" s="19">
        <v>6.1499999999999999E-2</v>
      </c>
      <c r="Q7" s="19">
        <v>4.5999999999999999E-3</v>
      </c>
      <c r="R7" s="19">
        <v>-3.9399999999999998E-2</v>
      </c>
      <c r="S7" s="19">
        <v>-2.47E-2</v>
      </c>
      <c r="T7" s="65">
        <v>-5.7200000000000001E-2</v>
      </c>
      <c r="U7" s="65">
        <v>-6.7299999999999999E-2</v>
      </c>
      <c r="V7" s="65"/>
    </row>
    <row r="8" spans="1:27" x14ac:dyDescent="0.25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64"/>
      <c r="M8" s="64"/>
      <c r="N8" s="64"/>
      <c r="O8" s="64"/>
      <c r="P8" s="64"/>
      <c r="Q8" s="64"/>
      <c r="R8" s="64"/>
      <c r="S8" s="64"/>
    </row>
    <row r="9" spans="1:27" x14ac:dyDescent="0.25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27" x14ac:dyDescent="0.25">
      <c r="A10" s="7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27" x14ac:dyDescent="0.25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27" x14ac:dyDescent="0.25">
      <c r="A12" s="7"/>
      <c r="B12" s="7"/>
      <c r="C12" s="10"/>
      <c r="D12" s="1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27" x14ac:dyDescent="0.25">
      <c r="B13" s="13"/>
      <c r="T13" s="38"/>
      <c r="U13" s="58"/>
      <c r="V13" s="58"/>
      <c r="W13" s="58"/>
      <c r="X13" s="58"/>
    </row>
    <row r="14" spans="1:27" x14ac:dyDescent="0.25">
      <c r="A14" s="30"/>
      <c r="B14" s="15" t="s">
        <v>68</v>
      </c>
    </row>
    <row r="15" spans="1:27" x14ac:dyDescent="0.25">
      <c r="M15" s="37" t="s">
        <v>65</v>
      </c>
    </row>
    <row r="16" spans="1:27" x14ac:dyDescent="0.25">
      <c r="L16" t="s">
        <v>96</v>
      </c>
      <c r="M16" s="12">
        <f>V23/B23-1</f>
        <v>0.37958628027624086</v>
      </c>
    </row>
    <row r="17" spans="1:22" x14ac:dyDescent="0.25">
      <c r="B17" s="12"/>
      <c r="C17" s="12"/>
      <c r="L17" t="s">
        <v>64</v>
      </c>
      <c r="M17" s="12">
        <f>V24/B24-1</f>
        <v>0.22642133072540616</v>
      </c>
    </row>
    <row r="18" spans="1:22" x14ac:dyDescent="0.25">
      <c r="E18" s="12"/>
    </row>
    <row r="19" spans="1:22" x14ac:dyDescent="0.25">
      <c r="E19" s="12"/>
    </row>
    <row r="23" spans="1:22" x14ac:dyDescent="0.25">
      <c r="A23" t="s">
        <v>70</v>
      </c>
      <c r="B23">
        <v>100</v>
      </c>
      <c r="C23" s="5">
        <f t="shared" ref="C23:M23" si="4">B23+B23*B3</f>
        <v>98.868326000276056</v>
      </c>
      <c r="D23" s="5">
        <f t="shared" si="4"/>
        <v>107.0104234355929</v>
      </c>
      <c r="E23" s="5">
        <f t="shared" si="4"/>
        <v>116.31567764738358</v>
      </c>
      <c r="F23" s="5">
        <f t="shared" si="4"/>
        <v>124.84549400819171</v>
      </c>
      <c r="G23" s="5">
        <f t="shared" si="4"/>
        <v>134.54616622997764</v>
      </c>
      <c r="H23" s="5">
        <f t="shared" si="4"/>
        <v>133.02154310914329</v>
      </c>
      <c r="I23" s="5">
        <f t="shared" si="4"/>
        <v>130.77546356821841</v>
      </c>
      <c r="J23" s="5">
        <f t="shared" si="4"/>
        <v>121.04441565426166</v>
      </c>
      <c r="K23" s="5">
        <f t="shared" si="4"/>
        <v>153.56704270528905</v>
      </c>
      <c r="L23" s="5">
        <f t="shared" si="4"/>
        <v>162.375480300639</v>
      </c>
      <c r="M23" s="5">
        <f t="shared" si="4"/>
        <v>156.36599130404764</v>
      </c>
      <c r="N23" s="5">
        <f t="shared" ref="N23:V23" si="5">M23+M23*M3</f>
        <v>153.52148350616088</v>
      </c>
      <c r="O23" s="5">
        <f t="shared" si="5"/>
        <v>158.02031236030649</v>
      </c>
      <c r="P23" s="5">
        <f t="shared" si="5"/>
        <v>164.11664833726704</v>
      </c>
      <c r="Q23" s="5">
        <f t="shared" si="5"/>
        <v>173.93782801953824</v>
      </c>
      <c r="R23" s="5">
        <f t="shared" si="5"/>
        <v>173.40308951968382</v>
      </c>
      <c r="S23" s="5">
        <f t="shared" si="5"/>
        <v>169.93152012098798</v>
      </c>
      <c r="T23" s="5">
        <f t="shared" si="5"/>
        <v>163.94614444110638</v>
      </c>
      <c r="U23" s="5">
        <f t="shared" si="5"/>
        <v>153.43648442613855</v>
      </c>
      <c r="V23" s="5">
        <f t="shared" si="5"/>
        <v>137.95862802762409</v>
      </c>
    </row>
    <row r="24" spans="1:22" x14ac:dyDescent="0.25">
      <c r="A24" t="s">
        <v>71</v>
      </c>
      <c r="B24">
        <v>100</v>
      </c>
      <c r="C24" s="5">
        <f t="shared" ref="C24:M24" si="6">B24+B24*B7</f>
        <v>85.74</v>
      </c>
      <c r="D24" s="5">
        <f t="shared" si="6"/>
        <v>94.528349999999989</v>
      </c>
      <c r="E24" s="5">
        <f t="shared" si="6"/>
        <v>102.62942959499999</v>
      </c>
      <c r="F24" s="5">
        <f t="shared" si="6"/>
        <v>111.61976762752199</v>
      </c>
      <c r="G24" s="5">
        <f t="shared" si="6"/>
        <v>120.85072241031807</v>
      </c>
      <c r="H24" s="5">
        <f t="shared" si="6"/>
        <v>116.69345755940313</v>
      </c>
      <c r="I24" s="5">
        <f t="shared" si="6"/>
        <v>111.09217159655178</v>
      </c>
      <c r="J24" s="5">
        <f t="shared" si="6"/>
        <v>110.32563561253558</v>
      </c>
      <c r="K24" s="5">
        <f t="shared" si="6"/>
        <v>127.86741167492873</v>
      </c>
      <c r="L24" s="5">
        <f t="shared" si="6"/>
        <v>139.73350747836213</v>
      </c>
      <c r="M24" s="5">
        <f t="shared" si="6"/>
        <v>135.10832838082834</v>
      </c>
      <c r="N24" s="5">
        <f t="shared" ref="N24:V24" si="7">M24+M24*M7</f>
        <v>129.20409443058614</v>
      </c>
      <c r="O24" s="5">
        <f t="shared" si="7"/>
        <v>136.95634009642131</v>
      </c>
      <c r="P24" s="5">
        <f t="shared" si="7"/>
        <v>139.59959746028224</v>
      </c>
      <c r="Q24" s="5">
        <f t="shared" si="7"/>
        <v>148.1849727040896</v>
      </c>
      <c r="R24" s="5">
        <f t="shared" si="7"/>
        <v>148.86662357852842</v>
      </c>
      <c r="S24" s="5">
        <f t="shared" si="7"/>
        <v>143.00127860953441</v>
      </c>
      <c r="T24" s="5">
        <f t="shared" si="7"/>
        <v>139.4691470278789</v>
      </c>
      <c r="U24" s="5">
        <f t="shared" si="7"/>
        <v>131.49151181788423</v>
      </c>
      <c r="V24" s="5">
        <f t="shared" si="7"/>
        <v>122.64213307254062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V28"/>
  <sheetViews>
    <sheetView topLeftCell="A3" workbookViewId="0">
      <selection activeCell="A8" sqref="A8"/>
    </sheetView>
  </sheetViews>
  <sheetFormatPr defaultRowHeight="15" x14ac:dyDescent="0.25"/>
  <cols>
    <col min="1" max="1" width="6.28515625" bestFit="1" customWidth="1"/>
    <col min="2" max="2" width="18" bestFit="1" customWidth="1"/>
    <col min="3" max="3" width="26.140625" bestFit="1" customWidth="1"/>
    <col min="4" max="4" width="18.85546875" bestFit="1" customWidth="1"/>
    <col min="5" max="5" width="10.5703125" bestFit="1" customWidth="1"/>
    <col min="6" max="6" width="10.85546875" bestFit="1" customWidth="1"/>
    <col min="7" max="7" width="25.5703125" bestFit="1" customWidth="1"/>
    <col min="8" max="8" width="17.5703125" bestFit="1" customWidth="1"/>
    <col min="9" max="9" width="11.85546875" bestFit="1" customWidth="1"/>
    <col min="10" max="10" width="9.5703125" customWidth="1"/>
    <col min="11" max="11" width="9.140625" customWidth="1"/>
    <col min="13" max="13" width="18" bestFit="1" customWidth="1"/>
    <col min="14" max="14" width="19.140625" bestFit="1" customWidth="1"/>
    <col min="15" max="15" width="20.140625" bestFit="1" customWidth="1"/>
  </cols>
  <sheetData>
    <row r="3" spans="1:14" x14ac:dyDescent="0.25">
      <c r="G3" s="12"/>
    </row>
    <row r="4" spans="1:14" x14ac:dyDescent="0.25">
      <c r="A4" s="6" t="s">
        <v>48</v>
      </c>
      <c r="B4" s="6" t="s">
        <v>5</v>
      </c>
      <c r="C4" s="6" t="s">
        <v>1</v>
      </c>
      <c r="D4" s="6" t="s">
        <v>43</v>
      </c>
      <c r="E4" s="6" t="s">
        <v>44</v>
      </c>
      <c r="F4" s="6" t="s">
        <v>45</v>
      </c>
      <c r="G4" s="6" t="s">
        <v>46</v>
      </c>
      <c r="H4" s="6" t="s">
        <v>47</v>
      </c>
      <c r="I4" s="6" t="s">
        <v>50</v>
      </c>
      <c r="M4" s="25" t="s">
        <v>56</v>
      </c>
      <c r="N4" t="s">
        <v>58</v>
      </c>
    </row>
    <row r="5" spans="1:14" x14ac:dyDescent="0.25">
      <c r="A5" s="7" t="s">
        <v>49</v>
      </c>
      <c r="B5" s="7" t="s">
        <v>79</v>
      </c>
      <c r="C5" s="20" t="s">
        <v>184</v>
      </c>
      <c r="D5" s="16">
        <f>'Rendimento Ações BR'!B4+SUM('Rendimento Ações BR'!B5:K5)</f>
        <v>39052.789999999994</v>
      </c>
      <c r="E5" s="17">
        <v>43901</v>
      </c>
      <c r="F5" s="18">
        <f ca="1">'Rendimento Ações BR'!AA2</f>
        <v>42602.67</v>
      </c>
      <c r="G5" s="19">
        <f ca="1">(F5/D5-1)/((TODAY()-E5)/30)</f>
        <v>4.5525637782940966E-3</v>
      </c>
      <c r="H5" s="19">
        <f ca="1">(F5/D5-1)/((TODAY()-E5)/365)</f>
        <v>5.5389525969244839E-2</v>
      </c>
      <c r="I5" s="7" t="s">
        <v>87</v>
      </c>
      <c r="M5" s="26" t="s">
        <v>79</v>
      </c>
      <c r="N5" s="15">
        <v>42602.67</v>
      </c>
    </row>
    <row r="6" spans="1:14" x14ac:dyDescent="0.25">
      <c r="A6" s="7" t="s">
        <v>49</v>
      </c>
      <c r="B6" s="7" t="s">
        <v>86</v>
      </c>
      <c r="C6" s="20" t="s">
        <v>94</v>
      </c>
      <c r="D6" s="18">
        <v>6225</v>
      </c>
      <c r="E6" s="17">
        <v>44284</v>
      </c>
      <c r="F6" s="18">
        <v>7075</v>
      </c>
      <c r="G6" s="19">
        <f ca="1">(F6/D6-1)/((TODAY()-E6)/30)</f>
        <v>1.8964747880410519E-2</v>
      </c>
      <c r="H6" s="19">
        <f ca="1">(F6/D6-1)/((TODAY()-E6)/365)</f>
        <v>0.23073776587832798</v>
      </c>
      <c r="I6" s="7" t="s">
        <v>87</v>
      </c>
      <c r="M6" s="26" t="s">
        <v>86</v>
      </c>
      <c r="N6" s="15">
        <v>7075</v>
      </c>
    </row>
    <row r="7" spans="1:14" x14ac:dyDescent="0.25">
      <c r="A7" s="7" t="s">
        <v>49</v>
      </c>
      <c r="B7" s="7" t="s">
        <v>93</v>
      </c>
      <c r="C7" s="7"/>
      <c r="D7" s="7"/>
      <c r="E7" s="7"/>
      <c r="F7" s="34">
        <f>'Rendimento Ações BR'!AA3</f>
        <v>7521.04</v>
      </c>
      <c r="G7" s="7"/>
      <c r="H7" s="7"/>
      <c r="I7" s="7"/>
      <c r="M7" s="26" t="s">
        <v>93</v>
      </c>
      <c r="N7" s="15">
        <v>17530.04</v>
      </c>
    </row>
    <row r="8" spans="1:14" x14ac:dyDescent="0.25">
      <c r="A8" s="7" t="s">
        <v>49</v>
      </c>
      <c r="B8" s="7" t="s">
        <v>93</v>
      </c>
      <c r="C8" s="7" t="s">
        <v>213</v>
      </c>
      <c r="D8" s="7">
        <v>10000</v>
      </c>
      <c r="E8" s="68">
        <v>44463</v>
      </c>
      <c r="F8" s="34">
        <v>10009</v>
      </c>
      <c r="G8" s="7"/>
      <c r="H8" s="7"/>
      <c r="I8" s="7"/>
      <c r="M8" s="26" t="s">
        <v>95</v>
      </c>
      <c r="N8" s="15">
        <v>14116</v>
      </c>
    </row>
    <row r="9" spans="1:14" x14ac:dyDescent="0.25">
      <c r="A9" s="7" t="s">
        <v>49</v>
      </c>
      <c r="B9" s="7" t="s">
        <v>187</v>
      </c>
      <c r="C9" s="7" t="s">
        <v>186</v>
      </c>
      <c r="D9" s="34">
        <f>SUMIFS(Fluxo!H:H,Fluxo!D:D,'Resumo investimentos'!C9,Fluxo!E:E,"Compra")</f>
        <v>4651.1000000000004</v>
      </c>
      <c r="E9" s="17">
        <v>44341</v>
      </c>
      <c r="F9" s="18">
        <v>7130.2</v>
      </c>
      <c r="G9" s="19">
        <f ca="1">(F9/D9-1)/((TODAY()-E9)/30)</f>
        <v>0.10056862182733806</v>
      </c>
      <c r="H9" s="19">
        <f ca="1">(F9/D9-1)/((TODAY()-E9)/365)</f>
        <v>1.2235848988992797</v>
      </c>
      <c r="I9" s="7"/>
      <c r="J9" t="s">
        <v>52</v>
      </c>
      <c r="M9" s="26" t="s">
        <v>187</v>
      </c>
      <c r="N9" s="15">
        <v>7130.2</v>
      </c>
    </row>
    <row r="10" spans="1:14" x14ac:dyDescent="0.25">
      <c r="A10" s="7" t="s">
        <v>49</v>
      </c>
      <c r="B10" s="7" t="s">
        <v>204</v>
      </c>
      <c r="C10" s="20" t="s">
        <v>206</v>
      </c>
      <c r="D10" s="16">
        <v>5623.8</v>
      </c>
      <c r="E10" s="17">
        <v>44355</v>
      </c>
      <c r="F10" s="16">
        <v>5623.8</v>
      </c>
      <c r="G10" s="19">
        <f ca="1">(F10/D10-1)/((TODAY()-E10)/30)</f>
        <v>0</v>
      </c>
      <c r="H10" s="19">
        <f ca="1">(F10/D10-1)/((TODAY()-E10)/365)</f>
        <v>0</v>
      </c>
      <c r="I10" s="17">
        <v>46188</v>
      </c>
      <c r="M10" s="26" t="s">
        <v>204</v>
      </c>
      <c r="N10" s="15">
        <v>5623.8</v>
      </c>
    </row>
    <row r="11" spans="1:14" x14ac:dyDescent="0.25">
      <c r="A11" s="7" t="s">
        <v>190</v>
      </c>
      <c r="B11" s="7" t="s">
        <v>95</v>
      </c>
      <c r="C11" s="7" t="s">
        <v>205</v>
      </c>
      <c r="D11" s="34">
        <v>5000</v>
      </c>
      <c r="E11" s="17">
        <v>44413</v>
      </c>
      <c r="F11" s="34">
        <v>10000</v>
      </c>
      <c r="G11" s="19">
        <f ca="1">(F11/D11-1)/((TODAY()-E11)/30)</f>
        <v>0.34482758620689657</v>
      </c>
      <c r="H11" s="19">
        <f ca="1">(F11/D11-1)/((TODAY()-E11)/365)</f>
        <v>4.195402298850575</v>
      </c>
      <c r="I11" s="17">
        <v>45143</v>
      </c>
      <c r="M11" s="26" t="s">
        <v>207</v>
      </c>
      <c r="N11" s="15">
        <v>8000</v>
      </c>
    </row>
    <row r="12" spans="1:14" x14ac:dyDescent="0.25">
      <c r="A12" s="7" t="s">
        <v>190</v>
      </c>
      <c r="B12" s="7" t="s">
        <v>207</v>
      </c>
      <c r="C12" s="7" t="s">
        <v>210</v>
      </c>
      <c r="D12" s="34">
        <v>3000</v>
      </c>
      <c r="E12" s="17">
        <v>44356</v>
      </c>
      <c r="F12" s="34">
        <v>3000</v>
      </c>
      <c r="G12" s="19">
        <f ca="1">(F12/D12-1)/((TODAY()-E12)/30)</f>
        <v>0</v>
      </c>
      <c r="H12" s="19">
        <f ca="1">(F12/D12-1)/((TODAY()-E12)/365)</f>
        <v>0</v>
      </c>
      <c r="I12" s="17">
        <v>45540</v>
      </c>
      <c r="M12" s="26" t="s">
        <v>57</v>
      </c>
      <c r="N12" s="15">
        <v>102077.70999999999</v>
      </c>
    </row>
    <row r="13" spans="1:14" x14ac:dyDescent="0.25">
      <c r="A13" s="7" t="s">
        <v>49</v>
      </c>
      <c r="B13" s="7" t="s">
        <v>207</v>
      </c>
      <c r="C13" s="7" t="s">
        <v>208</v>
      </c>
      <c r="D13" s="34">
        <v>5000</v>
      </c>
      <c r="E13" s="17">
        <v>44424</v>
      </c>
      <c r="F13" s="34">
        <v>5000</v>
      </c>
      <c r="G13" s="19">
        <f ca="1">(F13/D13-1)/((TODAY()-E13)/30)</f>
        <v>0</v>
      </c>
      <c r="H13" s="19">
        <f ca="1">(F13/D13-1)/((TODAY()-E13)/365)</f>
        <v>0</v>
      </c>
      <c r="I13" s="17">
        <v>45519</v>
      </c>
    </row>
    <row r="14" spans="1:14" x14ac:dyDescent="0.25">
      <c r="A14" s="7" t="s">
        <v>49</v>
      </c>
      <c r="B14" s="7" t="s">
        <v>95</v>
      </c>
      <c r="C14" s="67" t="s">
        <v>212</v>
      </c>
      <c r="D14" s="24">
        <v>4116</v>
      </c>
      <c r="E14" s="66">
        <v>44477</v>
      </c>
      <c r="F14" s="24">
        <f>D14</f>
        <v>4116</v>
      </c>
      <c r="G14" s="19">
        <f ca="1">(F14/D14-1)/((TODAY()-E14)/30)</f>
        <v>0</v>
      </c>
      <c r="H14" s="19">
        <f ca="1">(F14/D14-1)/((TODAY()-E14)/365)</f>
        <v>0</v>
      </c>
      <c r="I14" s="66">
        <v>45677</v>
      </c>
    </row>
    <row r="15" spans="1:14" x14ac:dyDescent="0.25">
      <c r="A15" s="13" t="s">
        <v>51</v>
      </c>
      <c r="B15" s="13"/>
      <c r="C15" s="13"/>
      <c r="D15" s="61">
        <f>SUM(D7:D13)</f>
        <v>33274.9</v>
      </c>
      <c r="E15" s="13"/>
      <c r="F15" s="62">
        <f>SUM(F7:F13)</f>
        <v>48284.04</v>
      </c>
      <c r="G15" s="63">
        <f>SUM(K8:K13)/SUM(F7:F7)</f>
        <v>0</v>
      </c>
      <c r="H15" s="63">
        <f>SUM(J8:J13)/SUM(F7:F7)</f>
        <v>0</v>
      </c>
      <c r="I15" s="13"/>
    </row>
    <row r="19" spans="3:22" x14ac:dyDescent="0.25">
      <c r="H19">
        <v>184.85</v>
      </c>
    </row>
    <row r="20" spans="3:22" x14ac:dyDescent="0.25">
      <c r="H20">
        <v>237</v>
      </c>
    </row>
    <row r="21" spans="3:22" x14ac:dyDescent="0.25">
      <c r="C21">
        <f>15*39.5</f>
        <v>592.5</v>
      </c>
      <c r="H21" s="12">
        <f>H20/H19-1</f>
        <v>0.28212063835542334</v>
      </c>
    </row>
    <row r="23" spans="3:22" x14ac:dyDescent="0.25">
      <c r="D23">
        <f>1988.79/20</f>
        <v>99.439499999999995</v>
      </c>
    </row>
    <row r="28" spans="3:22" x14ac:dyDescent="0.25">
      <c r="V28" t="s">
        <v>52</v>
      </c>
    </row>
  </sheetData>
  <autoFilter ref="A4:I16" xr:uid="{00000000-0001-0000-0300-000000000000}">
    <sortState xmlns:xlrd2="http://schemas.microsoft.com/office/spreadsheetml/2017/richdata2" ref="A5:I16">
      <sortCondition ref="B4:B16"/>
    </sortState>
  </autoFilter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0:B49"/>
  <sheetViews>
    <sheetView topLeftCell="A19" workbookViewId="0">
      <selection activeCell="A41" sqref="A41"/>
    </sheetView>
  </sheetViews>
  <sheetFormatPr defaultRowHeight="15" x14ac:dyDescent="0.25"/>
  <cols>
    <col min="1" max="1" width="92.5703125" customWidth="1"/>
  </cols>
  <sheetData>
    <row r="40" spans="1:1" ht="18.75" x14ac:dyDescent="0.25">
      <c r="A40" s="40"/>
    </row>
    <row r="49" spans="2:2" ht="18.75" x14ac:dyDescent="0.3">
      <c r="B49" s="3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9B7E-C3DE-4646-A938-9A4F49A14B22}">
  <dimension ref="A1:I41"/>
  <sheetViews>
    <sheetView topLeftCell="A21" workbookViewId="0">
      <selection activeCell="F40" sqref="F40"/>
    </sheetView>
  </sheetViews>
  <sheetFormatPr defaultRowHeight="15" x14ac:dyDescent="0.25"/>
  <cols>
    <col min="1" max="1" width="10.28515625" bestFit="1" customWidth="1"/>
    <col min="2" max="2" width="21.85546875" bestFit="1" customWidth="1"/>
    <col min="5" max="5" width="18.7109375" bestFit="1" customWidth="1"/>
    <col min="6" max="6" width="17.5703125" bestFit="1" customWidth="1"/>
    <col min="7" max="7" width="14.28515625" bestFit="1" customWidth="1"/>
    <col min="8" max="8" width="10.5703125" bestFit="1" customWidth="1"/>
    <col min="9" max="9" width="11.28515625" bestFit="1" customWidth="1"/>
  </cols>
  <sheetData>
    <row r="1" spans="1:9" ht="75" x14ac:dyDescent="0.25">
      <c r="A1" s="43" t="s">
        <v>115</v>
      </c>
    </row>
    <row r="2" spans="1:9" x14ac:dyDescent="0.25">
      <c r="A2" s="54" t="s">
        <v>116</v>
      </c>
      <c r="B2" s="54" t="s">
        <v>117</v>
      </c>
      <c r="C2" s="54" t="s">
        <v>173</v>
      </c>
      <c r="D2" s="54" t="s">
        <v>174</v>
      </c>
      <c r="E2" s="54" t="s">
        <v>118</v>
      </c>
      <c r="F2" s="54" t="s">
        <v>119</v>
      </c>
      <c r="G2" s="54" t="s">
        <v>175</v>
      </c>
      <c r="H2" s="54" t="s">
        <v>176</v>
      </c>
      <c r="I2" s="56" t="s">
        <v>177</v>
      </c>
    </row>
    <row r="3" spans="1:9" x14ac:dyDescent="0.25">
      <c r="A3" s="44" t="s">
        <v>14</v>
      </c>
      <c r="B3" s="45" t="s">
        <v>120</v>
      </c>
      <c r="C3" s="46">
        <v>100</v>
      </c>
      <c r="D3" s="46">
        <v>100</v>
      </c>
      <c r="E3" s="47">
        <v>11.95</v>
      </c>
      <c r="F3" s="47">
        <v>11.95</v>
      </c>
      <c r="G3" s="55">
        <f>E3*C3</f>
        <v>1195</v>
      </c>
      <c r="H3" s="55">
        <f>F3*D3</f>
        <v>1195</v>
      </c>
      <c r="I3" s="4">
        <f>H3-G3</f>
        <v>0</v>
      </c>
    </row>
    <row r="4" spans="1:9" x14ac:dyDescent="0.25">
      <c r="A4" s="48" t="s">
        <v>15</v>
      </c>
      <c r="B4" s="49" t="s">
        <v>121</v>
      </c>
      <c r="C4" s="50">
        <v>300</v>
      </c>
      <c r="D4" s="50">
        <v>200</v>
      </c>
      <c r="E4" s="51">
        <v>20.062999999999999</v>
      </c>
      <c r="F4" s="51">
        <v>20</v>
      </c>
      <c r="G4" s="55">
        <f t="shared" ref="G4:G40" si="0">E4*C4</f>
        <v>6018.9</v>
      </c>
      <c r="H4" s="55">
        <f t="shared" ref="H4:H40" si="1">F4*D4</f>
        <v>4000</v>
      </c>
      <c r="I4" s="4">
        <v>0</v>
      </c>
    </row>
    <row r="5" spans="1:9" x14ac:dyDescent="0.25">
      <c r="A5" s="44" t="s">
        <v>122</v>
      </c>
      <c r="B5" s="45" t="s">
        <v>123</v>
      </c>
      <c r="C5" s="46">
        <v>185</v>
      </c>
      <c r="D5" s="46">
        <v>70</v>
      </c>
      <c r="E5" s="47">
        <v>17.099</v>
      </c>
      <c r="F5" s="47">
        <v>13.529</v>
      </c>
      <c r="G5" s="55">
        <f t="shared" si="0"/>
        <v>3163.3150000000001</v>
      </c>
      <c r="H5" s="55">
        <f t="shared" si="1"/>
        <v>947.03</v>
      </c>
      <c r="I5" s="4">
        <f>-70*E5+70*F5</f>
        <v>-249.90000000000009</v>
      </c>
    </row>
    <row r="6" spans="1:9" x14ac:dyDescent="0.25">
      <c r="A6" s="48" t="s">
        <v>77</v>
      </c>
      <c r="B6" s="49" t="s">
        <v>124</v>
      </c>
      <c r="C6" s="50">
        <v>15</v>
      </c>
      <c r="D6" s="50">
        <v>0</v>
      </c>
      <c r="E6" s="51">
        <v>63.2</v>
      </c>
      <c r="F6" s="50">
        <v>0</v>
      </c>
      <c r="G6" s="55">
        <f t="shared" si="0"/>
        <v>948</v>
      </c>
      <c r="H6" s="55">
        <f t="shared" si="1"/>
        <v>0</v>
      </c>
      <c r="I6" s="4" t="s">
        <v>87</v>
      </c>
    </row>
    <row r="7" spans="1:9" x14ac:dyDescent="0.25">
      <c r="A7" s="44" t="s">
        <v>6</v>
      </c>
      <c r="B7" s="45" t="s">
        <v>125</v>
      </c>
      <c r="C7" s="46">
        <v>300</v>
      </c>
      <c r="D7" s="46">
        <v>200</v>
      </c>
      <c r="E7" s="47">
        <v>30.1</v>
      </c>
      <c r="F7" s="47">
        <v>34.729999999999997</v>
      </c>
      <c r="G7" s="55">
        <f t="shared" si="0"/>
        <v>9030</v>
      </c>
      <c r="H7" s="55">
        <f t="shared" si="1"/>
        <v>6945.9999999999991</v>
      </c>
      <c r="I7" s="4">
        <f>-200*30+200*35</f>
        <v>1000</v>
      </c>
    </row>
    <row r="8" spans="1:9" x14ac:dyDescent="0.25">
      <c r="A8" s="48" t="s">
        <v>9</v>
      </c>
      <c r="B8" s="49" t="s">
        <v>126</v>
      </c>
      <c r="C8" s="50">
        <v>60</v>
      </c>
      <c r="D8" s="50">
        <v>60</v>
      </c>
      <c r="E8" s="51">
        <v>77.257000000000005</v>
      </c>
      <c r="F8" s="51">
        <v>78.727000000000004</v>
      </c>
      <c r="G8" s="55">
        <f t="shared" si="0"/>
        <v>4635.42</v>
      </c>
      <c r="H8" s="55">
        <f t="shared" si="1"/>
        <v>4723.62</v>
      </c>
      <c r="I8" s="4">
        <f t="shared" ref="I8:I39" si="2">H8-G8</f>
        <v>88.199999999999818</v>
      </c>
    </row>
    <row r="9" spans="1:9" x14ac:dyDescent="0.25">
      <c r="A9" s="44" t="s">
        <v>127</v>
      </c>
      <c r="B9" s="45" t="s">
        <v>128</v>
      </c>
      <c r="C9" s="46">
        <v>11</v>
      </c>
      <c r="D9" s="46">
        <v>11</v>
      </c>
      <c r="E9" s="47">
        <v>18.670000000000002</v>
      </c>
      <c r="F9" s="47">
        <v>19.54</v>
      </c>
      <c r="G9" s="55">
        <f t="shared" si="0"/>
        <v>205.37</v>
      </c>
      <c r="H9" s="55">
        <f t="shared" si="1"/>
        <v>214.94</v>
      </c>
      <c r="I9" s="4">
        <f t="shared" si="2"/>
        <v>9.5699999999999932</v>
      </c>
    </row>
    <row r="10" spans="1:9" x14ac:dyDescent="0.25">
      <c r="A10" s="48" t="s">
        <v>16</v>
      </c>
      <c r="B10" s="49" t="s">
        <v>129</v>
      </c>
      <c r="C10" s="50">
        <v>100</v>
      </c>
      <c r="D10" s="50">
        <v>100</v>
      </c>
      <c r="E10" s="51">
        <v>7.14</v>
      </c>
      <c r="F10" s="51">
        <v>13.62</v>
      </c>
      <c r="G10" s="55">
        <f t="shared" si="0"/>
        <v>714</v>
      </c>
      <c r="H10" s="55">
        <f t="shared" si="1"/>
        <v>1362</v>
      </c>
      <c r="I10" s="4">
        <f t="shared" si="2"/>
        <v>648</v>
      </c>
    </row>
    <row r="11" spans="1:9" x14ac:dyDescent="0.25">
      <c r="A11" s="44" t="s">
        <v>130</v>
      </c>
      <c r="B11" s="52">
        <v>43959</v>
      </c>
      <c r="C11" s="46">
        <v>0</v>
      </c>
      <c r="D11" s="46">
        <v>15</v>
      </c>
      <c r="E11" s="46">
        <v>0</v>
      </c>
      <c r="F11" s="47">
        <v>13.04</v>
      </c>
      <c r="G11" s="55">
        <f t="shared" si="0"/>
        <v>0</v>
      </c>
      <c r="H11" s="55">
        <f t="shared" si="1"/>
        <v>195.6</v>
      </c>
      <c r="I11" s="4">
        <f>15*F11-15*E12</f>
        <v>-16.500000000000028</v>
      </c>
    </row>
    <row r="12" spans="1:9" x14ac:dyDescent="0.25">
      <c r="A12" s="48" t="s">
        <v>8</v>
      </c>
      <c r="B12" s="53">
        <v>44168</v>
      </c>
      <c r="C12" s="50">
        <v>100</v>
      </c>
      <c r="D12" s="50">
        <v>0</v>
      </c>
      <c r="E12" s="51">
        <v>14.14</v>
      </c>
      <c r="F12" s="50">
        <v>0</v>
      </c>
      <c r="G12" s="55">
        <f t="shared" si="0"/>
        <v>1414</v>
      </c>
      <c r="H12" s="55">
        <f t="shared" si="1"/>
        <v>0</v>
      </c>
      <c r="I12" s="4" t="s">
        <v>87</v>
      </c>
    </row>
    <row r="13" spans="1:9" x14ac:dyDescent="0.25">
      <c r="A13" s="44" t="s">
        <v>131</v>
      </c>
      <c r="B13" s="45" t="s">
        <v>132</v>
      </c>
      <c r="C13" s="46">
        <v>113</v>
      </c>
      <c r="D13" s="46">
        <v>0</v>
      </c>
      <c r="E13" s="47">
        <v>24.341000000000001</v>
      </c>
      <c r="F13" s="46">
        <v>0</v>
      </c>
      <c r="G13" s="55">
        <f t="shared" si="0"/>
        <v>2750.5329999999999</v>
      </c>
      <c r="H13" s="55">
        <f t="shared" si="1"/>
        <v>0</v>
      </c>
      <c r="I13" s="4" t="s">
        <v>87</v>
      </c>
    </row>
    <row r="14" spans="1:9" x14ac:dyDescent="0.25">
      <c r="A14" s="48" t="s">
        <v>75</v>
      </c>
      <c r="B14" s="49" t="s">
        <v>133</v>
      </c>
      <c r="C14" s="50">
        <v>100</v>
      </c>
      <c r="D14" s="50">
        <v>100</v>
      </c>
      <c r="E14" s="51">
        <v>17.05</v>
      </c>
      <c r="F14" s="51">
        <v>21.35</v>
      </c>
      <c r="G14" s="55">
        <f t="shared" si="0"/>
        <v>1705</v>
      </c>
      <c r="H14" s="55">
        <f t="shared" si="1"/>
        <v>2135</v>
      </c>
      <c r="I14" s="4">
        <f t="shared" si="2"/>
        <v>430</v>
      </c>
    </row>
    <row r="15" spans="1:9" x14ac:dyDescent="0.25">
      <c r="A15" s="44" t="s">
        <v>134</v>
      </c>
      <c r="B15" s="45" t="s">
        <v>135</v>
      </c>
      <c r="C15" s="46">
        <v>11</v>
      </c>
      <c r="D15" s="46">
        <v>11</v>
      </c>
      <c r="E15" s="47">
        <v>18.79</v>
      </c>
      <c r="F15" s="47">
        <v>18.25</v>
      </c>
      <c r="G15" s="55">
        <f t="shared" si="0"/>
        <v>206.69</v>
      </c>
      <c r="H15" s="55">
        <f t="shared" si="1"/>
        <v>200.75</v>
      </c>
      <c r="I15" s="4">
        <f t="shared" si="2"/>
        <v>-5.9399999999999977</v>
      </c>
    </row>
    <row r="16" spans="1:9" x14ac:dyDescent="0.25">
      <c r="A16" s="48" t="s">
        <v>78</v>
      </c>
      <c r="B16" s="53">
        <v>43873</v>
      </c>
      <c r="C16" s="50">
        <v>300</v>
      </c>
      <c r="D16" s="50">
        <v>0</v>
      </c>
      <c r="E16" s="51">
        <v>8.08</v>
      </c>
      <c r="F16" s="50">
        <v>0</v>
      </c>
      <c r="G16" s="55">
        <f t="shared" si="0"/>
        <v>2424</v>
      </c>
      <c r="H16" s="55">
        <f t="shared" si="1"/>
        <v>0</v>
      </c>
      <c r="I16" s="4" t="s">
        <v>87</v>
      </c>
    </row>
    <row r="17" spans="1:9" x14ac:dyDescent="0.25">
      <c r="A17" s="44" t="s">
        <v>55</v>
      </c>
      <c r="B17" s="45" t="s">
        <v>136</v>
      </c>
      <c r="C17" s="46">
        <v>300</v>
      </c>
      <c r="D17" s="46">
        <v>0</v>
      </c>
      <c r="E17" s="47">
        <v>7.9770000000000003</v>
      </c>
      <c r="F17" s="46">
        <v>0</v>
      </c>
      <c r="G17" s="55">
        <f t="shared" si="0"/>
        <v>2393.1</v>
      </c>
      <c r="H17" s="55">
        <f t="shared" si="1"/>
        <v>0</v>
      </c>
      <c r="I17" s="4" t="s">
        <v>87</v>
      </c>
    </row>
    <row r="18" spans="1:9" x14ac:dyDescent="0.25">
      <c r="A18" s="48" t="s">
        <v>137</v>
      </c>
      <c r="B18" s="49" t="s">
        <v>138</v>
      </c>
      <c r="C18" s="50">
        <v>100</v>
      </c>
      <c r="D18" s="50">
        <v>0</v>
      </c>
      <c r="E18" s="51">
        <v>33.975999999999999</v>
      </c>
      <c r="F18" s="50">
        <v>0</v>
      </c>
      <c r="G18" s="55">
        <f t="shared" si="0"/>
        <v>3397.6</v>
      </c>
      <c r="H18" s="55">
        <f t="shared" si="1"/>
        <v>0</v>
      </c>
      <c r="I18" s="4" t="s">
        <v>87</v>
      </c>
    </row>
    <row r="19" spans="1:9" x14ac:dyDescent="0.25">
      <c r="A19" s="44" t="s">
        <v>20</v>
      </c>
      <c r="B19" s="45" t="s">
        <v>139</v>
      </c>
      <c r="C19" s="46">
        <v>0</v>
      </c>
      <c r="D19" s="46">
        <v>100</v>
      </c>
      <c r="E19" s="46">
        <v>0</v>
      </c>
      <c r="F19" s="47">
        <v>21.91</v>
      </c>
      <c r="G19" s="55">
        <f t="shared" si="0"/>
        <v>0</v>
      </c>
      <c r="H19" s="55">
        <f t="shared" si="1"/>
        <v>2191</v>
      </c>
      <c r="I19" s="4" t="s">
        <v>87</v>
      </c>
    </row>
    <row r="20" spans="1:9" x14ac:dyDescent="0.25">
      <c r="A20" s="48" t="s">
        <v>140</v>
      </c>
      <c r="B20" s="49" t="s">
        <v>141</v>
      </c>
      <c r="C20" s="50">
        <v>140</v>
      </c>
      <c r="D20" s="50">
        <v>40</v>
      </c>
      <c r="E20" s="51">
        <v>21.966000000000001</v>
      </c>
      <c r="F20" s="51">
        <v>22.1</v>
      </c>
      <c r="G20" s="55">
        <f t="shared" si="0"/>
        <v>3075.2400000000002</v>
      </c>
      <c r="H20" s="55">
        <f t="shared" si="1"/>
        <v>884</v>
      </c>
      <c r="I20" s="4" t="s">
        <v>87</v>
      </c>
    </row>
    <row r="21" spans="1:9" x14ac:dyDescent="0.25">
      <c r="A21" s="44" t="s">
        <v>142</v>
      </c>
      <c r="B21" s="45" t="s">
        <v>143</v>
      </c>
      <c r="C21" s="46">
        <v>30</v>
      </c>
      <c r="D21" s="46">
        <v>30</v>
      </c>
      <c r="E21" s="47">
        <v>19.5</v>
      </c>
      <c r="F21" s="47">
        <v>21.45</v>
      </c>
      <c r="G21" s="55">
        <f t="shared" si="0"/>
        <v>585</v>
      </c>
      <c r="H21" s="55">
        <f t="shared" si="1"/>
        <v>643.5</v>
      </c>
      <c r="I21" s="4">
        <f t="shared" si="2"/>
        <v>58.5</v>
      </c>
    </row>
    <row r="22" spans="1:9" x14ac:dyDescent="0.25">
      <c r="A22" s="48" t="s">
        <v>144</v>
      </c>
      <c r="B22" s="49" t="s">
        <v>145</v>
      </c>
      <c r="C22" s="50">
        <v>60</v>
      </c>
      <c r="D22" s="50">
        <v>0</v>
      </c>
      <c r="E22" s="51">
        <v>41.36</v>
      </c>
      <c r="F22" s="50">
        <v>0</v>
      </c>
      <c r="G22" s="55">
        <f t="shared" si="0"/>
        <v>2481.6</v>
      </c>
      <c r="H22" s="55">
        <f t="shared" si="1"/>
        <v>0</v>
      </c>
      <c r="I22" s="4" t="s">
        <v>87</v>
      </c>
    </row>
    <row r="23" spans="1:9" x14ac:dyDescent="0.25">
      <c r="A23" s="44" t="s">
        <v>19</v>
      </c>
      <c r="B23" s="52">
        <v>43902</v>
      </c>
      <c r="C23" s="46">
        <v>100</v>
      </c>
      <c r="D23" s="46">
        <v>0</v>
      </c>
      <c r="E23" s="47">
        <v>23.29</v>
      </c>
      <c r="F23" s="46">
        <v>0</v>
      </c>
      <c r="G23" s="55">
        <f t="shared" si="0"/>
        <v>2329</v>
      </c>
      <c r="H23" s="55">
        <f t="shared" si="1"/>
        <v>0</v>
      </c>
      <c r="I23" s="4" t="s">
        <v>87</v>
      </c>
    </row>
    <row r="24" spans="1:9" x14ac:dyDescent="0.25">
      <c r="A24" s="48" t="s">
        <v>146</v>
      </c>
      <c r="B24" s="49" t="s">
        <v>147</v>
      </c>
      <c r="C24" s="50">
        <v>33</v>
      </c>
      <c r="D24" s="50">
        <v>33</v>
      </c>
      <c r="E24" s="51">
        <v>39.326999999999998</v>
      </c>
      <c r="F24" s="51">
        <v>59.375</v>
      </c>
      <c r="G24" s="55">
        <f t="shared" si="0"/>
        <v>1297.7909999999999</v>
      </c>
      <c r="H24" s="55">
        <f t="shared" si="1"/>
        <v>1959.375</v>
      </c>
      <c r="I24" s="4">
        <f t="shared" si="2"/>
        <v>661.58400000000006</v>
      </c>
    </row>
    <row r="25" spans="1:9" x14ac:dyDescent="0.25">
      <c r="A25" s="44" t="s">
        <v>148</v>
      </c>
      <c r="B25" s="45" t="s">
        <v>149</v>
      </c>
      <c r="C25" s="46">
        <v>60</v>
      </c>
      <c r="D25" s="46">
        <v>0</v>
      </c>
      <c r="E25" s="47">
        <v>48.36</v>
      </c>
      <c r="F25" s="46">
        <v>0</v>
      </c>
      <c r="G25" s="55">
        <f t="shared" si="0"/>
        <v>2901.6</v>
      </c>
      <c r="H25" s="55">
        <f t="shared" si="1"/>
        <v>0</v>
      </c>
      <c r="I25" s="4" t="s">
        <v>87</v>
      </c>
    </row>
    <row r="26" spans="1:9" x14ac:dyDescent="0.25">
      <c r="A26" s="48" t="s">
        <v>150</v>
      </c>
      <c r="B26" s="49" t="s">
        <v>151</v>
      </c>
      <c r="C26" s="50">
        <v>31</v>
      </c>
      <c r="D26" s="50">
        <v>31</v>
      </c>
      <c r="E26" s="51">
        <v>65.638999999999996</v>
      </c>
      <c r="F26" s="51">
        <v>76.13</v>
      </c>
      <c r="G26" s="55">
        <f t="shared" si="0"/>
        <v>2034.809</v>
      </c>
      <c r="H26" s="55">
        <f t="shared" si="1"/>
        <v>2360.0299999999997</v>
      </c>
      <c r="I26" s="4">
        <f t="shared" si="2"/>
        <v>325.22099999999978</v>
      </c>
    </row>
    <row r="27" spans="1:9" x14ac:dyDescent="0.25">
      <c r="A27" s="44" t="s">
        <v>13</v>
      </c>
      <c r="B27" s="45" t="s">
        <v>152</v>
      </c>
      <c r="C27" s="46">
        <v>100</v>
      </c>
      <c r="D27" s="46">
        <v>0</v>
      </c>
      <c r="E27" s="47">
        <v>11.03</v>
      </c>
      <c r="F27" s="46">
        <v>0</v>
      </c>
      <c r="G27" s="55">
        <f t="shared" si="0"/>
        <v>1103</v>
      </c>
      <c r="H27" s="55">
        <f t="shared" si="1"/>
        <v>0</v>
      </c>
      <c r="I27" s="4"/>
    </row>
    <row r="28" spans="1:9" x14ac:dyDescent="0.25">
      <c r="A28" s="48" t="s">
        <v>153</v>
      </c>
      <c r="B28" s="49" t="s">
        <v>154</v>
      </c>
      <c r="C28" s="50">
        <v>50</v>
      </c>
      <c r="D28" s="50">
        <v>0</v>
      </c>
      <c r="E28" s="51">
        <v>15.88</v>
      </c>
      <c r="F28" s="50">
        <v>0</v>
      </c>
      <c r="G28" s="55">
        <f t="shared" si="0"/>
        <v>794</v>
      </c>
      <c r="H28" s="55">
        <f t="shared" si="1"/>
        <v>0</v>
      </c>
      <c r="I28" s="4"/>
    </row>
    <row r="29" spans="1:9" x14ac:dyDescent="0.25">
      <c r="A29" s="44" t="s">
        <v>155</v>
      </c>
      <c r="B29" s="45" t="s">
        <v>128</v>
      </c>
      <c r="C29" s="46">
        <v>2</v>
      </c>
      <c r="D29" s="46">
        <v>2</v>
      </c>
      <c r="E29" s="47">
        <v>105.59</v>
      </c>
      <c r="F29" s="47">
        <v>105.59</v>
      </c>
      <c r="G29" s="55">
        <f t="shared" si="0"/>
        <v>211.18</v>
      </c>
      <c r="H29" s="55">
        <f t="shared" si="1"/>
        <v>211.18</v>
      </c>
      <c r="I29" s="4">
        <f t="shared" si="2"/>
        <v>0</v>
      </c>
    </row>
    <row r="30" spans="1:9" x14ac:dyDescent="0.25">
      <c r="A30" s="48" t="s">
        <v>12</v>
      </c>
      <c r="B30" s="49" t="s">
        <v>156</v>
      </c>
      <c r="C30" s="50">
        <v>200</v>
      </c>
      <c r="D30" s="50">
        <v>200</v>
      </c>
      <c r="E30" s="51">
        <v>23.95</v>
      </c>
      <c r="F30" s="51">
        <v>42.25</v>
      </c>
      <c r="G30" s="55">
        <f t="shared" si="0"/>
        <v>4790</v>
      </c>
      <c r="H30" s="55">
        <f t="shared" si="1"/>
        <v>8450</v>
      </c>
      <c r="I30" s="4">
        <f t="shared" si="2"/>
        <v>3660</v>
      </c>
    </row>
    <row r="31" spans="1:9" x14ac:dyDescent="0.25">
      <c r="A31" s="44" t="s">
        <v>157</v>
      </c>
      <c r="B31" s="45" t="s">
        <v>158</v>
      </c>
      <c r="C31" s="46">
        <v>50</v>
      </c>
      <c r="D31" s="46">
        <v>50</v>
      </c>
      <c r="E31" s="47">
        <v>57.93</v>
      </c>
      <c r="F31" s="47">
        <v>51</v>
      </c>
      <c r="G31" s="55">
        <f t="shared" si="0"/>
        <v>2896.5</v>
      </c>
      <c r="H31" s="55">
        <f t="shared" si="1"/>
        <v>2550</v>
      </c>
      <c r="I31" s="4">
        <f t="shared" si="2"/>
        <v>-346.5</v>
      </c>
    </row>
    <row r="32" spans="1:9" x14ac:dyDescent="0.25">
      <c r="A32" s="48" t="s">
        <v>159</v>
      </c>
      <c r="B32" s="49" t="s">
        <v>160</v>
      </c>
      <c r="C32" s="50">
        <v>100</v>
      </c>
      <c r="D32" s="50">
        <v>0</v>
      </c>
      <c r="E32" s="51">
        <v>17.25</v>
      </c>
      <c r="F32" s="50">
        <v>0</v>
      </c>
      <c r="G32" s="55">
        <f t="shared" si="0"/>
        <v>1725</v>
      </c>
      <c r="H32" s="55">
        <f t="shared" si="1"/>
        <v>0</v>
      </c>
      <c r="I32" s="4"/>
    </row>
    <row r="33" spans="1:9" x14ac:dyDescent="0.25">
      <c r="A33" s="44" t="s">
        <v>161</v>
      </c>
      <c r="B33" s="45" t="s">
        <v>162</v>
      </c>
      <c r="C33" s="46">
        <v>120</v>
      </c>
      <c r="D33" s="46">
        <v>0</v>
      </c>
      <c r="E33" s="47">
        <v>26.597999999999999</v>
      </c>
      <c r="F33" s="46">
        <v>0</v>
      </c>
      <c r="G33" s="55">
        <f t="shared" si="0"/>
        <v>3191.7599999999998</v>
      </c>
      <c r="H33" s="55">
        <f t="shared" si="1"/>
        <v>0</v>
      </c>
      <c r="I33" s="4"/>
    </row>
    <row r="34" spans="1:9" x14ac:dyDescent="0.25">
      <c r="A34" s="48" t="s">
        <v>163</v>
      </c>
      <c r="B34" s="49" t="s">
        <v>128</v>
      </c>
      <c r="C34" s="50">
        <v>42</v>
      </c>
      <c r="D34" s="50">
        <v>42</v>
      </c>
      <c r="E34" s="51">
        <v>4.68</v>
      </c>
      <c r="F34" s="51">
        <v>4.79</v>
      </c>
      <c r="G34" s="55">
        <f t="shared" si="0"/>
        <v>196.56</v>
      </c>
      <c r="H34" s="55">
        <f t="shared" si="1"/>
        <v>201.18</v>
      </c>
      <c r="I34" s="4">
        <f t="shared" si="2"/>
        <v>4.6200000000000045</v>
      </c>
    </row>
    <row r="35" spans="1:9" x14ac:dyDescent="0.25">
      <c r="A35" s="44" t="s">
        <v>164</v>
      </c>
      <c r="B35" s="45" t="s">
        <v>165</v>
      </c>
      <c r="C35" s="46">
        <v>60</v>
      </c>
      <c r="D35" s="46">
        <v>30</v>
      </c>
      <c r="E35" s="47">
        <v>43.68</v>
      </c>
      <c r="F35" s="47">
        <v>67.5</v>
      </c>
      <c r="G35" s="55">
        <f t="shared" si="0"/>
        <v>2620.8000000000002</v>
      </c>
      <c r="H35" s="55">
        <f t="shared" si="1"/>
        <v>2025</v>
      </c>
      <c r="I35" s="4">
        <f>30*F35-30*E35</f>
        <v>714.59999999999991</v>
      </c>
    </row>
    <row r="36" spans="1:9" x14ac:dyDescent="0.25">
      <c r="A36" s="48" t="s">
        <v>166</v>
      </c>
      <c r="B36" s="49" t="s">
        <v>167</v>
      </c>
      <c r="C36" s="50">
        <v>40</v>
      </c>
      <c r="D36" s="50">
        <v>40</v>
      </c>
      <c r="E36" s="51">
        <v>19.288</v>
      </c>
      <c r="F36" s="51">
        <v>26.17</v>
      </c>
      <c r="G36" s="55">
        <f t="shared" si="0"/>
        <v>771.52</v>
      </c>
      <c r="H36" s="55">
        <f t="shared" si="1"/>
        <v>1046.8000000000002</v>
      </c>
      <c r="I36" s="4">
        <f t="shared" si="2"/>
        <v>275.2800000000002</v>
      </c>
    </row>
    <row r="37" spans="1:9" x14ac:dyDescent="0.25">
      <c r="A37" s="44" t="s">
        <v>168</v>
      </c>
      <c r="B37" s="45" t="s">
        <v>169</v>
      </c>
      <c r="C37" s="46">
        <v>50</v>
      </c>
      <c r="D37" s="46">
        <v>0</v>
      </c>
      <c r="E37" s="47">
        <v>50.064</v>
      </c>
      <c r="F37" s="46">
        <v>0</v>
      </c>
      <c r="G37" s="55">
        <f t="shared" si="0"/>
        <v>2503.1999999999998</v>
      </c>
      <c r="H37" s="55">
        <f t="shared" si="1"/>
        <v>0</v>
      </c>
      <c r="I37" s="4"/>
    </row>
    <row r="38" spans="1:9" x14ac:dyDescent="0.25">
      <c r="A38" s="48" t="s">
        <v>11</v>
      </c>
      <c r="B38" s="49" t="s">
        <v>170</v>
      </c>
      <c r="C38" s="50">
        <v>300</v>
      </c>
      <c r="D38" s="50">
        <v>300</v>
      </c>
      <c r="E38" s="51">
        <v>11.37</v>
      </c>
      <c r="F38" s="51">
        <v>13.217000000000001</v>
      </c>
      <c r="G38" s="55">
        <f t="shared" si="0"/>
        <v>3410.9999999999995</v>
      </c>
      <c r="H38" s="55">
        <f t="shared" si="1"/>
        <v>3965.1000000000004</v>
      </c>
      <c r="I38" s="4">
        <f t="shared" si="2"/>
        <v>554.10000000000082</v>
      </c>
    </row>
    <row r="39" spans="1:9" x14ac:dyDescent="0.25">
      <c r="A39" s="44" t="s">
        <v>17</v>
      </c>
      <c r="B39" s="45" t="s">
        <v>171</v>
      </c>
      <c r="C39" s="46">
        <v>100</v>
      </c>
      <c r="D39" s="46">
        <v>100</v>
      </c>
      <c r="E39" s="47">
        <v>21.12</v>
      </c>
      <c r="F39" s="47">
        <v>21.47</v>
      </c>
      <c r="G39" s="55">
        <f t="shared" si="0"/>
        <v>2112</v>
      </c>
      <c r="H39" s="55">
        <f t="shared" si="1"/>
        <v>2147</v>
      </c>
      <c r="I39" s="4">
        <f t="shared" si="2"/>
        <v>35</v>
      </c>
    </row>
    <row r="40" spans="1:9" x14ac:dyDescent="0.25">
      <c r="A40" s="48" t="s">
        <v>172</v>
      </c>
      <c r="B40" s="53">
        <v>43865</v>
      </c>
      <c r="C40" s="50">
        <v>50</v>
      </c>
      <c r="D40" s="50">
        <v>0</v>
      </c>
      <c r="E40" s="51">
        <v>21.41</v>
      </c>
      <c r="F40" s="50">
        <v>0</v>
      </c>
      <c r="G40" s="55">
        <f t="shared" si="0"/>
        <v>1070.5</v>
      </c>
      <c r="H40" s="55">
        <f t="shared" si="1"/>
        <v>0</v>
      </c>
      <c r="I40" s="4"/>
    </row>
    <row r="41" spans="1:9" x14ac:dyDescent="0.25">
      <c r="G41" s="4"/>
      <c r="H41" s="4"/>
      <c r="I41" s="4">
        <f>SUM(I3:I40)</f>
        <v>7845.8350000000009</v>
      </c>
    </row>
  </sheetData>
  <hyperlinks>
    <hyperlink ref="A1" r:id="rId1" display="https://cei.b3.com.br/CEI_Responsivo/negociacao-de-ativos.aspx" xr:uid="{019DF614-CE02-4208-B87C-C110CF1B47EA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AC5D-1D3B-4066-A6E4-A8E659195696}">
  <dimension ref="A1:B24"/>
  <sheetViews>
    <sheetView topLeftCell="A3" workbookViewId="0">
      <selection activeCell="C13" sqref="C13"/>
    </sheetView>
  </sheetViews>
  <sheetFormatPr defaultRowHeight="15" x14ac:dyDescent="0.25"/>
  <cols>
    <col min="1" max="1" width="18" bestFit="1" customWidth="1"/>
    <col min="2" max="3" width="27.42578125" bestFit="1" customWidth="1"/>
  </cols>
  <sheetData>
    <row r="1" spans="1:2" x14ac:dyDescent="0.25">
      <c r="A1" s="25" t="s">
        <v>179</v>
      </c>
      <c r="B1" s="26">
        <v>2020</v>
      </c>
    </row>
    <row r="2" spans="1:2" x14ac:dyDescent="0.25">
      <c r="A2" s="25" t="s">
        <v>5</v>
      </c>
      <c r="B2" t="s">
        <v>10</v>
      </c>
    </row>
    <row r="4" spans="1:2" x14ac:dyDescent="0.25">
      <c r="A4" s="25" t="s">
        <v>56</v>
      </c>
      <c r="B4" t="s">
        <v>180</v>
      </c>
    </row>
    <row r="5" spans="1:2" x14ac:dyDescent="0.25">
      <c r="A5" s="26" t="s">
        <v>14</v>
      </c>
      <c r="B5" s="58">
        <v>-1195</v>
      </c>
    </row>
    <row r="6" spans="1:2" x14ac:dyDescent="0.25">
      <c r="A6" s="26" t="s">
        <v>15</v>
      </c>
      <c r="B6" s="58">
        <v>-2997</v>
      </c>
    </row>
    <row r="7" spans="1:2" x14ac:dyDescent="0.25">
      <c r="A7" s="26" t="s">
        <v>6</v>
      </c>
      <c r="B7" s="58">
        <v>-6946</v>
      </c>
    </row>
    <row r="8" spans="1:2" x14ac:dyDescent="0.25">
      <c r="A8" s="26" t="s">
        <v>9</v>
      </c>
      <c r="B8" s="58">
        <v>-708.8</v>
      </c>
    </row>
    <row r="9" spans="1:2" x14ac:dyDescent="0.25">
      <c r="A9" s="26" t="s">
        <v>23</v>
      </c>
      <c r="B9" s="58">
        <v>-201.19</v>
      </c>
    </row>
    <row r="10" spans="1:2" x14ac:dyDescent="0.25">
      <c r="A10" s="26" t="s">
        <v>16</v>
      </c>
      <c r="B10" s="58">
        <v>-1362</v>
      </c>
    </row>
    <row r="11" spans="1:2" x14ac:dyDescent="0.25">
      <c r="A11" s="26" t="s">
        <v>75</v>
      </c>
      <c r="B11" s="58">
        <v>-2135</v>
      </c>
    </row>
    <row r="12" spans="1:2" x14ac:dyDescent="0.25">
      <c r="A12" s="26" t="s">
        <v>25</v>
      </c>
      <c r="B12" s="58">
        <v>-200.75</v>
      </c>
    </row>
    <row r="13" spans="1:2" x14ac:dyDescent="0.25">
      <c r="A13" s="26" t="s">
        <v>20</v>
      </c>
      <c r="B13" s="58">
        <v>-3075</v>
      </c>
    </row>
    <row r="14" spans="1:2" x14ac:dyDescent="0.25">
      <c r="A14" s="26" t="s">
        <v>41</v>
      </c>
      <c r="B14" s="58">
        <v>-643.5</v>
      </c>
    </row>
    <row r="15" spans="1:2" x14ac:dyDescent="0.25">
      <c r="A15" s="26" t="s">
        <v>19</v>
      </c>
      <c r="B15" s="58">
        <v>-489.84249999999997</v>
      </c>
    </row>
    <row r="16" spans="1:2" x14ac:dyDescent="0.25">
      <c r="A16" s="26" t="s">
        <v>27</v>
      </c>
      <c r="B16" s="58">
        <v>-2360.0299999999997</v>
      </c>
    </row>
    <row r="17" spans="1:2" x14ac:dyDescent="0.25">
      <c r="A17" s="26" t="s">
        <v>22</v>
      </c>
      <c r="B17" s="58">
        <v>-211.18</v>
      </c>
    </row>
    <row r="18" spans="1:2" x14ac:dyDescent="0.25">
      <c r="A18" s="26" t="s">
        <v>12</v>
      </c>
      <c r="B18" s="58">
        <v>-11000</v>
      </c>
    </row>
    <row r="19" spans="1:2" x14ac:dyDescent="0.25">
      <c r="A19" s="26" t="s">
        <v>24</v>
      </c>
      <c r="B19" s="58">
        <v>-201.18</v>
      </c>
    </row>
    <row r="20" spans="1:2" x14ac:dyDescent="0.25">
      <c r="A20" s="26" t="s">
        <v>18</v>
      </c>
      <c r="B20" s="58">
        <v>-2025</v>
      </c>
    </row>
    <row r="21" spans="1:2" x14ac:dyDescent="0.25">
      <c r="A21" s="26" t="s">
        <v>42</v>
      </c>
      <c r="B21" s="58">
        <v>-1046.8000000000002</v>
      </c>
    </row>
    <row r="22" spans="1:2" x14ac:dyDescent="0.25">
      <c r="A22" s="26" t="s">
        <v>11</v>
      </c>
      <c r="B22" s="58">
        <v>-3965</v>
      </c>
    </row>
    <row r="23" spans="1:2" x14ac:dyDescent="0.25">
      <c r="A23" s="26" t="s">
        <v>17</v>
      </c>
      <c r="B23" s="58">
        <v>-2147</v>
      </c>
    </row>
    <row r="24" spans="1:2" x14ac:dyDescent="0.25">
      <c r="A24" s="26" t="s">
        <v>57</v>
      </c>
      <c r="B24" s="58">
        <v>-42910.272499999999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Fluxo</vt:lpstr>
      <vt:lpstr>Análise Ações BR</vt:lpstr>
      <vt:lpstr>Rendimento Ações BR</vt:lpstr>
      <vt:lpstr>Resumo investimentos</vt:lpstr>
      <vt:lpstr>Plan1</vt:lpstr>
      <vt:lpstr>IR</vt:lpstr>
      <vt:lpstr>Análise para 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Joao</cp:lastModifiedBy>
  <dcterms:created xsi:type="dcterms:W3CDTF">2020-05-11T19:42:52Z</dcterms:created>
  <dcterms:modified xsi:type="dcterms:W3CDTF">2021-10-31T16:08:26Z</dcterms:modified>
</cp:coreProperties>
</file>