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Denver Asset\Clube Kairos\"/>
    </mc:Choice>
  </mc:AlternateContent>
  <xr:revisionPtr revIDLastSave="0" documentId="13_ncr:1_{7A5FF9D2-E20D-4A5F-B609-784C4DEE5293}" xr6:coauthVersionLast="47" xr6:coauthVersionMax="47" xr10:uidLastSave="{00000000-0000-0000-0000-000000000000}"/>
  <bookViews>
    <workbookView xWindow="-120" yWindow="-120" windowWidth="29040" windowHeight="15720" activeTab="4" xr2:uid="{EAECE1ED-A44F-408D-B68A-B04E867498A7}"/>
  </bookViews>
  <sheets>
    <sheet name="Historico_Cota" sheetId="1" r:id="rId1"/>
    <sheet name="Cotistas" sheetId="2" r:id="rId2"/>
    <sheet name="Ativos" sheetId="3" r:id="rId3"/>
    <sheet name="Rent_Mensal" sheetId="5" r:id="rId4"/>
    <sheet name="Selic" sheetId="6" r:id="rId5"/>
    <sheet name="Cadastro_Acoes" sheetId="4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5" l="1"/>
  <c r="N5" i="5" a="1"/>
  <c r="N5" i="5" s="1"/>
  <c r="N4" i="5" a="1"/>
  <c r="N4" i="5" s="1"/>
  <c r="C3" i="5" l="1"/>
  <c r="B2" i="5"/>
  <c r="B5" i="5" s="1"/>
  <c r="B3" i="5"/>
  <c r="C1" i="5"/>
  <c r="D1" i="5" s="1"/>
  <c r="E1" i="5" s="1"/>
  <c r="F1" i="5" s="1"/>
  <c r="G1" i="5" s="1"/>
  <c r="H1" i="5" s="1"/>
  <c r="I1" i="5" s="1"/>
  <c r="J1" i="5" s="1"/>
  <c r="K1" i="5" s="1"/>
  <c r="L1" i="5" s="1"/>
  <c r="M1" i="5" s="1"/>
  <c r="M3" i="5" s="1"/>
  <c r="F41" i="1"/>
  <c r="F4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" i="3"/>
  <c r="E2" i="3"/>
  <c r="E3" i="3"/>
  <c r="E4" i="3"/>
  <c r="E5" i="3"/>
  <c r="E6" i="3"/>
  <c r="E7" i="3"/>
  <c r="E8" i="3"/>
  <c r="E9" i="3"/>
  <c r="E10" i="3"/>
  <c r="E11" i="3"/>
  <c r="E12" i="3"/>
  <c r="E14" i="3"/>
  <c r="E15" i="3"/>
  <c r="E16" i="3"/>
  <c r="E17" i="3"/>
  <c r="E18" i="3"/>
  <c r="E19" i="3"/>
  <c r="E20" i="3"/>
  <c r="E21" i="3"/>
  <c r="E22" i="3"/>
  <c r="E23" i="3"/>
  <c r="E13" i="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" i="2"/>
  <c r="H42" i="1"/>
  <c r="G42" i="1"/>
  <c r="H41" i="1"/>
  <c r="G41" i="1"/>
  <c r="H40" i="1"/>
  <c r="G40" i="1"/>
  <c r="F40" i="1"/>
  <c r="H39" i="1"/>
  <c r="G39" i="1"/>
  <c r="F39" i="1"/>
  <c r="H38" i="1"/>
  <c r="G38" i="1"/>
  <c r="F38" i="1"/>
  <c r="H37" i="1"/>
  <c r="G37" i="1"/>
  <c r="F37" i="1"/>
  <c r="H36" i="1"/>
  <c r="G36" i="1"/>
  <c r="F36" i="1"/>
  <c r="H35" i="1"/>
  <c r="G35" i="1"/>
  <c r="F35" i="1"/>
  <c r="H34" i="1"/>
  <c r="G34" i="1"/>
  <c r="F34" i="1"/>
  <c r="H33" i="1"/>
  <c r="G33" i="1"/>
  <c r="F33" i="1"/>
  <c r="H32" i="1"/>
  <c r="G32" i="1"/>
  <c r="F32" i="1"/>
  <c r="H31" i="1"/>
  <c r="G31" i="1"/>
  <c r="F31" i="1"/>
  <c r="H30" i="1"/>
  <c r="G30" i="1"/>
  <c r="F30" i="1"/>
  <c r="H29" i="1"/>
  <c r="G29" i="1"/>
  <c r="F29" i="1"/>
  <c r="H28" i="1"/>
  <c r="G28" i="1"/>
  <c r="F28" i="1"/>
  <c r="H27" i="1"/>
  <c r="G27" i="1"/>
  <c r="F27" i="1"/>
  <c r="H26" i="1"/>
  <c r="G26" i="1"/>
  <c r="F26" i="1"/>
  <c r="H25" i="1"/>
  <c r="G25" i="1"/>
  <c r="F25" i="1"/>
  <c r="H24" i="1"/>
  <c r="G24" i="1"/>
  <c r="F24" i="1"/>
  <c r="H23" i="1"/>
  <c r="G23" i="1"/>
  <c r="F23" i="1"/>
  <c r="H22" i="1"/>
  <c r="G22" i="1"/>
  <c r="F22" i="1"/>
  <c r="H21" i="1"/>
  <c r="G21" i="1"/>
  <c r="F21" i="1"/>
  <c r="H20" i="1"/>
  <c r="G20" i="1"/>
  <c r="F20" i="1"/>
  <c r="H19" i="1"/>
  <c r="G19" i="1"/>
  <c r="F19" i="1"/>
  <c r="H18" i="1"/>
  <c r="G18" i="1"/>
  <c r="F18" i="1"/>
  <c r="H17" i="1"/>
  <c r="G17" i="1"/>
  <c r="F17" i="1"/>
  <c r="H16" i="1"/>
  <c r="G16" i="1"/>
  <c r="F16" i="1"/>
  <c r="H15" i="1"/>
  <c r="G15" i="1"/>
  <c r="F15" i="1"/>
  <c r="H14" i="1"/>
  <c r="G14" i="1"/>
  <c r="F14" i="1"/>
  <c r="H13" i="1"/>
  <c r="G13" i="1"/>
  <c r="F13" i="1"/>
  <c r="H12" i="1"/>
  <c r="G12" i="1"/>
  <c r="F12" i="1"/>
  <c r="H11" i="1"/>
  <c r="G11" i="1"/>
  <c r="F11" i="1"/>
  <c r="H10" i="1"/>
  <c r="G10" i="1"/>
  <c r="F10" i="1"/>
  <c r="H9" i="1"/>
  <c r="G9" i="1"/>
  <c r="F9" i="1"/>
  <c r="H8" i="1"/>
  <c r="G8" i="1"/>
  <c r="F8" i="1"/>
  <c r="H7" i="1"/>
  <c r="G7" i="1"/>
  <c r="F7" i="1"/>
  <c r="H6" i="1"/>
  <c r="G6" i="1"/>
  <c r="F6" i="1"/>
  <c r="H5" i="1"/>
  <c r="G5" i="1"/>
  <c r="F5" i="1"/>
  <c r="H4" i="1"/>
  <c r="G4" i="1"/>
  <c r="F4" i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J3" i="1"/>
  <c r="H3" i="1"/>
  <c r="G3" i="1"/>
  <c r="F3" i="1"/>
  <c r="K3" i="1" s="1"/>
  <c r="M2" i="5" l="1"/>
  <c r="L2" i="5"/>
  <c r="L3" i="5"/>
  <c r="K2" i="5"/>
  <c r="K3" i="5"/>
  <c r="J2" i="5"/>
  <c r="J3" i="5"/>
  <c r="I2" i="5"/>
  <c r="I3" i="5"/>
  <c r="H2" i="5"/>
  <c r="H3" i="5"/>
  <c r="G2" i="5"/>
  <c r="G3" i="5"/>
  <c r="F2" i="5"/>
  <c r="F3" i="5"/>
  <c r="E2" i="5"/>
  <c r="E3" i="5"/>
  <c r="D2" i="5"/>
  <c r="B4" i="5"/>
  <c r="B6" i="5" s="1"/>
  <c r="D3" i="5"/>
  <c r="C2" i="5"/>
  <c r="K4" i="1"/>
  <c r="K5" i="1" s="1"/>
  <c r="J25" i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M3" i="1"/>
  <c r="M4" i="1" s="1"/>
  <c r="M5" i="1" s="1"/>
  <c r="M6" i="1" s="1"/>
  <c r="M7" i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K6" i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J4" i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C5" i="5" l="1"/>
  <c r="C4" i="5"/>
  <c r="H5" i="5"/>
  <c r="H4" i="5"/>
  <c r="M5" i="5"/>
  <c r="M4" i="5"/>
  <c r="G5" i="5"/>
  <c r="G4" i="5"/>
  <c r="G6" i="5" s="1"/>
  <c r="I5" i="5"/>
  <c r="I4" i="5"/>
  <c r="I6" i="5" s="1"/>
  <c r="D5" i="5"/>
  <c r="D4" i="5"/>
  <c r="D6" i="5" s="1"/>
  <c r="K5" i="5"/>
  <c r="K4" i="5"/>
  <c r="J5" i="5"/>
  <c r="J4" i="5"/>
  <c r="E5" i="5"/>
  <c r="E4" i="5"/>
  <c r="F5" i="5"/>
  <c r="F4" i="5"/>
  <c r="L5" i="5"/>
  <c r="L4" i="5"/>
  <c r="L6" i="5" s="1"/>
  <c r="E6" i="5" l="1"/>
  <c r="M6" i="5"/>
  <c r="K6" i="5"/>
  <c r="C6" i="5"/>
  <c r="F6" i="5"/>
  <c r="J6" i="5"/>
  <c r="H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<sst xmlns="http://schemas.openxmlformats.org/spreadsheetml/2006/main" count="123" uniqueCount="70">
  <si>
    <t xml:space="preserve">Data </t>
  </si>
  <si>
    <t>Patrimônio</t>
  </si>
  <si>
    <t>Ibovespa Fechamento</t>
  </si>
  <si>
    <t>Cota</t>
  </si>
  <si>
    <t>Rent - Kairos</t>
  </si>
  <si>
    <t>Rent - Ibov</t>
  </si>
  <si>
    <t>Acum - Kairos</t>
  </si>
  <si>
    <t>Acum - Ibov</t>
  </si>
  <si>
    <t>MêsAno</t>
  </si>
  <si>
    <t>Mês - Kairos</t>
  </si>
  <si>
    <t>Mês - Ibov</t>
  </si>
  <si>
    <t>Cota 100 - Kairos</t>
  </si>
  <si>
    <t>Cota 100 - Ibov</t>
  </si>
  <si>
    <t>CPF</t>
  </si>
  <si>
    <t>Patrimônio Bruto</t>
  </si>
  <si>
    <t>(%)</t>
  </si>
  <si>
    <t>Data</t>
  </si>
  <si>
    <t>CPF Form</t>
  </si>
  <si>
    <t>Ativo</t>
  </si>
  <si>
    <t>Vlr Total</t>
  </si>
  <si>
    <t>PL</t>
  </si>
  <si>
    <t>Setor</t>
  </si>
  <si>
    <t>LFT</t>
  </si>
  <si>
    <t>Títulos Públicos</t>
  </si>
  <si>
    <t>BBAS3</t>
  </si>
  <si>
    <t>BBSE3</t>
  </si>
  <si>
    <t>BPAC11</t>
  </si>
  <si>
    <t>EGIE3</t>
  </si>
  <si>
    <t>ELET6</t>
  </si>
  <si>
    <t>IVVB11</t>
  </si>
  <si>
    <t>PRIO3</t>
  </si>
  <si>
    <t>USTK11</t>
  </si>
  <si>
    <t>VALE3</t>
  </si>
  <si>
    <t>CAIXA</t>
  </si>
  <si>
    <t>Ticker</t>
  </si>
  <si>
    <t>Empresa</t>
  </si>
  <si>
    <t>Subsetor</t>
  </si>
  <si>
    <t>Banco do Brasil S.A.</t>
  </si>
  <si>
    <t>Intermediários Financeiros</t>
  </si>
  <si>
    <t>Bancos</t>
  </si>
  <si>
    <t>BB Seguridade</t>
  </si>
  <si>
    <t>Previdência e Seguros</t>
  </si>
  <si>
    <t>Seguradoras</t>
  </si>
  <si>
    <t>Banco BTG Pactual S.A.</t>
  </si>
  <si>
    <t>Engie Brasil</t>
  </si>
  <si>
    <t>Energia Elétrica</t>
  </si>
  <si>
    <t>Centrais Eletricas Brasileiras S.A.</t>
  </si>
  <si>
    <t>iShares S&amp;P 500 FIC de Fundo de Indice IE</t>
  </si>
  <si>
    <t>Fundos de índice</t>
  </si>
  <si>
    <t>Ações de mercado externo</t>
  </si>
  <si>
    <t>Petro Rio S.A.</t>
  </si>
  <si>
    <t>Petróleo, Gás e Biocombustíveis</t>
  </si>
  <si>
    <t>Exploração, Refino e Distribuição</t>
  </si>
  <si>
    <t>Investo ETF MSCI US Technology</t>
  </si>
  <si>
    <t>Ações de mercado externo | Tecnologia</t>
  </si>
  <si>
    <t>Vale S.A.</t>
  </si>
  <si>
    <t>Mineração</t>
  </si>
  <si>
    <t>Minerais Metálicos</t>
  </si>
  <si>
    <t>Letra Financeira do Tesouro - Pós Fixado</t>
  </si>
  <si>
    <t>Caixa</t>
  </si>
  <si>
    <t>Banco C/C</t>
  </si>
  <si>
    <t>% PL</t>
  </si>
  <si>
    <t>Categoria</t>
  </si>
  <si>
    <t>Ações</t>
  </si>
  <si>
    <t>Ano</t>
  </si>
  <si>
    <t>2025 - Kairos</t>
  </si>
  <si>
    <t>2025 - Ibov</t>
  </si>
  <si>
    <t>% Ibov</t>
  </si>
  <si>
    <t>Total</t>
  </si>
  <si>
    <t>Selic Hoje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</si>
</sst>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0000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7"/>
      <color rgb="FF000000"/>
      <name val="Times New Roman"/>
      <family val="1"/>
    </font>
    <font>
      <b/>
      <sz val="11"/>
      <color rgb="FFFFFFFF"/>
      <name val="Aptos Narrow"/>
      <family val="2"/>
    </font>
    <font>
      <b/>
      <sz val="1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6">
    <xf numFmtId="0" fontId="0" fillId="0" borderId="0" xfId="0"/>
    <xf numFmtId="10" fontId="0" fillId="0" borderId="0" xfId="0" applyNumberFormat="1"/>
    <xf numFmtId="43" fontId="0" fillId="0" borderId="0" xfId="1" applyFont="1"/>
    <xf numFmtId="4" fontId="0" fillId="0" borderId="0" xfId="0" applyNumberFormat="1"/>
    <xf numFmtId="10" fontId="2" fillId="2" borderId="3" xfId="0" applyNumberFormat="1" applyFont="1" applyFill="1" applyBorder="1"/>
    <xf numFmtId="4" fontId="2" fillId="2" borderId="3" xfId="0" applyNumberFormat="1" applyFont="1" applyFill="1" applyBorder="1"/>
    <xf numFmtId="4" fontId="2" fillId="2" borderId="4" xfId="0" applyNumberFormat="1" applyFont="1" applyFill="1" applyBorder="1"/>
    <xf numFmtId="0" fontId="6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4" fontId="0" fillId="4" borderId="0" xfId="0" applyNumberFormat="1" applyFill="1"/>
    <xf numFmtId="14" fontId="0" fillId="5" borderId="0" xfId="0" applyNumberFormat="1" applyFill="1"/>
    <xf numFmtId="0" fontId="0" fillId="5" borderId="0" xfId="0" applyFill="1"/>
    <xf numFmtId="4" fontId="0" fillId="5" borderId="0" xfId="0" applyNumberFormat="1" applyFill="1"/>
    <xf numFmtId="14" fontId="0" fillId="5" borderId="10" xfId="0" applyNumberFormat="1" applyFill="1" applyBorder="1"/>
    <xf numFmtId="0" fontId="0" fillId="5" borderId="10" xfId="0" applyFill="1" applyBorder="1"/>
    <xf numFmtId="4" fontId="0" fillId="5" borderId="10" xfId="0" applyNumberFormat="1" applyFill="1" applyBorder="1"/>
    <xf numFmtId="0" fontId="3" fillId="4" borderId="2" xfId="0" applyFont="1" applyFill="1" applyBorder="1"/>
    <xf numFmtId="0" fontId="3" fillId="4" borderId="3" xfId="0" applyFont="1" applyFill="1" applyBorder="1"/>
    <xf numFmtId="43" fontId="3" fillId="4" borderId="3" xfId="1" applyFont="1" applyFill="1" applyBorder="1"/>
    <xf numFmtId="10" fontId="3" fillId="4" borderId="3" xfId="0" applyNumberFormat="1" applyFont="1" applyFill="1" applyBorder="1"/>
    <xf numFmtId="14" fontId="5" fillId="5" borderId="5" xfId="0" applyNumberFormat="1" applyFont="1" applyFill="1" applyBorder="1" applyAlignment="1">
      <alignment vertical="center"/>
    </xf>
    <xf numFmtId="4" fontId="5" fillId="5" borderId="1" xfId="1" applyNumberFormat="1" applyFont="1" applyFill="1" applyBorder="1" applyAlignment="1">
      <alignment horizontal="center" vertical="center"/>
    </xf>
    <xf numFmtId="164" fontId="5" fillId="5" borderId="1" xfId="0" applyNumberFormat="1" applyFont="1" applyFill="1" applyBorder="1" applyAlignment="1">
      <alignment horizontal="right" vertical="center"/>
    </xf>
    <xf numFmtId="10" fontId="5" fillId="5" borderId="1" xfId="0" applyNumberFormat="1" applyFont="1" applyFill="1" applyBorder="1" applyAlignment="1">
      <alignment horizontal="right" vertical="center"/>
    </xf>
    <xf numFmtId="164" fontId="5" fillId="5" borderId="1" xfId="0" applyNumberFormat="1" applyFont="1" applyFill="1" applyBorder="1" applyAlignment="1">
      <alignment vertical="center"/>
    </xf>
    <xf numFmtId="10" fontId="5" fillId="5" borderId="1" xfId="0" applyNumberFormat="1" applyFont="1" applyFill="1" applyBorder="1" applyAlignment="1">
      <alignment vertical="center"/>
    </xf>
    <xf numFmtId="14" fontId="5" fillId="5" borderId="7" xfId="0" applyNumberFormat="1" applyFont="1" applyFill="1" applyBorder="1" applyAlignment="1">
      <alignment vertical="center"/>
    </xf>
    <xf numFmtId="4" fontId="5" fillId="5" borderId="8" xfId="1" applyNumberFormat="1" applyFont="1" applyFill="1" applyBorder="1" applyAlignment="1">
      <alignment horizontal="center" vertical="center"/>
    </xf>
    <xf numFmtId="164" fontId="5" fillId="5" borderId="8" xfId="0" applyNumberFormat="1" applyFont="1" applyFill="1" applyBorder="1" applyAlignment="1">
      <alignment horizontal="right" vertical="center"/>
    </xf>
    <xf numFmtId="10" fontId="5" fillId="5" borderId="8" xfId="0" applyNumberFormat="1" applyFont="1" applyFill="1" applyBorder="1" applyAlignment="1">
      <alignment horizontal="right" vertical="center"/>
    </xf>
    <xf numFmtId="10" fontId="5" fillId="6" borderId="1" xfId="0" applyNumberFormat="1" applyFont="1" applyFill="1" applyBorder="1" applyAlignment="1">
      <alignment horizontal="right" vertical="center"/>
    </xf>
    <xf numFmtId="164" fontId="5" fillId="6" borderId="1" xfId="0" applyNumberFormat="1" applyFont="1" applyFill="1" applyBorder="1" applyAlignment="1">
      <alignment horizontal="right" vertical="center"/>
    </xf>
    <xf numFmtId="164" fontId="5" fillId="6" borderId="6" xfId="0" applyNumberFormat="1" applyFont="1" applyFill="1" applyBorder="1" applyAlignment="1">
      <alignment horizontal="right" vertical="center"/>
    </xf>
    <xf numFmtId="10" fontId="5" fillId="6" borderId="8" xfId="0" applyNumberFormat="1" applyFont="1" applyFill="1" applyBorder="1" applyAlignment="1">
      <alignment horizontal="right" vertical="center"/>
    </xf>
    <xf numFmtId="164" fontId="5" fillId="6" borderId="8" xfId="0" applyNumberFormat="1" applyFont="1" applyFill="1" applyBorder="1" applyAlignment="1">
      <alignment horizontal="right" vertical="center"/>
    </xf>
    <xf numFmtId="164" fontId="5" fillId="6" borderId="9" xfId="0" applyNumberFormat="1" applyFont="1" applyFill="1" applyBorder="1" applyAlignment="1">
      <alignment horizontal="right" vertical="center"/>
    </xf>
    <xf numFmtId="0" fontId="7" fillId="4" borderId="0" xfId="0" applyFont="1" applyFill="1" applyAlignment="1">
      <alignment horizontal="center" vertical="center"/>
    </xf>
    <xf numFmtId="4" fontId="7" fillId="4" borderId="0" xfId="0" applyNumberFormat="1" applyFont="1" applyFill="1" applyAlignment="1">
      <alignment horizontal="center" vertical="center"/>
    </xf>
    <xf numFmtId="14" fontId="0" fillId="7" borderId="0" xfId="0" applyNumberFormat="1" applyFill="1"/>
    <xf numFmtId="0" fontId="4" fillId="7" borderId="0" xfId="0" applyFont="1" applyFill="1" applyAlignment="1">
      <alignment horizontal="center" vertical="center"/>
    </xf>
    <xf numFmtId="4" fontId="4" fillId="7" borderId="0" xfId="0" applyNumberFormat="1" applyFont="1" applyFill="1" applyAlignment="1">
      <alignment horizontal="center" vertical="center"/>
    </xf>
    <xf numFmtId="10" fontId="4" fillId="7" borderId="0" xfId="0" applyNumberFormat="1" applyFont="1" applyFill="1" applyAlignment="1">
      <alignment horizontal="center" vertical="center"/>
    </xf>
    <xf numFmtId="10" fontId="0" fillId="4" borderId="0" xfId="0" applyNumberFormat="1" applyFill="1"/>
    <xf numFmtId="10" fontId="0" fillId="5" borderId="0" xfId="0" applyNumberFormat="1" applyFill="1"/>
    <xf numFmtId="10" fontId="0" fillId="5" borderId="10" xfId="0" applyNumberFormat="1" applyFill="1" applyBorder="1"/>
    <xf numFmtId="49" fontId="2" fillId="2" borderId="3" xfId="0" applyNumberFormat="1" applyFont="1" applyFill="1" applyBorder="1"/>
    <xf numFmtId="49" fontId="5" fillId="6" borderId="1" xfId="0" applyNumberFormat="1" applyFont="1" applyFill="1" applyBorder="1" applyAlignment="1">
      <alignment horizontal="right" vertical="center"/>
    </xf>
    <xf numFmtId="49" fontId="5" fillId="6" borderId="8" xfId="0" applyNumberFormat="1" applyFont="1" applyFill="1" applyBorder="1" applyAlignment="1">
      <alignment horizontal="right" vertical="center"/>
    </xf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10" fontId="0" fillId="0" borderId="0" xfId="0" applyNumberFormat="1" applyAlignment="1">
      <alignment horizontal="center"/>
    </xf>
    <xf numFmtId="0" fontId="3" fillId="0" borderId="11" xfId="0" applyFont="1" applyBorder="1"/>
    <xf numFmtId="0" fontId="3" fillId="0" borderId="11" xfId="0" applyFont="1" applyBorder="1" applyAlignment="1">
      <alignment horizontal="center"/>
    </xf>
    <xf numFmtId="0" fontId="0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DB3DB-62EE-4D32-A800-9EC24BEEDEC6}">
  <dimension ref="A1:N42"/>
  <sheetViews>
    <sheetView showGridLines="0" workbookViewId="0">
      <selection activeCell="C41" sqref="C41"/>
    </sheetView>
  </sheetViews>
  <sheetFormatPr defaultRowHeight="15" x14ac:dyDescent="0.25"/>
  <cols>
    <col min="1" max="1" width="7.5703125" bestFit="1" customWidth="1"/>
    <col min="2" max="2" width="21" bestFit="1" customWidth="1"/>
    <col min="3" max="3" width="12.28515625" style="2" bestFit="1" customWidth="1"/>
    <col min="4" max="4" width="6.7109375" bestFit="1" customWidth="1"/>
    <col min="5" max="5" width="12.42578125" style="1" bestFit="1" customWidth="1"/>
    <col min="6" max="6" width="10.7109375" style="1" bestFit="1" customWidth="1"/>
    <col min="7" max="7" width="13.28515625" style="1" bestFit="1" customWidth="1"/>
    <col min="8" max="8" width="11.42578125" style="1" bestFit="1" customWidth="1"/>
    <col min="9" max="9" width="8.140625" style="49" bestFit="1" customWidth="1"/>
    <col min="10" max="10" width="11.85546875" style="1" bestFit="1" customWidth="1"/>
    <col min="11" max="11" width="10.140625" style="1" bestFit="1" customWidth="1"/>
    <col min="12" max="12" width="16" style="3" bestFit="1" customWidth="1"/>
    <col min="13" max="13" width="14.28515625" style="3" bestFit="1" customWidth="1"/>
  </cols>
  <sheetData>
    <row r="1" spans="1:13" x14ac:dyDescent="0.25">
      <c r="A1" s="17" t="s">
        <v>0</v>
      </c>
      <c r="B1" s="18" t="s">
        <v>2</v>
      </c>
      <c r="C1" s="19" t="s">
        <v>1</v>
      </c>
      <c r="D1" s="18" t="s">
        <v>3</v>
      </c>
      <c r="E1" s="20" t="s">
        <v>4</v>
      </c>
      <c r="F1" s="4" t="s">
        <v>5</v>
      </c>
      <c r="G1" s="4" t="s">
        <v>6</v>
      </c>
      <c r="H1" s="4" t="s">
        <v>7</v>
      </c>
      <c r="I1" s="46" t="s">
        <v>8</v>
      </c>
      <c r="J1" s="4" t="s">
        <v>9</v>
      </c>
      <c r="K1" s="4" t="s">
        <v>10</v>
      </c>
      <c r="L1" s="5" t="s">
        <v>11</v>
      </c>
      <c r="M1" s="6" t="s">
        <v>12</v>
      </c>
    </row>
    <row r="2" spans="1:13" x14ac:dyDescent="0.25">
      <c r="A2" s="21">
        <v>45657</v>
      </c>
      <c r="B2" s="22">
        <v>120283</v>
      </c>
      <c r="C2" s="22">
        <v>190188.72</v>
      </c>
      <c r="D2" s="23">
        <v>1.686855</v>
      </c>
      <c r="E2" s="24">
        <v>-4.1999999999999998E-5</v>
      </c>
      <c r="F2" s="31">
        <v>0</v>
      </c>
      <c r="G2" s="31">
        <v>0</v>
      </c>
      <c r="H2" s="31">
        <v>0</v>
      </c>
      <c r="I2" s="47" t="str">
        <f t="shared" ref="I2:I42" si="0">TEXT(A2,"mmaaaa")</f>
        <v>122024</v>
      </c>
      <c r="J2" s="31">
        <v>0</v>
      </c>
      <c r="K2" s="31">
        <v>0</v>
      </c>
      <c r="L2" s="32">
        <v>100</v>
      </c>
      <c r="M2" s="33">
        <v>100</v>
      </c>
    </row>
    <row r="3" spans="1:13" x14ac:dyDescent="0.25">
      <c r="A3" s="21">
        <v>45659</v>
      </c>
      <c r="B3" s="22">
        <v>120125</v>
      </c>
      <c r="C3" s="22">
        <v>189667.53</v>
      </c>
      <c r="D3" s="23">
        <v>1.6822330000000001</v>
      </c>
      <c r="E3" s="24">
        <v>-2.7400000000000002E-3</v>
      </c>
      <c r="F3" s="31">
        <f t="shared" ref="F3:F40" si="1">B3/B2-1</f>
        <v>-1.3135688335009776E-3</v>
      </c>
      <c r="G3" s="31">
        <f>D3/$D$2-1</f>
        <v>-2.7400102557717521E-3</v>
      </c>
      <c r="H3" s="31">
        <f>B3/$B$2-1</f>
        <v>-1.3135688335009776E-3</v>
      </c>
      <c r="I3" s="47" t="str">
        <f t="shared" si="0"/>
        <v>012025</v>
      </c>
      <c r="J3" s="31">
        <f>E3</f>
        <v>-2.7400000000000002E-3</v>
      </c>
      <c r="K3" s="31">
        <f>F3</f>
        <v>-1.3135688335009776E-3</v>
      </c>
      <c r="L3" s="32">
        <f>L2*(1+E3)</f>
        <v>99.725999999999999</v>
      </c>
      <c r="M3" s="33">
        <f>M2*(1+F3)</f>
        <v>99.868643116649906</v>
      </c>
    </row>
    <row r="4" spans="1:13" x14ac:dyDescent="0.25">
      <c r="A4" s="21">
        <v>45660</v>
      </c>
      <c r="B4" s="22">
        <v>118533</v>
      </c>
      <c r="C4" s="22">
        <v>189169.82</v>
      </c>
      <c r="D4" s="23">
        <v>1.677818</v>
      </c>
      <c r="E4" s="24">
        <v>-2.624E-3</v>
      </c>
      <c r="F4" s="31">
        <f t="shared" si="1"/>
        <v>-1.325286160249739E-2</v>
      </c>
      <c r="G4" s="31">
        <f t="shared" ref="G4:G42" si="2">D4/$D$2-1</f>
        <v>-5.3573069410233209E-3</v>
      </c>
      <c r="H4" s="31">
        <f t="shared" ref="H4:H42" si="3">B4/$B$2-1</f>
        <v>-1.4549021890042702E-2</v>
      </c>
      <c r="I4" s="47" t="str">
        <f t="shared" si="0"/>
        <v>012025</v>
      </c>
      <c r="J4" s="31">
        <f>IF(I4=I3,(1+E4)*(1+J3)-1,E4)</f>
        <v>-5.3568102399998985E-3</v>
      </c>
      <c r="K4" s="31">
        <f>IF(I4=I3,(1+F4)*(1+K3)-1,F4)</f>
        <v>-1.454902189004259E-2</v>
      </c>
      <c r="L4" s="32">
        <f t="shared" ref="L4:M19" si="4">L3*(1+E4)</f>
        <v>99.464318976000001</v>
      </c>
      <c r="M4" s="33">
        <f t="shared" si="4"/>
        <v>98.545097810995742</v>
      </c>
    </row>
    <row r="5" spans="1:13" x14ac:dyDescent="0.25">
      <c r="A5" s="21">
        <v>45663</v>
      </c>
      <c r="B5" s="22">
        <v>120022</v>
      </c>
      <c r="C5" s="22">
        <v>190143.31</v>
      </c>
      <c r="D5" s="23">
        <v>1.686453</v>
      </c>
      <c r="E5" s="24">
        <v>5.1470000000000005E-3</v>
      </c>
      <c r="F5" s="31">
        <f t="shared" si="1"/>
        <v>1.2561902592526986E-2</v>
      </c>
      <c r="G5" s="31">
        <f t="shared" si="2"/>
        <v>-2.3831331086554552E-4</v>
      </c>
      <c r="H5" s="31">
        <f t="shared" si="3"/>
        <v>-2.1698826933149729E-3</v>
      </c>
      <c r="I5" s="47" t="str">
        <f t="shared" si="0"/>
        <v>012025</v>
      </c>
      <c r="J5" s="31">
        <f t="shared" ref="J5:J42" si="5">IF(I5=I4,(1+E5)*(1+J4)-1,E5)</f>
        <v>-2.3738174230514275E-4</v>
      </c>
      <c r="K5" s="31">
        <f t="shared" ref="K5:K42" si="6">IF(I5=I4,(1+F5)*(1+K4)-1,F5)</f>
        <v>-2.1698826933148618E-3</v>
      </c>
      <c r="L5" s="32">
        <f t="shared" si="4"/>
        <v>99.97626182576947</v>
      </c>
      <c r="M5" s="33">
        <f t="shared" si="4"/>
        <v>99.78301173066852</v>
      </c>
    </row>
    <row r="6" spans="1:13" x14ac:dyDescent="0.25">
      <c r="A6" s="21">
        <v>45664</v>
      </c>
      <c r="B6" s="22">
        <v>121163</v>
      </c>
      <c r="C6" s="22">
        <v>190298.22</v>
      </c>
      <c r="D6" s="23">
        <v>1.687827</v>
      </c>
      <c r="E6" s="24">
        <v>8.1500000000000008E-4</v>
      </c>
      <c r="F6" s="31">
        <f t="shared" si="1"/>
        <v>9.5065904584159533E-3</v>
      </c>
      <c r="G6" s="31">
        <f t="shared" si="2"/>
        <v>5.7622024418213513E-4</v>
      </c>
      <c r="H6" s="31">
        <f t="shared" si="3"/>
        <v>7.316079578992829E-3</v>
      </c>
      <c r="I6" s="47" t="str">
        <f t="shared" si="0"/>
        <v>012025</v>
      </c>
      <c r="J6" s="31">
        <f t="shared" si="5"/>
        <v>5.7742479157485427E-4</v>
      </c>
      <c r="K6" s="31">
        <f t="shared" si="6"/>
        <v>7.3160795789930511E-3</v>
      </c>
      <c r="L6" s="32">
        <f t="shared" si="4"/>
        <v>100.05774247915747</v>
      </c>
      <c r="M6" s="33">
        <f t="shared" si="4"/>
        <v>100.7316079578993</v>
      </c>
    </row>
    <row r="7" spans="1:13" x14ac:dyDescent="0.25">
      <c r="A7" s="21">
        <v>45665</v>
      </c>
      <c r="B7" s="22">
        <v>119625</v>
      </c>
      <c r="C7" s="22">
        <v>189721.42</v>
      </c>
      <c r="D7" s="23">
        <v>1.6827110000000001</v>
      </c>
      <c r="E7" s="24">
        <v>-3.0309999999999998E-3</v>
      </c>
      <c r="F7" s="31">
        <f t="shared" si="1"/>
        <v>-1.2693644099271206E-2</v>
      </c>
      <c r="G7" s="31">
        <f t="shared" si="2"/>
        <v>-2.4566426871307501E-3</v>
      </c>
      <c r="H7" s="31">
        <f t="shared" si="3"/>
        <v>-5.4704322306560194E-3</v>
      </c>
      <c r="I7" s="47" t="str">
        <f t="shared" si="0"/>
        <v>012025</v>
      </c>
      <c r="J7" s="31">
        <f t="shared" si="5"/>
        <v>-2.4553253829684429E-3</v>
      </c>
      <c r="K7" s="31">
        <f t="shared" si="6"/>
        <v>-5.4704322306557973E-3</v>
      </c>
      <c r="L7" s="32">
        <f t="shared" si="4"/>
        <v>99.754467461703143</v>
      </c>
      <c r="M7" s="33">
        <f t="shared" si="4"/>
        <v>99.452956776934414</v>
      </c>
    </row>
    <row r="8" spans="1:13" x14ac:dyDescent="0.25">
      <c r="A8" s="21">
        <v>45666</v>
      </c>
      <c r="B8" s="22">
        <v>119781</v>
      </c>
      <c r="C8" s="22">
        <v>190414.22</v>
      </c>
      <c r="D8" s="23">
        <v>1.688855</v>
      </c>
      <c r="E8" s="24">
        <v>3.6509999999999997E-3</v>
      </c>
      <c r="F8" s="31">
        <f t="shared" si="1"/>
        <v>1.3040752351096696E-3</v>
      </c>
      <c r="G8" s="31">
        <f t="shared" si="2"/>
        <v>1.1856383625148403E-3</v>
      </c>
      <c r="H8" s="31">
        <f t="shared" si="3"/>
        <v>-4.1734908507436996E-3</v>
      </c>
      <c r="I8" s="47" t="str">
        <f t="shared" si="0"/>
        <v>012025</v>
      </c>
      <c r="J8" s="31">
        <f t="shared" si="5"/>
        <v>1.1867102240583627E-3</v>
      </c>
      <c r="K8" s="31">
        <f t="shared" si="6"/>
        <v>-4.1734908507434776E-3</v>
      </c>
      <c r="L8" s="32">
        <f t="shared" si="4"/>
        <v>100.11867102240583</v>
      </c>
      <c r="M8" s="33">
        <f t="shared" si="4"/>
        <v>99.582650914925651</v>
      </c>
    </row>
    <row r="9" spans="1:13" x14ac:dyDescent="0.25">
      <c r="A9" s="21">
        <v>45667</v>
      </c>
      <c r="B9" s="22">
        <v>118856</v>
      </c>
      <c r="C9" s="22">
        <v>189271.59</v>
      </c>
      <c r="D9" s="23">
        <v>1.6787209999999999</v>
      </c>
      <c r="E9" s="24">
        <v>-6.0009999999999994E-3</v>
      </c>
      <c r="F9" s="31">
        <f t="shared" si="1"/>
        <v>-7.7224267621742726E-3</v>
      </c>
      <c r="G9" s="31">
        <f t="shared" si="2"/>
        <v>-4.8219912203479876E-3</v>
      </c>
      <c r="H9" s="31">
        <f t="shared" si="3"/>
        <v>-1.1863688135480444E-2</v>
      </c>
      <c r="I9" s="47" t="str">
        <f t="shared" si="0"/>
        <v>012025</v>
      </c>
      <c r="J9" s="31">
        <f t="shared" si="5"/>
        <v>-4.8214112239962637E-3</v>
      </c>
      <c r="K9" s="31">
        <f t="shared" si="6"/>
        <v>-1.1863688135480333E-2</v>
      </c>
      <c r="L9" s="32">
        <f t="shared" si="4"/>
        <v>99.517858877600375</v>
      </c>
      <c r="M9" s="33">
        <f t="shared" si="4"/>
        <v>98.813631186451971</v>
      </c>
    </row>
    <row r="10" spans="1:13" x14ac:dyDescent="0.25">
      <c r="A10" s="21">
        <v>45670</v>
      </c>
      <c r="B10" s="22">
        <v>119007</v>
      </c>
      <c r="C10" s="22">
        <v>189075.79</v>
      </c>
      <c r="D10" s="23">
        <v>1.676984</v>
      </c>
      <c r="E10" s="24">
        <v>-1.0349999999999999E-3</v>
      </c>
      <c r="F10" s="31">
        <f t="shared" si="1"/>
        <v>1.2704449081242242E-3</v>
      </c>
      <c r="G10" s="31">
        <f t="shared" si="2"/>
        <v>-5.8517181381920746E-3</v>
      </c>
      <c r="H10" s="31">
        <f t="shared" si="3"/>
        <v>-1.0608315389539658E-2</v>
      </c>
      <c r="I10" s="47" t="str">
        <f t="shared" si="0"/>
        <v>012025</v>
      </c>
      <c r="J10" s="31">
        <f t="shared" si="5"/>
        <v>-5.8514210633794361E-3</v>
      </c>
      <c r="K10" s="31">
        <f t="shared" si="6"/>
        <v>-1.0608315389539436E-2</v>
      </c>
      <c r="L10" s="32">
        <f t="shared" si="4"/>
        <v>99.414857893662059</v>
      </c>
      <c r="M10" s="33">
        <f t="shared" si="4"/>
        <v>98.939168461046066</v>
      </c>
    </row>
    <row r="11" spans="1:13" x14ac:dyDescent="0.25">
      <c r="A11" s="21">
        <v>45671</v>
      </c>
      <c r="B11" s="22">
        <v>119299</v>
      </c>
      <c r="C11" s="22">
        <v>189614.74</v>
      </c>
      <c r="D11" s="23">
        <v>1.681765</v>
      </c>
      <c r="E11" s="24">
        <v>2.8510000000000002E-3</v>
      </c>
      <c r="F11" s="31">
        <f t="shared" si="1"/>
        <v>2.4536371810062185E-3</v>
      </c>
      <c r="G11" s="31">
        <f t="shared" si="2"/>
        <v>-3.0174496326003108E-3</v>
      </c>
      <c r="H11" s="31">
        <f t="shared" si="3"/>
        <v>-8.1807071656011532E-3</v>
      </c>
      <c r="I11" s="47" t="str">
        <f t="shared" si="0"/>
        <v>012025</v>
      </c>
      <c r="J11" s="31">
        <f t="shared" si="5"/>
        <v>-3.0171034648311945E-3</v>
      </c>
      <c r="K11" s="31">
        <f t="shared" si="6"/>
        <v>-8.1807071656008201E-3</v>
      </c>
      <c r="L11" s="32">
        <f t="shared" si="4"/>
        <v>99.698289653516881</v>
      </c>
      <c r="M11" s="33">
        <f t="shared" si="4"/>
        <v>99.181929283439928</v>
      </c>
    </row>
    <row r="12" spans="1:13" x14ac:dyDescent="0.25">
      <c r="A12" s="21">
        <v>45672</v>
      </c>
      <c r="B12" s="22">
        <v>122650</v>
      </c>
      <c r="C12" s="22">
        <v>193622.13</v>
      </c>
      <c r="D12" s="23">
        <v>1.7173080000000001</v>
      </c>
      <c r="E12" s="24">
        <v>2.1134E-2</v>
      </c>
      <c r="F12" s="31">
        <f t="shared" si="1"/>
        <v>2.8089087083714048E-2</v>
      </c>
      <c r="G12" s="31">
        <f t="shared" si="2"/>
        <v>1.8053122526832555E-2</v>
      </c>
      <c r="H12" s="31">
        <f t="shared" si="3"/>
        <v>1.9678591322132011E-2</v>
      </c>
      <c r="I12" s="47" t="str">
        <f t="shared" si="0"/>
        <v>012025</v>
      </c>
      <c r="J12" s="31">
        <f t="shared" si="5"/>
        <v>1.8053133070543126E-2</v>
      </c>
      <c r="K12" s="31">
        <f t="shared" si="6"/>
        <v>1.9678591322132233E-2</v>
      </c>
      <c r="L12" s="32">
        <f t="shared" si="4"/>
        <v>101.80531330705431</v>
      </c>
      <c r="M12" s="33">
        <f t="shared" si="4"/>
        <v>101.96785913221323</v>
      </c>
    </row>
    <row r="13" spans="1:13" x14ac:dyDescent="0.25">
      <c r="A13" s="21">
        <v>45673</v>
      </c>
      <c r="B13" s="22">
        <v>121234</v>
      </c>
      <c r="C13" s="22">
        <v>192816.65</v>
      </c>
      <c r="D13" s="23">
        <v>1.7101630000000001</v>
      </c>
      <c r="E13" s="24">
        <v>-4.1610000000000006E-3</v>
      </c>
      <c r="F13" s="31">
        <f t="shared" si="1"/>
        <v>-1.1545046881369703E-2</v>
      </c>
      <c r="G13" s="31">
        <f t="shared" si="2"/>
        <v>1.3817429476748133E-2</v>
      </c>
      <c r="H13" s="31">
        <f t="shared" si="3"/>
        <v>7.9063541813888527E-3</v>
      </c>
      <c r="I13" s="47" t="str">
        <f t="shared" si="0"/>
        <v>012025</v>
      </c>
      <c r="J13" s="31">
        <f t="shared" si="5"/>
        <v>1.3817013983836723E-2</v>
      </c>
      <c r="K13" s="31">
        <f t="shared" si="6"/>
        <v>7.9063541813892968E-3</v>
      </c>
      <c r="L13" s="32">
        <f t="shared" si="4"/>
        <v>101.38170139838365</v>
      </c>
      <c r="M13" s="33">
        <f t="shared" si="4"/>
        <v>100.79063541813893</v>
      </c>
    </row>
    <row r="14" spans="1:13" x14ac:dyDescent="0.25">
      <c r="A14" s="21">
        <v>45674</v>
      </c>
      <c r="B14" s="22">
        <v>122350</v>
      </c>
      <c r="C14" s="22">
        <v>194729.05</v>
      </c>
      <c r="D14" s="23">
        <v>1.727125</v>
      </c>
      <c r="E14" s="24">
        <v>9.9179999999999997E-3</v>
      </c>
      <c r="F14" s="31">
        <f t="shared" si="1"/>
        <v>9.205338436412136E-3</v>
      </c>
      <c r="G14" s="31">
        <f t="shared" si="2"/>
        <v>2.3872828429236659E-2</v>
      </c>
      <c r="H14" s="31">
        <f t="shared" si="3"/>
        <v>1.7184473283838875E-2</v>
      </c>
      <c r="I14" s="47" t="str">
        <f t="shared" si="0"/>
        <v>012025</v>
      </c>
      <c r="J14" s="31">
        <f t="shared" si="5"/>
        <v>2.3872051128528415E-2</v>
      </c>
      <c r="K14" s="31">
        <f t="shared" si="6"/>
        <v>1.7184473283839319E-2</v>
      </c>
      <c r="L14" s="32">
        <f t="shared" si="4"/>
        <v>102.38720511285284</v>
      </c>
      <c r="M14" s="33">
        <f t="shared" si="4"/>
        <v>101.71844732838393</v>
      </c>
    </row>
    <row r="15" spans="1:13" x14ac:dyDescent="0.25">
      <c r="A15" s="21">
        <v>45677</v>
      </c>
      <c r="B15" s="22">
        <v>122855</v>
      </c>
      <c r="C15" s="22">
        <v>194249.17</v>
      </c>
      <c r="D15" s="23">
        <v>1.722869</v>
      </c>
      <c r="E15" s="24">
        <v>-2.464E-3</v>
      </c>
      <c r="F15" s="31">
        <f t="shared" si="1"/>
        <v>4.1275030649774447E-3</v>
      </c>
      <c r="G15" s="31">
        <f t="shared" si="2"/>
        <v>2.1349789993805102E-2</v>
      </c>
      <c r="H15" s="31">
        <f t="shared" si="3"/>
        <v>2.138290531496545E-2</v>
      </c>
      <c r="I15" s="47" t="str">
        <f t="shared" si="0"/>
        <v>012025</v>
      </c>
      <c r="J15" s="31">
        <f t="shared" si="5"/>
        <v>2.1349230394547725E-2</v>
      </c>
      <c r="K15" s="31">
        <f t="shared" si="6"/>
        <v>2.1382905314965894E-2</v>
      </c>
      <c r="L15" s="32">
        <f t="shared" si="4"/>
        <v>102.13492303945476</v>
      </c>
      <c r="M15" s="33">
        <f t="shared" si="4"/>
        <v>102.13829053149658</v>
      </c>
    </row>
    <row r="16" spans="1:13" x14ac:dyDescent="0.25">
      <c r="A16" s="21">
        <v>45678</v>
      </c>
      <c r="B16" s="22">
        <v>123338</v>
      </c>
      <c r="C16" s="22">
        <v>194748.27</v>
      </c>
      <c r="D16" s="23">
        <v>1.7272959999999999</v>
      </c>
      <c r="E16" s="24">
        <v>2.5700000000000002E-3</v>
      </c>
      <c r="F16" s="31">
        <f t="shared" si="1"/>
        <v>3.9314639208822832E-3</v>
      </c>
      <c r="G16" s="31">
        <f t="shared" si="2"/>
        <v>2.3974200509231602E-2</v>
      </c>
      <c r="H16" s="31">
        <f t="shared" si="3"/>
        <v>2.5398435356617233E-2</v>
      </c>
      <c r="I16" s="47" t="str">
        <f t="shared" si="0"/>
        <v>012025</v>
      </c>
      <c r="J16" s="31">
        <f t="shared" si="5"/>
        <v>2.3974097916661607E-2</v>
      </c>
      <c r="K16" s="31">
        <f t="shared" si="6"/>
        <v>2.5398435356617677E-2</v>
      </c>
      <c r="L16" s="32">
        <f t="shared" si="4"/>
        <v>102.39740979166616</v>
      </c>
      <c r="M16" s="33">
        <f t="shared" si="4"/>
        <v>102.53984353566175</v>
      </c>
    </row>
    <row r="17" spans="1:13" x14ac:dyDescent="0.25">
      <c r="A17" s="21">
        <v>45679</v>
      </c>
      <c r="B17" s="22">
        <v>122972</v>
      </c>
      <c r="C17" s="22">
        <v>194725.78</v>
      </c>
      <c r="D17" s="23">
        <v>1.727096</v>
      </c>
      <c r="E17" s="24">
        <v>-1.1599999999999999E-4</v>
      </c>
      <c r="F17" s="31">
        <f t="shared" si="1"/>
        <v>-2.9674552854757064E-3</v>
      </c>
      <c r="G17" s="31">
        <f t="shared" si="2"/>
        <v>2.3855636672980074E-2</v>
      </c>
      <c r="H17" s="31">
        <f t="shared" si="3"/>
        <v>2.2355611349899718E-2</v>
      </c>
      <c r="I17" s="47" t="str">
        <f t="shared" si="0"/>
        <v>012025</v>
      </c>
      <c r="J17" s="31">
        <f t="shared" si="5"/>
        <v>2.385531692130316E-2</v>
      </c>
      <c r="K17" s="31">
        <f t="shared" si="6"/>
        <v>2.2355611349900162E-2</v>
      </c>
      <c r="L17" s="32">
        <f t="shared" si="4"/>
        <v>102.38553169213033</v>
      </c>
      <c r="M17" s="33">
        <f t="shared" si="4"/>
        <v>102.23556113498999</v>
      </c>
    </row>
    <row r="18" spans="1:13" x14ac:dyDescent="0.25">
      <c r="A18" s="21">
        <v>45680</v>
      </c>
      <c r="B18" s="22">
        <v>122483</v>
      </c>
      <c r="C18" s="22">
        <v>194597.19</v>
      </c>
      <c r="D18" s="23">
        <v>1.725956</v>
      </c>
      <c r="E18" s="24">
        <v>-6.6E-4</v>
      </c>
      <c r="F18" s="31">
        <f t="shared" si="1"/>
        <v>-3.9765149790196297E-3</v>
      </c>
      <c r="G18" s="31">
        <f t="shared" si="2"/>
        <v>2.3179822806346673E-2</v>
      </c>
      <c r="H18" s="31">
        <f t="shared" si="3"/>
        <v>1.8290198947482184E-2</v>
      </c>
      <c r="I18" s="47" t="str">
        <f t="shared" si="0"/>
        <v>012025</v>
      </c>
      <c r="J18" s="31">
        <f t="shared" si="5"/>
        <v>2.3179572412135085E-2</v>
      </c>
      <c r="K18" s="31">
        <f t="shared" si="6"/>
        <v>1.8290198947482406E-2</v>
      </c>
      <c r="L18" s="32">
        <f t="shared" si="4"/>
        <v>102.31795724121352</v>
      </c>
      <c r="M18" s="33">
        <f t="shared" si="4"/>
        <v>101.82901989474823</v>
      </c>
    </row>
    <row r="19" spans="1:13" x14ac:dyDescent="0.25">
      <c r="A19" s="21">
        <v>45681</v>
      </c>
      <c r="B19" s="22">
        <v>122447</v>
      </c>
      <c r="C19" s="22">
        <v>115428.73</v>
      </c>
      <c r="D19" s="23">
        <v>1.7247189999999999</v>
      </c>
      <c r="E19" s="24">
        <v>-7.1699999999999997E-4</v>
      </c>
      <c r="F19" s="31">
        <f t="shared" si="1"/>
        <v>-2.9391833968794856E-4</v>
      </c>
      <c r="G19" s="31">
        <f t="shared" si="2"/>
        <v>2.2446505479131185E-2</v>
      </c>
      <c r="H19" s="31">
        <f t="shared" si="3"/>
        <v>1.7990904782887007E-2</v>
      </c>
      <c r="I19" s="47" t="str">
        <f t="shared" si="0"/>
        <v>012025</v>
      </c>
      <c r="J19" s="31">
        <f t="shared" si="5"/>
        <v>2.2445952658715518E-2</v>
      </c>
      <c r="K19" s="31">
        <f t="shared" si="6"/>
        <v>1.7990904782887229E-2</v>
      </c>
      <c r="L19" s="32">
        <f t="shared" si="4"/>
        <v>102.24459526587157</v>
      </c>
      <c r="M19" s="33">
        <f t="shared" si="4"/>
        <v>101.79909047828872</v>
      </c>
    </row>
    <row r="20" spans="1:13" x14ac:dyDescent="0.25">
      <c r="A20" s="21">
        <v>45684</v>
      </c>
      <c r="B20" s="22">
        <v>124862</v>
      </c>
      <c r="C20" s="22">
        <v>116666.32</v>
      </c>
      <c r="D20" s="23">
        <v>1.7432110000000001</v>
      </c>
      <c r="E20" s="24">
        <v>1.0722000000000001E-2</v>
      </c>
      <c r="F20" s="31">
        <f t="shared" si="1"/>
        <v>1.9722818852238033E-2</v>
      </c>
      <c r="G20" s="31">
        <f t="shared" si="2"/>
        <v>3.3408917778943614E-2</v>
      </c>
      <c r="H20" s="31">
        <f t="shared" si="3"/>
        <v>3.806855499114592E-2</v>
      </c>
      <c r="I20" s="47" t="str">
        <f t="shared" si="0"/>
        <v>012025</v>
      </c>
      <c r="J20" s="31">
        <f t="shared" si="5"/>
        <v>3.3408618163122128E-2</v>
      </c>
      <c r="K20" s="31">
        <f t="shared" si="6"/>
        <v>3.806855499114592E-2</v>
      </c>
      <c r="L20" s="32">
        <f t="shared" ref="L20:M35" si="7">L19*(1+E20)</f>
        <v>103.34086181631223</v>
      </c>
      <c r="M20" s="33">
        <f t="shared" si="7"/>
        <v>103.80685549911459</v>
      </c>
    </row>
    <row r="21" spans="1:13" x14ac:dyDescent="0.25">
      <c r="A21" s="21">
        <v>45685</v>
      </c>
      <c r="B21" s="22">
        <v>124056</v>
      </c>
      <c r="C21" s="22">
        <v>116427.47</v>
      </c>
      <c r="D21" s="23">
        <v>1.7396419999999999</v>
      </c>
      <c r="E21" s="24">
        <v>-2.0469999999999998E-3</v>
      </c>
      <c r="F21" s="31">
        <f t="shared" si="1"/>
        <v>-6.4551264596114377E-3</v>
      </c>
      <c r="G21" s="31">
        <f t="shared" si="2"/>
        <v>3.1293146121035953E-2</v>
      </c>
      <c r="H21" s="31">
        <f t="shared" si="3"/>
        <v>3.1367691194931879E-2</v>
      </c>
      <c r="I21" s="47" t="str">
        <f t="shared" si="0"/>
        <v>012025</v>
      </c>
      <c r="J21" s="31">
        <f t="shared" si="5"/>
        <v>3.1293230721742171E-2</v>
      </c>
      <c r="K21" s="31">
        <f t="shared" si="6"/>
        <v>3.1367691194931879E-2</v>
      </c>
      <c r="L21" s="32">
        <f t="shared" si="7"/>
        <v>103.12932307217423</v>
      </c>
      <c r="M21" s="33">
        <f t="shared" si="7"/>
        <v>103.1367691194932</v>
      </c>
    </row>
    <row r="22" spans="1:13" x14ac:dyDescent="0.25">
      <c r="A22" s="21">
        <v>45686</v>
      </c>
      <c r="B22" s="22">
        <v>123432</v>
      </c>
      <c r="C22" s="22">
        <v>115774.93</v>
      </c>
      <c r="D22" s="23">
        <v>1.729892</v>
      </c>
      <c r="E22" s="24">
        <v>-5.6049999999999997E-3</v>
      </c>
      <c r="F22" s="31">
        <f t="shared" si="1"/>
        <v>-5.0299864577287856E-3</v>
      </c>
      <c r="G22" s="31">
        <f t="shared" si="2"/>
        <v>2.5513159103776051E-2</v>
      </c>
      <c r="H22" s="31">
        <f t="shared" si="3"/>
        <v>2.6179925675282378E-2</v>
      </c>
      <c r="I22" s="47" t="str">
        <f t="shared" si="0"/>
        <v>012025</v>
      </c>
      <c r="J22" s="31">
        <f t="shared" si="5"/>
        <v>2.5512832163546939E-2</v>
      </c>
      <c r="K22" s="31">
        <f t="shared" si="6"/>
        <v>2.6179925675282378E-2</v>
      </c>
      <c r="L22" s="32">
        <f t="shared" si="7"/>
        <v>102.55128321635469</v>
      </c>
      <c r="M22" s="33">
        <f t="shared" si="7"/>
        <v>102.61799256752825</v>
      </c>
    </row>
    <row r="23" spans="1:13" x14ac:dyDescent="0.25">
      <c r="A23" s="21">
        <v>45687</v>
      </c>
      <c r="B23" s="22">
        <v>126912</v>
      </c>
      <c r="C23" s="22">
        <v>117435.79</v>
      </c>
      <c r="D23" s="23">
        <v>1.7547079999999999</v>
      </c>
      <c r="E23" s="24">
        <v>1.4345000000000002E-2</v>
      </c>
      <c r="F23" s="31">
        <f t="shared" si="1"/>
        <v>2.8193661287186478E-2</v>
      </c>
      <c r="G23" s="31">
        <f t="shared" si="2"/>
        <v>4.022455990586038E-2</v>
      </c>
      <c r="H23" s="31">
        <f t="shared" si="3"/>
        <v>5.5111694919481646E-2</v>
      </c>
      <c r="I23" s="47" t="str">
        <f t="shared" si="0"/>
        <v>012025</v>
      </c>
      <c r="J23" s="31">
        <f t="shared" si="5"/>
        <v>4.0223813740932979E-2</v>
      </c>
      <c r="K23" s="31">
        <f t="shared" si="6"/>
        <v>5.5111694919481424E-2</v>
      </c>
      <c r="L23" s="32">
        <f t="shared" si="7"/>
        <v>104.0223813740933</v>
      </c>
      <c r="M23" s="33">
        <f t="shared" si="7"/>
        <v>105.51116949194815</v>
      </c>
    </row>
    <row r="24" spans="1:13" x14ac:dyDescent="0.25">
      <c r="A24" s="21">
        <v>45688</v>
      </c>
      <c r="B24" s="22">
        <v>126135</v>
      </c>
      <c r="C24" s="22">
        <v>116861.75999999999</v>
      </c>
      <c r="D24" s="25">
        <v>1.7461310000000001</v>
      </c>
      <c r="E24" s="26">
        <v>-4.888E-3</v>
      </c>
      <c r="F24" s="31">
        <f t="shared" si="1"/>
        <v>-6.1223524962178422E-3</v>
      </c>
      <c r="G24" s="31">
        <f t="shared" si="2"/>
        <v>3.5139949788215441E-2</v>
      </c>
      <c r="H24" s="31">
        <f t="shared" si="3"/>
        <v>4.8651929200302702E-2</v>
      </c>
      <c r="I24" s="47" t="str">
        <f t="shared" si="0"/>
        <v>012025</v>
      </c>
      <c r="J24" s="31">
        <f t="shared" si="5"/>
        <v>3.5139199739367299E-2</v>
      </c>
      <c r="K24" s="31">
        <f t="shared" si="6"/>
        <v>4.8651929200302479E-2</v>
      </c>
      <c r="L24" s="32">
        <f t="shared" si="7"/>
        <v>103.51391997393674</v>
      </c>
      <c r="M24" s="33">
        <f t="shared" si="7"/>
        <v>104.86519292003025</v>
      </c>
    </row>
    <row r="25" spans="1:13" x14ac:dyDescent="0.25">
      <c r="A25" s="21">
        <v>45691</v>
      </c>
      <c r="B25" s="22">
        <v>125970</v>
      </c>
      <c r="C25" s="22">
        <v>116473.55</v>
      </c>
      <c r="D25" s="23">
        <v>1.7403299999999999</v>
      </c>
      <c r="E25" s="24">
        <v>-3.3219999999999999E-3</v>
      </c>
      <c r="F25" s="31">
        <f t="shared" si="1"/>
        <v>-1.3081222499702339E-3</v>
      </c>
      <c r="G25" s="31">
        <f t="shared" si="2"/>
        <v>3.1701005717740927E-2</v>
      </c>
      <c r="H25" s="31">
        <f t="shared" si="3"/>
        <v>4.7280164279241532E-2</v>
      </c>
      <c r="I25" s="47" t="str">
        <f t="shared" si="0"/>
        <v>022025</v>
      </c>
      <c r="J25" s="31">
        <f t="shared" si="5"/>
        <v>-3.3219999999999999E-3</v>
      </c>
      <c r="K25" s="31">
        <f t="shared" si="6"/>
        <v>-1.3081222499702339E-3</v>
      </c>
      <c r="L25" s="32">
        <f t="shared" si="7"/>
        <v>103.17004673178332</v>
      </c>
      <c r="M25" s="33">
        <f t="shared" si="7"/>
        <v>104.72801642792415</v>
      </c>
    </row>
    <row r="26" spans="1:13" x14ac:dyDescent="0.25">
      <c r="A26" s="21">
        <v>45692</v>
      </c>
      <c r="B26" s="22">
        <v>125147</v>
      </c>
      <c r="C26" s="22">
        <v>116214.28</v>
      </c>
      <c r="D26" s="23">
        <v>1.736456</v>
      </c>
      <c r="E26" s="24">
        <v>-2.2260000000000001E-3</v>
      </c>
      <c r="F26" s="31">
        <f t="shared" si="1"/>
        <v>-6.5333015797411909E-3</v>
      </c>
      <c r="G26" s="31">
        <f t="shared" si="2"/>
        <v>2.9404424209549695E-2</v>
      </c>
      <c r="H26" s="31">
        <f t="shared" si="3"/>
        <v>4.0437967127524344E-2</v>
      </c>
      <c r="I26" s="47" t="str">
        <f t="shared" si="0"/>
        <v>022025</v>
      </c>
      <c r="J26" s="31">
        <f t="shared" si="5"/>
        <v>-5.5406052280000395E-3</v>
      </c>
      <c r="K26" s="31">
        <f t="shared" si="6"/>
        <v>-7.8328774725492378E-3</v>
      </c>
      <c r="L26" s="32">
        <f t="shared" si="7"/>
        <v>102.94039020775837</v>
      </c>
      <c r="M26" s="33">
        <f t="shared" si="7"/>
        <v>104.04379671275242</v>
      </c>
    </row>
    <row r="27" spans="1:13" x14ac:dyDescent="0.25">
      <c r="A27" s="21">
        <v>45693</v>
      </c>
      <c r="B27" s="22">
        <v>125534</v>
      </c>
      <c r="C27" s="22">
        <v>116326.51</v>
      </c>
      <c r="D27" s="23">
        <v>1.7381329999999999</v>
      </c>
      <c r="E27" s="24">
        <v>9.6600000000000006E-4</v>
      </c>
      <c r="F27" s="31">
        <f t="shared" si="1"/>
        <v>3.0923633806643203E-3</v>
      </c>
      <c r="G27" s="31">
        <f t="shared" si="2"/>
        <v>3.0398581976518457E-2</v>
      </c>
      <c r="H27" s="31">
        <f t="shared" si="3"/>
        <v>4.3655379396922322E-2</v>
      </c>
      <c r="I27" s="47" t="str">
        <f t="shared" si="0"/>
        <v>022025</v>
      </c>
      <c r="J27" s="31">
        <f t="shared" si="5"/>
        <v>-4.579957452650274E-3</v>
      </c>
      <c r="K27" s="31">
        <f t="shared" si="6"/>
        <v>-4.7647361953462308E-3</v>
      </c>
      <c r="L27" s="32">
        <f t="shared" si="7"/>
        <v>103.03983062469906</v>
      </c>
      <c r="M27" s="33">
        <f t="shared" si="7"/>
        <v>104.36553793969222</v>
      </c>
    </row>
    <row r="28" spans="1:13" x14ac:dyDescent="0.25">
      <c r="A28" s="21">
        <v>45694</v>
      </c>
      <c r="B28" s="22">
        <v>126225</v>
      </c>
      <c r="C28" s="22">
        <v>116888.31</v>
      </c>
      <c r="D28" s="23">
        <v>1.7465280000000001</v>
      </c>
      <c r="E28" s="24">
        <v>4.8300000000000001E-3</v>
      </c>
      <c r="F28" s="31">
        <f t="shared" si="1"/>
        <v>5.5044848407603819E-3</v>
      </c>
      <c r="G28" s="31">
        <f t="shared" si="2"/>
        <v>3.5375299003174598E-2</v>
      </c>
      <c r="H28" s="31">
        <f t="shared" si="3"/>
        <v>4.9400164611790531E-2</v>
      </c>
      <c r="I28" s="47" t="str">
        <f t="shared" si="0"/>
        <v>022025</v>
      </c>
      <c r="J28" s="31">
        <f t="shared" si="5"/>
        <v>2.2792135285332193E-4</v>
      </c>
      <c r="K28" s="31">
        <f t="shared" si="6"/>
        <v>7.1352122725665268E-4</v>
      </c>
      <c r="L28" s="32">
        <f t="shared" si="7"/>
        <v>103.53751300661635</v>
      </c>
      <c r="M28" s="33">
        <f t="shared" si="7"/>
        <v>104.94001646117906</v>
      </c>
    </row>
    <row r="29" spans="1:13" x14ac:dyDescent="0.25">
      <c r="A29" s="21">
        <v>45695</v>
      </c>
      <c r="B29" s="22">
        <v>124619</v>
      </c>
      <c r="C29" s="22">
        <v>116426.21</v>
      </c>
      <c r="D29" s="23">
        <v>1.7343930000000001</v>
      </c>
      <c r="E29" s="24">
        <v>-6.9479999999999993E-3</v>
      </c>
      <c r="F29" s="31">
        <f t="shared" si="1"/>
        <v>-1.2723311546840921E-2</v>
      </c>
      <c r="G29" s="31">
        <f t="shared" si="2"/>
        <v>2.818143823861563E-2</v>
      </c>
      <c r="H29" s="31">
        <f t="shared" si="3"/>
        <v>3.6048319380128424E-2</v>
      </c>
      <c r="I29" s="47" t="str">
        <f t="shared" si="0"/>
        <v>022025</v>
      </c>
      <c r="J29" s="31">
        <f t="shared" si="5"/>
        <v>-6.7216622447062724E-3</v>
      </c>
      <c r="K29" s="31">
        <f t="shared" si="6"/>
        <v>-1.2018868672453942E-2</v>
      </c>
      <c r="L29" s="32">
        <f t="shared" si="7"/>
        <v>102.81813436624638</v>
      </c>
      <c r="M29" s="33">
        <f t="shared" si="7"/>
        <v>103.60483193801286</v>
      </c>
    </row>
    <row r="30" spans="1:13" x14ac:dyDescent="0.25">
      <c r="A30" s="21">
        <v>45698</v>
      </c>
      <c r="B30" s="22">
        <v>125572</v>
      </c>
      <c r="C30" s="22">
        <v>117806.27</v>
      </c>
      <c r="D30" s="23">
        <v>1.7400549999999999</v>
      </c>
      <c r="E30" s="24">
        <v>3.2650000000000001E-3</v>
      </c>
      <c r="F30" s="31">
        <f t="shared" si="1"/>
        <v>7.6473089978252862E-3</v>
      </c>
      <c r="G30" s="31">
        <f t="shared" si="2"/>
        <v>3.1537980442895241E-2</v>
      </c>
      <c r="H30" s="31">
        <f t="shared" si="3"/>
        <v>4.3971301015105935E-2</v>
      </c>
      <c r="I30" s="47" t="str">
        <f t="shared" si="0"/>
        <v>022025</v>
      </c>
      <c r="J30" s="31">
        <f t="shared" si="5"/>
        <v>-3.4786084719351518E-3</v>
      </c>
      <c r="K30" s="31">
        <f t="shared" si="6"/>
        <v>-4.4634716771712046E-3</v>
      </c>
      <c r="L30" s="32">
        <f t="shared" si="7"/>
        <v>103.15383557495218</v>
      </c>
      <c r="M30" s="33">
        <f t="shared" si="7"/>
        <v>104.39713010151061</v>
      </c>
    </row>
    <row r="31" spans="1:13" x14ac:dyDescent="0.25">
      <c r="A31" s="21">
        <v>45699</v>
      </c>
      <c r="B31" s="22">
        <v>126522</v>
      </c>
      <c r="C31" s="22">
        <v>129447.48</v>
      </c>
      <c r="D31" s="23">
        <v>1.7495259999999999</v>
      </c>
      <c r="E31" s="24">
        <v>5.4429999999999999E-3</v>
      </c>
      <c r="F31" s="31">
        <f t="shared" si="1"/>
        <v>7.5653808173796744E-3</v>
      </c>
      <c r="G31" s="31">
        <f t="shared" si="2"/>
        <v>3.7152570908584259E-2</v>
      </c>
      <c r="H31" s="31">
        <f t="shared" si="3"/>
        <v>5.186934146970068E-2</v>
      </c>
      <c r="I31" s="47" t="str">
        <f t="shared" si="0"/>
        <v>022025</v>
      </c>
      <c r="J31" s="31">
        <f t="shared" si="5"/>
        <v>1.9454574621522447E-3</v>
      </c>
      <c r="K31" s="31">
        <f t="shared" si="6"/>
        <v>3.068141277203118E-3</v>
      </c>
      <c r="L31" s="32">
        <f t="shared" si="7"/>
        <v>103.71530190198666</v>
      </c>
      <c r="M31" s="33">
        <f t="shared" si="7"/>
        <v>105.18693414697007</v>
      </c>
    </row>
    <row r="32" spans="1:13" x14ac:dyDescent="0.25">
      <c r="A32" s="21">
        <v>45700</v>
      </c>
      <c r="B32" s="22">
        <v>124380</v>
      </c>
      <c r="C32" s="22">
        <v>128266.21</v>
      </c>
      <c r="D32" s="23">
        <v>1.7335609999999999</v>
      </c>
      <c r="E32" s="24">
        <v>-9.1249999999999994E-3</v>
      </c>
      <c r="F32" s="31">
        <f t="shared" si="1"/>
        <v>-1.6929862000284568E-2</v>
      </c>
      <c r="G32" s="31">
        <f t="shared" si="2"/>
        <v>2.7688212679809476E-2</v>
      </c>
      <c r="H32" s="31">
        <f t="shared" si="3"/>
        <v>3.4061338676288466E-2</v>
      </c>
      <c r="I32" s="47" t="str">
        <f t="shared" si="0"/>
        <v>022025</v>
      </c>
      <c r="J32" s="31">
        <f t="shared" si="5"/>
        <v>-7.1972948371898937E-3</v>
      </c>
      <c r="K32" s="31">
        <f t="shared" si="6"/>
        <v>-1.3913663931501841E-2</v>
      </c>
      <c r="L32" s="32">
        <f t="shared" si="7"/>
        <v>102.76889977213104</v>
      </c>
      <c r="M32" s="33">
        <f t="shared" si="7"/>
        <v>103.40613386762885</v>
      </c>
    </row>
    <row r="33" spans="1:14" x14ac:dyDescent="0.25">
      <c r="A33" s="21">
        <v>45701</v>
      </c>
      <c r="B33" s="22">
        <v>124850</v>
      </c>
      <c r="C33" s="22">
        <v>128430.07</v>
      </c>
      <c r="D33" s="23">
        <v>1.7357750000000001</v>
      </c>
      <c r="E33" s="24">
        <v>1.2770000000000001E-3</v>
      </c>
      <c r="F33" s="31">
        <f t="shared" si="1"/>
        <v>3.7787425631130578E-3</v>
      </c>
      <c r="G33" s="31">
        <f t="shared" si="2"/>
        <v>2.9000714347113377E-2</v>
      </c>
      <c r="H33" s="31">
        <f t="shared" si="3"/>
        <v>3.7968790269614194E-2</v>
      </c>
      <c r="I33" s="47" t="str">
        <f t="shared" si="0"/>
        <v>022025</v>
      </c>
      <c r="J33" s="31">
        <f t="shared" si="5"/>
        <v>-5.9294857826970304E-3</v>
      </c>
      <c r="K33" s="31">
        <f t="shared" si="6"/>
        <v>-1.0187497522495592E-2</v>
      </c>
      <c r="L33" s="32">
        <f t="shared" si="7"/>
        <v>102.90013565714004</v>
      </c>
      <c r="M33" s="33">
        <f t="shared" si="7"/>
        <v>103.79687902696143</v>
      </c>
    </row>
    <row r="34" spans="1:14" x14ac:dyDescent="0.25">
      <c r="A34" s="21">
        <v>45702</v>
      </c>
      <c r="B34" s="22">
        <v>128219</v>
      </c>
      <c r="C34" s="22">
        <v>131057.36</v>
      </c>
      <c r="D34" s="23">
        <v>1.764526</v>
      </c>
      <c r="E34" s="24">
        <v>1.6564000000000002E-2</v>
      </c>
      <c r="F34" s="31">
        <f t="shared" si="1"/>
        <v>2.6984381257509016E-2</v>
      </c>
      <c r="G34" s="31">
        <f t="shared" si="2"/>
        <v>4.6044858627445784E-2</v>
      </c>
      <c r="H34" s="31">
        <f t="shared" si="3"/>
        <v>6.5977735839644946E-2</v>
      </c>
      <c r="I34" s="47" t="str">
        <f t="shared" si="0"/>
        <v>022025</v>
      </c>
      <c r="J34" s="31">
        <f t="shared" si="5"/>
        <v>1.053629821479829E-2</v>
      </c>
      <c r="K34" s="31">
        <f t="shared" si="6"/>
        <v>1.6521980417806503E-2</v>
      </c>
      <c r="L34" s="32">
        <f t="shared" si="7"/>
        <v>104.6045735041649</v>
      </c>
      <c r="M34" s="33">
        <f t="shared" si="7"/>
        <v>106.5977735839645</v>
      </c>
    </row>
    <row r="35" spans="1:14" x14ac:dyDescent="0.25">
      <c r="A35" s="21">
        <v>45705</v>
      </c>
      <c r="B35" s="22">
        <v>128552</v>
      </c>
      <c r="C35" s="22">
        <v>131536.37</v>
      </c>
      <c r="D35" s="23">
        <v>1.7709760000000001</v>
      </c>
      <c r="E35" s="24">
        <v>3.6549999999999998E-3</v>
      </c>
      <c r="F35" s="31">
        <f t="shared" si="1"/>
        <v>2.5971189917251003E-3</v>
      </c>
      <c r="G35" s="31">
        <f t="shared" si="2"/>
        <v>4.9868542346556133E-2</v>
      </c>
      <c r="H35" s="31">
        <f t="shared" si="3"/>
        <v>6.874620686215005E-2</v>
      </c>
      <c r="I35" s="47" t="str">
        <f t="shared" si="0"/>
        <v>022025</v>
      </c>
      <c r="J35" s="31">
        <f t="shared" si="5"/>
        <v>1.422980838477339E-2</v>
      </c>
      <c r="K35" s="31">
        <f t="shared" si="6"/>
        <v>1.9162008958655496E-2</v>
      </c>
      <c r="L35" s="32">
        <f t="shared" si="7"/>
        <v>104.98690322032262</v>
      </c>
      <c r="M35" s="33">
        <f t="shared" si="7"/>
        <v>106.87462068621502</v>
      </c>
    </row>
    <row r="36" spans="1:14" x14ac:dyDescent="0.25">
      <c r="A36" s="21">
        <v>45706</v>
      </c>
      <c r="B36" s="22">
        <v>128532</v>
      </c>
      <c r="C36" s="22">
        <v>131868.91</v>
      </c>
      <c r="D36" s="23">
        <v>1.7754529999999999</v>
      </c>
      <c r="E36" s="24">
        <v>2.5280000000000003E-3</v>
      </c>
      <c r="F36" s="31">
        <f t="shared" si="1"/>
        <v>-1.555790652809641E-4</v>
      </c>
      <c r="G36" s="31">
        <f t="shared" si="2"/>
        <v>5.2522593821045627E-2</v>
      </c>
      <c r="H36" s="31">
        <f t="shared" si="3"/>
        <v>6.8579932326263915E-2</v>
      </c>
      <c r="I36" s="47" t="str">
        <f t="shared" si="0"/>
        <v>022025</v>
      </c>
      <c r="J36" s="31">
        <f t="shared" si="5"/>
        <v>1.679378134037024E-2</v>
      </c>
      <c r="K36" s="31">
        <f t="shared" si="6"/>
        <v>1.9003448685931845E-2</v>
      </c>
      <c r="L36" s="32">
        <f t="shared" ref="L36:M42" si="8">L35*(1+E36)</f>
        <v>105.2523101116636</v>
      </c>
      <c r="M36" s="33">
        <f t="shared" si="8"/>
        <v>106.8579932326264</v>
      </c>
    </row>
    <row r="37" spans="1:14" x14ac:dyDescent="0.25">
      <c r="A37" s="21">
        <v>45707</v>
      </c>
      <c r="B37" s="22">
        <v>127309</v>
      </c>
      <c r="C37" s="22">
        <v>131184.46</v>
      </c>
      <c r="D37" s="23">
        <v>1.766238</v>
      </c>
      <c r="E37" s="24">
        <v>-5.1900000000000002E-3</v>
      </c>
      <c r="F37" s="31">
        <f t="shared" si="1"/>
        <v>-9.5151401985498207E-3</v>
      </c>
      <c r="G37" s="31">
        <f t="shared" si="2"/>
        <v>4.7059765065758485E-2</v>
      </c>
      <c r="H37" s="31">
        <f t="shared" si="3"/>
        <v>5.8412244456822693E-2</v>
      </c>
      <c r="I37" s="47" t="str">
        <f t="shared" si="0"/>
        <v>022025</v>
      </c>
      <c r="J37" s="31">
        <f t="shared" si="5"/>
        <v>1.1516621615213607E-2</v>
      </c>
      <c r="K37" s="31">
        <f t="shared" si="6"/>
        <v>9.3074880088794831E-3</v>
      </c>
      <c r="L37" s="32">
        <f t="shared" si="8"/>
        <v>104.70605062218407</v>
      </c>
      <c r="M37" s="33">
        <f t="shared" si="8"/>
        <v>105.84122444568227</v>
      </c>
    </row>
    <row r="38" spans="1:14" x14ac:dyDescent="0.25">
      <c r="A38" s="21">
        <v>45708</v>
      </c>
      <c r="B38" s="22">
        <v>127601</v>
      </c>
      <c r="C38" s="22">
        <v>131339.37</v>
      </c>
      <c r="D38" s="23">
        <v>1.7683230000000001</v>
      </c>
      <c r="E38" s="24">
        <v>1.1799999999999998E-3</v>
      </c>
      <c r="F38" s="31">
        <f t="shared" si="1"/>
        <v>2.2936320291573331E-3</v>
      </c>
      <c r="G38" s="31">
        <f t="shared" si="2"/>
        <v>4.8295793058680259E-2</v>
      </c>
      <c r="H38" s="31">
        <f t="shared" si="3"/>
        <v>6.0839852680761197E-2</v>
      </c>
      <c r="I38" s="47" t="str">
        <f t="shared" si="0"/>
        <v>022025</v>
      </c>
      <c r="J38" s="31">
        <f t="shared" si="5"/>
        <v>1.2710211228719626E-2</v>
      </c>
      <c r="K38" s="31">
        <f t="shared" si="6"/>
        <v>1.1622467990644925E-2</v>
      </c>
      <c r="L38" s="32">
        <f t="shared" si="8"/>
        <v>104.82960376191824</v>
      </c>
      <c r="M38" s="33">
        <f t="shared" si="8"/>
        <v>106.08398526807612</v>
      </c>
    </row>
    <row r="39" spans="1:14" x14ac:dyDescent="0.25">
      <c r="A39" s="21">
        <v>45709</v>
      </c>
      <c r="B39" s="22">
        <v>127128</v>
      </c>
      <c r="C39" s="22">
        <v>130629.04</v>
      </c>
      <c r="D39" s="23">
        <v>1.7587600000000001</v>
      </c>
      <c r="E39" s="24">
        <v>-5.4079999999999996E-3</v>
      </c>
      <c r="F39" s="31">
        <f t="shared" si="1"/>
        <v>-3.7068675010384355E-3</v>
      </c>
      <c r="G39" s="31">
        <f t="shared" si="2"/>
        <v>4.2626663228315431E-2</v>
      </c>
      <c r="H39" s="31">
        <f t="shared" si="3"/>
        <v>5.6907459907052482E-2</v>
      </c>
      <c r="I39" s="47" t="str">
        <f t="shared" si="0"/>
        <v>022025</v>
      </c>
      <c r="J39" s="31">
        <f t="shared" si="5"/>
        <v>7.2334744063946577E-3</v>
      </c>
      <c r="K39" s="31">
        <f t="shared" si="6"/>
        <v>7.8725175407301506E-3</v>
      </c>
      <c r="L39" s="32">
        <f t="shared" si="8"/>
        <v>104.26268526477378</v>
      </c>
      <c r="M39" s="33">
        <f t="shared" si="8"/>
        <v>105.69074599070525</v>
      </c>
    </row>
    <row r="40" spans="1:14" x14ac:dyDescent="0.25">
      <c r="A40" s="21">
        <v>45712</v>
      </c>
      <c r="B40" s="22">
        <v>125401</v>
      </c>
      <c r="C40" s="22">
        <v>129656.78</v>
      </c>
      <c r="D40" s="23">
        <v>1.7456689999999999</v>
      </c>
      <c r="E40" s="24">
        <v>-7.443E-3</v>
      </c>
      <c r="F40" s="31">
        <f t="shared" si="1"/>
        <v>-1.3584733496947998E-2</v>
      </c>
      <c r="G40" s="31">
        <f t="shared" si="2"/>
        <v>3.4866067326474459E-2</v>
      </c>
      <c r="H40" s="31">
        <f t="shared" si="3"/>
        <v>4.2549653733279014E-2</v>
      </c>
      <c r="I40" s="47" t="str">
        <f t="shared" si="0"/>
        <v>022025</v>
      </c>
      <c r="J40" s="31">
        <f t="shared" si="5"/>
        <v>-2.6336434361207139E-4</v>
      </c>
      <c r="K40" s="31">
        <f t="shared" si="6"/>
        <v>-5.8191620089587115E-3</v>
      </c>
      <c r="L40" s="32">
        <f t="shared" si="8"/>
        <v>103.48665809834807</v>
      </c>
      <c r="M40" s="33">
        <f t="shared" si="8"/>
        <v>104.25496537332789</v>
      </c>
      <c r="N40" s="1"/>
    </row>
    <row r="41" spans="1:14" x14ac:dyDescent="0.25">
      <c r="A41" s="21">
        <v>45713</v>
      </c>
      <c r="B41" s="22">
        <v>125980</v>
      </c>
      <c r="C41" s="22">
        <v>129567.19</v>
      </c>
      <c r="D41" s="23">
        <v>1.7444630000000001</v>
      </c>
      <c r="E41" s="24">
        <v>-6.9099999999999999E-4</v>
      </c>
      <c r="F41" s="31">
        <f>B41/B40-1</f>
        <v>4.6171880607013271E-3</v>
      </c>
      <c r="G41" s="31">
        <f t="shared" si="2"/>
        <v>3.4151127393877934E-2</v>
      </c>
      <c r="H41" s="31">
        <f t="shared" si="3"/>
        <v>4.73633015471846E-2</v>
      </c>
      <c r="I41" s="47" t="str">
        <f t="shared" si="0"/>
        <v>022025</v>
      </c>
      <c r="J41" s="31">
        <f t="shared" si="5"/>
        <v>-9.54182358850586E-4</v>
      </c>
      <c r="K41" s="31">
        <f t="shared" si="6"/>
        <v>-1.2288421136084082E-3</v>
      </c>
      <c r="L41" s="32">
        <f t="shared" si="8"/>
        <v>103.41514881760212</v>
      </c>
      <c r="M41" s="33">
        <f t="shared" si="8"/>
        <v>104.73633015471844</v>
      </c>
    </row>
    <row r="42" spans="1:14" ht="15.75" thickBot="1" x14ac:dyDescent="0.3">
      <c r="A42" s="27">
        <v>45714</v>
      </c>
      <c r="B42" s="28">
        <v>124769</v>
      </c>
      <c r="C42" s="28">
        <v>129655.75</v>
      </c>
      <c r="D42" s="29">
        <v>1.745655</v>
      </c>
      <c r="E42" s="30">
        <v>6.8300000000000001E-4</v>
      </c>
      <c r="F42" s="34">
        <f>B42/B41-1</f>
        <v>-9.6126369264962763E-3</v>
      </c>
      <c r="G42" s="34">
        <f t="shared" si="2"/>
        <v>3.4857767857936706E-2</v>
      </c>
      <c r="H42" s="34">
        <f t="shared" si="3"/>
        <v>3.7295378399275103E-2</v>
      </c>
      <c r="I42" s="48" t="str">
        <f t="shared" si="0"/>
        <v>022025</v>
      </c>
      <c r="J42" s="34">
        <f t="shared" si="5"/>
        <v>-2.7183406540165489E-4</v>
      </c>
      <c r="K42" s="34">
        <f t="shared" si="6"/>
        <v>-1.0829666627026557E-2</v>
      </c>
      <c r="L42" s="35">
        <f t="shared" si="8"/>
        <v>103.48578136424453</v>
      </c>
      <c r="M42" s="36">
        <f t="shared" si="8"/>
        <v>103.72953783992749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FF2B-1847-4160-BE18-64A7C8438401}">
  <dimension ref="A1:E22"/>
  <sheetViews>
    <sheetView showGridLines="0" workbookViewId="0"/>
  </sheetViews>
  <sheetFormatPr defaultRowHeight="15" x14ac:dyDescent="0.25"/>
  <cols>
    <col min="1" max="1" width="10.42578125" bestFit="1" customWidth="1"/>
    <col min="3" max="3" width="9.140625" style="3"/>
    <col min="5" max="5" width="14" bestFit="1" customWidth="1"/>
  </cols>
  <sheetData>
    <row r="1" spans="1:5" x14ac:dyDescent="0.25">
      <c r="A1" s="37" t="s">
        <v>16</v>
      </c>
      <c r="B1" s="37" t="s">
        <v>13</v>
      </c>
      <c r="C1" s="38" t="s">
        <v>14</v>
      </c>
      <c r="D1" s="37" t="s">
        <v>15</v>
      </c>
      <c r="E1" s="7" t="s">
        <v>17</v>
      </c>
    </row>
    <row r="2" spans="1:5" x14ac:dyDescent="0.25">
      <c r="A2" s="39">
        <v>45688</v>
      </c>
      <c r="B2" s="40">
        <v>6636857960</v>
      </c>
      <c r="C2" s="41">
        <v>62830.720000000001</v>
      </c>
      <c r="D2" s="42">
        <v>0.53769999999999996</v>
      </c>
      <c r="E2" s="8" t="str">
        <f>TEXT(B2,"000\.000\.000-00")</f>
        <v>066.368.579-60</v>
      </c>
    </row>
    <row r="3" spans="1:5" x14ac:dyDescent="0.25">
      <c r="A3" s="39">
        <v>45688</v>
      </c>
      <c r="B3" s="40">
        <v>36022818842</v>
      </c>
      <c r="C3" s="41">
        <v>29252.87</v>
      </c>
      <c r="D3" s="42">
        <v>0.25030000000000002</v>
      </c>
      <c r="E3" s="8" t="str">
        <f t="shared" ref="E3:E22" si="0">TEXT(B3,"000\.000\.000-00")</f>
        <v>360.228.188-42</v>
      </c>
    </row>
    <row r="4" spans="1:5" x14ac:dyDescent="0.25">
      <c r="A4" s="39">
        <v>45688</v>
      </c>
      <c r="B4" s="40">
        <v>89299655049</v>
      </c>
      <c r="C4" s="41">
        <v>14760.75</v>
      </c>
      <c r="D4" s="42">
        <v>0.1263</v>
      </c>
      <c r="E4" s="8" t="str">
        <f t="shared" si="0"/>
        <v>892.996.550-49</v>
      </c>
    </row>
    <row r="5" spans="1:5" x14ac:dyDescent="0.25">
      <c r="A5" s="39">
        <v>45688</v>
      </c>
      <c r="B5" s="40">
        <v>25243679836</v>
      </c>
      <c r="C5" s="41">
        <v>6053.86</v>
      </c>
      <c r="D5" s="42">
        <v>5.1799999999999999E-2</v>
      </c>
      <c r="E5" s="8" t="str">
        <f t="shared" si="0"/>
        <v>252.436.798-36</v>
      </c>
    </row>
    <row r="6" spans="1:5" x14ac:dyDescent="0.25">
      <c r="A6" s="39">
        <v>45688</v>
      </c>
      <c r="B6" s="40">
        <v>9857890938</v>
      </c>
      <c r="C6" s="41">
        <v>989.15</v>
      </c>
      <c r="D6" s="42">
        <v>8.5000000000000006E-3</v>
      </c>
      <c r="E6" s="8" t="str">
        <f t="shared" si="0"/>
        <v>098.578.909-38</v>
      </c>
    </row>
    <row r="7" spans="1:5" x14ac:dyDescent="0.25">
      <c r="A7" s="39">
        <v>45688</v>
      </c>
      <c r="B7" s="40">
        <v>4462471970</v>
      </c>
      <c r="C7" s="41">
        <v>982.36</v>
      </c>
      <c r="D7" s="42">
        <v>8.3999999999999995E-3</v>
      </c>
      <c r="E7" s="8" t="str">
        <f t="shared" si="0"/>
        <v>044.624.719-70</v>
      </c>
    </row>
    <row r="8" spans="1:5" x14ac:dyDescent="0.25">
      <c r="A8" s="39">
        <v>45688</v>
      </c>
      <c r="B8" s="40">
        <v>87256673949</v>
      </c>
      <c r="C8" s="41">
        <v>959.54</v>
      </c>
      <c r="D8" s="42">
        <v>8.2000000000000007E-3</v>
      </c>
      <c r="E8" s="8" t="str">
        <f t="shared" si="0"/>
        <v>872.566.739-49</v>
      </c>
    </row>
    <row r="9" spans="1:5" x14ac:dyDescent="0.25">
      <c r="A9" s="39">
        <v>45688</v>
      </c>
      <c r="B9" s="40">
        <v>14554897940</v>
      </c>
      <c r="C9" s="41">
        <v>523.04999999999995</v>
      </c>
      <c r="D9" s="42">
        <v>4.4999999999999997E-3</v>
      </c>
      <c r="E9" s="8" t="str">
        <f t="shared" si="0"/>
        <v>145.548.979-40</v>
      </c>
    </row>
    <row r="10" spans="1:5" x14ac:dyDescent="0.25">
      <c r="A10" s="39">
        <v>45688</v>
      </c>
      <c r="B10" s="40">
        <v>9136033928</v>
      </c>
      <c r="C10" s="41">
        <v>509.43</v>
      </c>
      <c r="D10" s="42">
        <v>4.4000000000000003E-3</v>
      </c>
      <c r="E10" s="8" t="str">
        <f t="shared" si="0"/>
        <v>091.360.339-28</v>
      </c>
    </row>
    <row r="11" spans="1:5" x14ac:dyDescent="0.25">
      <c r="A11" s="39">
        <v>45714</v>
      </c>
      <c r="B11" s="40">
        <v>6636857960</v>
      </c>
      <c r="C11" s="41">
        <v>62813.599999999999</v>
      </c>
      <c r="D11" s="42">
        <v>0.48449999999999999</v>
      </c>
      <c r="E11" s="8" t="str">
        <f t="shared" si="0"/>
        <v>066.368.579-60</v>
      </c>
    </row>
    <row r="12" spans="1:5" x14ac:dyDescent="0.25">
      <c r="A12" s="39">
        <v>45714</v>
      </c>
      <c r="B12" s="40">
        <v>36022818842</v>
      </c>
      <c r="C12" s="41">
        <v>39222.769999999997</v>
      </c>
      <c r="D12" s="42">
        <v>0.30249999999999999</v>
      </c>
      <c r="E12" s="8" t="str">
        <f t="shared" si="0"/>
        <v>360.228.188-42</v>
      </c>
    </row>
    <row r="13" spans="1:5" x14ac:dyDescent="0.25">
      <c r="A13" s="39">
        <v>45714</v>
      </c>
      <c r="B13" s="40">
        <v>89299655049</v>
      </c>
      <c r="C13" s="41">
        <v>14756.73</v>
      </c>
      <c r="D13" s="42">
        <v>0.1138</v>
      </c>
      <c r="E13" s="8" t="str">
        <f t="shared" si="0"/>
        <v>892.996.550-49</v>
      </c>
    </row>
    <row r="14" spans="1:5" x14ac:dyDescent="0.25">
      <c r="A14" s="39">
        <v>45714</v>
      </c>
      <c r="B14" s="40">
        <v>25243679836</v>
      </c>
      <c r="C14" s="41">
        <v>6052.21</v>
      </c>
      <c r="D14" s="42">
        <v>4.6699999999999998E-2</v>
      </c>
      <c r="E14" s="8" t="str">
        <f t="shared" si="0"/>
        <v>252.436.798-36</v>
      </c>
    </row>
    <row r="15" spans="1:5" x14ac:dyDescent="0.25">
      <c r="A15" s="39">
        <v>45714</v>
      </c>
      <c r="B15" s="40">
        <v>8126566957</v>
      </c>
      <c r="C15" s="41">
        <v>1003.22</v>
      </c>
      <c r="D15" s="42">
        <v>7.7000000000000002E-3</v>
      </c>
      <c r="E15" s="8" t="str">
        <f t="shared" si="0"/>
        <v>081.265.669-57</v>
      </c>
    </row>
    <row r="16" spans="1:5" x14ac:dyDescent="0.25">
      <c r="A16" s="39">
        <v>45714</v>
      </c>
      <c r="B16" s="40">
        <v>12255597900</v>
      </c>
      <c r="C16" s="41">
        <v>997.79</v>
      </c>
      <c r="D16" s="42">
        <v>7.7000000000000002E-3</v>
      </c>
      <c r="E16" s="8" t="str">
        <f t="shared" si="0"/>
        <v>122.555.979-00</v>
      </c>
    </row>
    <row r="17" spans="1:5" x14ac:dyDescent="0.25">
      <c r="A17" s="39">
        <v>45714</v>
      </c>
      <c r="B17" s="40">
        <v>9857890938</v>
      </c>
      <c r="C17" s="41">
        <v>988.88</v>
      </c>
      <c r="D17" s="42">
        <v>7.6E-3</v>
      </c>
      <c r="E17" s="8" t="str">
        <f t="shared" si="0"/>
        <v>098.578.909-38</v>
      </c>
    </row>
    <row r="18" spans="1:5" x14ac:dyDescent="0.25">
      <c r="A18" s="39">
        <v>45714</v>
      </c>
      <c r="B18" s="40">
        <v>4462471970</v>
      </c>
      <c r="C18" s="41">
        <v>982.09</v>
      </c>
      <c r="D18" s="42">
        <v>7.6E-3</v>
      </c>
      <c r="E18" s="8" t="str">
        <f t="shared" si="0"/>
        <v>044.624.719-70</v>
      </c>
    </row>
    <row r="19" spans="1:5" x14ac:dyDescent="0.25">
      <c r="A19" s="39">
        <v>45714</v>
      </c>
      <c r="B19" s="40">
        <v>87256673949</v>
      </c>
      <c r="C19" s="41">
        <v>959.28</v>
      </c>
      <c r="D19" s="42">
        <v>7.4000000000000003E-3</v>
      </c>
      <c r="E19" s="8" t="str">
        <f t="shared" si="0"/>
        <v>872.566.739-49</v>
      </c>
    </row>
    <row r="20" spans="1:5" x14ac:dyDescent="0.25">
      <c r="A20" s="39">
        <v>45714</v>
      </c>
      <c r="B20" s="40">
        <v>14554897940</v>
      </c>
      <c r="C20" s="41">
        <v>875.18</v>
      </c>
      <c r="D20" s="42">
        <v>6.7999999999999996E-3</v>
      </c>
      <c r="E20" s="8" t="str">
        <f t="shared" si="0"/>
        <v>145.548.979-40</v>
      </c>
    </row>
    <row r="21" spans="1:5" x14ac:dyDescent="0.25">
      <c r="A21" s="39">
        <v>45714</v>
      </c>
      <c r="B21" s="40">
        <v>9136033928</v>
      </c>
      <c r="C21" s="41">
        <v>509.29</v>
      </c>
      <c r="D21" s="42">
        <v>3.8999999999999998E-3</v>
      </c>
      <c r="E21" s="8" t="str">
        <f t="shared" si="0"/>
        <v>091.360.339-28</v>
      </c>
    </row>
    <row r="22" spans="1:5" x14ac:dyDescent="0.25">
      <c r="A22" s="39">
        <v>45714</v>
      </c>
      <c r="B22" s="40">
        <v>11076050913</v>
      </c>
      <c r="C22" s="41">
        <v>494.65</v>
      </c>
      <c r="D22" s="42">
        <v>3.8E-3</v>
      </c>
      <c r="E22" s="8" t="str">
        <f t="shared" si="0"/>
        <v>110.760.509-13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8ED7A-067E-430E-AA1E-91607D7381E6}">
  <dimension ref="A1:G23"/>
  <sheetViews>
    <sheetView showGridLines="0" workbookViewId="0">
      <selection activeCell="F9" sqref="F9"/>
    </sheetView>
  </sheetViews>
  <sheetFormatPr defaultRowHeight="15" x14ac:dyDescent="0.25"/>
  <cols>
    <col min="1" max="1" width="10.42578125" bestFit="1" customWidth="1"/>
    <col min="2" max="2" width="7.5703125" bestFit="1" customWidth="1"/>
    <col min="3" max="3" width="9.140625" style="3"/>
    <col min="4" max="4" width="9.140625" style="1"/>
    <col min="5" max="5" width="29.85546875" bestFit="1" customWidth="1"/>
    <col min="6" max="6" width="29.85546875" customWidth="1"/>
    <col min="7" max="7" width="10" style="3" bestFit="1" customWidth="1"/>
  </cols>
  <sheetData>
    <row r="1" spans="1:7" x14ac:dyDescent="0.25">
      <c r="A1" s="9" t="s">
        <v>16</v>
      </c>
      <c r="B1" s="9" t="s">
        <v>18</v>
      </c>
      <c r="C1" s="10" t="s">
        <v>19</v>
      </c>
      <c r="D1" s="43" t="s">
        <v>61</v>
      </c>
      <c r="E1" s="9" t="s">
        <v>21</v>
      </c>
      <c r="F1" s="9" t="s">
        <v>62</v>
      </c>
      <c r="G1" s="10" t="s">
        <v>20</v>
      </c>
    </row>
    <row r="2" spans="1:7" x14ac:dyDescent="0.25">
      <c r="A2" s="11">
        <v>45688</v>
      </c>
      <c r="B2" s="12" t="s">
        <v>22</v>
      </c>
      <c r="C2" s="13">
        <v>15980.99</v>
      </c>
      <c r="D2" s="44">
        <f>C2/G2</f>
        <v>0.13675123496343031</v>
      </c>
      <c r="E2" s="12" t="str">
        <f>_xlfn.XLOOKUP(B2,Cadastro_Acoes!A:A,Cadastro_Acoes!C:C)</f>
        <v>Títulos Públicos</v>
      </c>
      <c r="F2" s="12" t="s">
        <v>23</v>
      </c>
      <c r="G2" s="13">
        <v>116861.75999999999</v>
      </c>
    </row>
    <row r="3" spans="1:7" x14ac:dyDescent="0.25">
      <c r="A3" s="11">
        <v>45688</v>
      </c>
      <c r="B3" s="12" t="s">
        <v>24</v>
      </c>
      <c r="C3" s="13">
        <v>13978.4</v>
      </c>
      <c r="D3" s="44">
        <f t="shared" ref="D3:D23" si="0">C3/G3</f>
        <v>0.11961483380020975</v>
      </c>
      <c r="E3" s="12" t="str">
        <f>_xlfn.XLOOKUP(B3,Cadastro_Acoes!A:A,Cadastro_Acoes!C:C)</f>
        <v>Intermediários Financeiros</v>
      </c>
      <c r="F3" s="12" t="s">
        <v>63</v>
      </c>
      <c r="G3" s="13">
        <v>116861.75999999999</v>
      </c>
    </row>
    <row r="4" spans="1:7" x14ac:dyDescent="0.25">
      <c r="A4" s="11">
        <v>45688</v>
      </c>
      <c r="B4" s="12" t="s">
        <v>25</v>
      </c>
      <c r="C4" s="13">
        <v>6397.64</v>
      </c>
      <c r="D4" s="44">
        <f t="shared" si="0"/>
        <v>5.4745367517997336E-2</v>
      </c>
      <c r="E4" s="12" t="str">
        <f>_xlfn.XLOOKUP(B4,Cadastro_Acoes!A:A,Cadastro_Acoes!C:C)</f>
        <v>Previdência e Seguros</v>
      </c>
      <c r="F4" s="12" t="s">
        <v>63</v>
      </c>
      <c r="G4" s="13">
        <v>116861.75999999999</v>
      </c>
    </row>
    <row r="5" spans="1:7" x14ac:dyDescent="0.25">
      <c r="A5" s="11">
        <v>45688</v>
      </c>
      <c r="B5" s="12" t="s">
        <v>26</v>
      </c>
      <c r="C5" s="13">
        <v>12376.6</v>
      </c>
      <c r="D5" s="44">
        <f t="shared" si="0"/>
        <v>0.10590804040603188</v>
      </c>
      <c r="E5" s="12" t="str">
        <f>_xlfn.XLOOKUP(B5,Cadastro_Acoes!A:A,Cadastro_Acoes!C:C)</f>
        <v>Intermediários Financeiros</v>
      </c>
      <c r="F5" s="12" t="s">
        <v>63</v>
      </c>
      <c r="G5" s="13">
        <v>116861.75999999999</v>
      </c>
    </row>
    <row r="6" spans="1:7" x14ac:dyDescent="0.25">
      <c r="A6" s="11">
        <v>45688</v>
      </c>
      <c r="B6" s="12" t="s">
        <v>27</v>
      </c>
      <c r="C6" s="13">
        <v>9200</v>
      </c>
      <c r="D6" s="44">
        <f t="shared" si="0"/>
        <v>7.8725495833709844E-2</v>
      </c>
      <c r="E6" s="12" t="str">
        <f>_xlfn.XLOOKUP(B6,Cadastro_Acoes!A:A,Cadastro_Acoes!C:C)</f>
        <v>Energia Elétrica</v>
      </c>
      <c r="F6" s="12" t="s">
        <v>63</v>
      </c>
      <c r="G6" s="13">
        <v>116861.75999999999</v>
      </c>
    </row>
    <row r="7" spans="1:7" x14ac:dyDescent="0.25">
      <c r="A7" s="11">
        <v>45688</v>
      </c>
      <c r="B7" s="12" t="s">
        <v>28</v>
      </c>
      <c r="C7" s="13">
        <v>11830.6</v>
      </c>
      <c r="D7" s="44">
        <f t="shared" si="0"/>
        <v>0.10123585337068346</v>
      </c>
      <c r="E7" s="12" t="str">
        <f>_xlfn.XLOOKUP(B7,Cadastro_Acoes!A:A,Cadastro_Acoes!C:C)</f>
        <v>Energia Elétrica</v>
      </c>
      <c r="F7" s="12" t="s">
        <v>63</v>
      </c>
      <c r="G7" s="13">
        <v>116861.75999999999</v>
      </c>
    </row>
    <row r="8" spans="1:7" x14ac:dyDescent="0.25">
      <c r="A8" s="11">
        <v>45688</v>
      </c>
      <c r="B8" s="12" t="s">
        <v>29</v>
      </c>
      <c r="C8" s="13">
        <v>8671.2999999999993</v>
      </c>
      <c r="D8" s="44">
        <f t="shared" si="0"/>
        <v>7.4201346959005238E-2</v>
      </c>
      <c r="E8" s="12" t="str">
        <f>_xlfn.XLOOKUP(B8,Cadastro_Acoes!A:A,Cadastro_Acoes!C:C)</f>
        <v>Fundos de índice</v>
      </c>
      <c r="F8" s="12" t="s">
        <v>63</v>
      </c>
      <c r="G8" s="13">
        <v>116861.75999999999</v>
      </c>
    </row>
    <row r="9" spans="1:7" x14ac:dyDescent="0.25">
      <c r="A9" s="11">
        <v>45688</v>
      </c>
      <c r="B9" s="12" t="s">
        <v>30</v>
      </c>
      <c r="C9" s="13">
        <v>11190.27</v>
      </c>
      <c r="D9" s="44">
        <f t="shared" si="0"/>
        <v>9.5756473289466126E-2</v>
      </c>
      <c r="E9" s="12" t="str">
        <f>_xlfn.XLOOKUP(B9,Cadastro_Acoes!A:A,Cadastro_Acoes!C:C)</f>
        <v>Petróleo, Gás e Biocombustíveis</v>
      </c>
      <c r="F9" s="12" t="s">
        <v>63</v>
      </c>
      <c r="G9" s="13">
        <v>116861.75999999999</v>
      </c>
    </row>
    <row r="10" spans="1:7" x14ac:dyDescent="0.25">
      <c r="A10" s="11">
        <v>45688</v>
      </c>
      <c r="B10" s="12" t="s">
        <v>31</v>
      </c>
      <c r="C10" s="13">
        <v>11347</v>
      </c>
      <c r="D10" s="44">
        <f t="shared" si="0"/>
        <v>9.7097630567946264E-2</v>
      </c>
      <c r="E10" s="12" t="str">
        <f>_xlfn.XLOOKUP(B10,Cadastro_Acoes!A:A,Cadastro_Acoes!C:C)</f>
        <v>Fundos de índice</v>
      </c>
      <c r="F10" s="12" t="s">
        <v>63</v>
      </c>
      <c r="G10" s="13">
        <v>116861.75999999999</v>
      </c>
    </row>
    <row r="11" spans="1:7" x14ac:dyDescent="0.25">
      <c r="A11" s="11">
        <v>45688</v>
      </c>
      <c r="B11" s="12" t="s">
        <v>32</v>
      </c>
      <c r="C11" s="13">
        <v>12079.91</v>
      </c>
      <c r="D11" s="44">
        <f t="shared" si="0"/>
        <v>0.10336922873658587</v>
      </c>
      <c r="E11" s="12" t="str">
        <f>_xlfn.XLOOKUP(B11,Cadastro_Acoes!A:A,Cadastro_Acoes!C:C)</f>
        <v>Mineração</v>
      </c>
      <c r="F11" s="12" t="s">
        <v>63</v>
      </c>
      <c r="G11" s="13">
        <v>116861.75999999999</v>
      </c>
    </row>
    <row r="12" spans="1:7" x14ac:dyDescent="0.25">
      <c r="A12" s="14">
        <v>45688</v>
      </c>
      <c r="B12" s="15" t="s">
        <v>33</v>
      </c>
      <c r="C12" s="16">
        <v>2784.12</v>
      </c>
      <c r="D12" s="45">
        <f t="shared" si="0"/>
        <v>2.3824046463103071E-2</v>
      </c>
      <c r="E12" s="15" t="str">
        <f>_xlfn.XLOOKUP(B12,Cadastro_Acoes!A:A,Cadastro_Acoes!C:C)</f>
        <v>Caixa</v>
      </c>
      <c r="F12" s="15" t="s">
        <v>59</v>
      </c>
      <c r="G12" s="16">
        <v>116861.75999999999</v>
      </c>
    </row>
    <row r="13" spans="1:7" x14ac:dyDescent="0.25">
      <c r="A13" s="11">
        <v>45714</v>
      </c>
      <c r="B13" s="12" t="s">
        <v>22</v>
      </c>
      <c r="C13" s="13">
        <v>16122.37</v>
      </c>
      <c r="D13" s="44">
        <f t="shared" si="0"/>
        <v>0.12434751254765022</v>
      </c>
      <c r="E13" s="12" t="str">
        <f>_xlfn.XLOOKUP(B13,Cadastro_Acoes!A:A,Cadastro_Acoes!C:C)</f>
        <v>Títulos Públicos</v>
      </c>
      <c r="F13" s="12" t="s">
        <v>23</v>
      </c>
      <c r="G13" s="13">
        <v>129655.75</v>
      </c>
    </row>
    <row r="14" spans="1:7" x14ac:dyDescent="0.25">
      <c r="A14" s="11">
        <v>45714</v>
      </c>
      <c r="B14" s="12" t="s">
        <v>24</v>
      </c>
      <c r="C14" s="13">
        <v>14287.63</v>
      </c>
      <c r="D14" s="44">
        <f t="shared" si="0"/>
        <v>0.11019665537394215</v>
      </c>
      <c r="E14" s="12" t="str">
        <f>_xlfn.XLOOKUP(B14,Cadastro_Acoes!A:A,Cadastro_Acoes!C:C)</f>
        <v>Intermediários Financeiros</v>
      </c>
      <c r="F14" s="12" t="s">
        <v>63</v>
      </c>
      <c r="G14" s="13">
        <v>129655.75</v>
      </c>
    </row>
    <row r="15" spans="1:7" x14ac:dyDescent="0.25">
      <c r="A15" s="11">
        <v>45714</v>
      </c>
      <c r="B15" s="12" t="s">
        <v>25</v>
      </c>
      <c r="C15" s="13">
        <v>6680.34</v>
      </c>
      <c r="D15" s="44">
        <f t="shared" si="0"/>
        <v>5.1523669409185478E-2</v>
      </c>
      <c r="E15" s="12" t="str">
        <f>_xlfn.XLOOKUP(B15,Cadastro_Acoes!A:A,Cadastro_Acoes!C:C)</f>
        <v>Previdência e Seguros</v>
      </c>
      <c r="F15" s="12" t="s">
        <v>63</v>
      </c>
      <c r="G15" s="13">
        <v>129655.75</v>
      </c>
    </row>
    <row r="16" spans="1:7" x14ac:dyDescent="0.25">
      <c r="A16" s="11">
        <v>45714</v>
      </c>
      <c r="B16" s="12" t="s">
        <v>26</v>
      </c>
      <c r="C16" s="13">
        <v>13862.92</v>
      </c>
      <c r="D16" s="44">
        <f t="shared" si="0"/>
        <v>0.1069209811365867</v>
      </c>
      <c r="E16" s="12" t="str">
        <f>_xlfn.XLOOKUP(B16,Cadastro_Acoes!A:A,Cadastro_Acoes!C:C)</f>
        <v>Intermediários Financeiros</v>
      </c>
      <c r="F16" s="12" t="s">
        <v>63</v>
      </c>
      <c r="G16" s="13">
        <v>129655.75</v>
      </c>
    </row>
    <row r="17" spans="1:7" x14ac:dyDescent="0.25">
      <c r="A17" s="11">
        <v>45714</v>
      </c>
      <c r="B17" s="12" t="s">
        <v>27</v>
      </c>
      <c r="C17" s="13">
        <v>10713.6</v>
      </c>
      <c r="D17" s="44">
        <f t="shared" si="0"/>
        <v>8.2631121257638024E-2</v>
      </c>
      <c r="E17" s="12" t="str">
        <f>_xlfn.XLOOKUP(B17,Cadastro_Acoes!A:A,Cadastro_Acoes!C:C)</f>
        <v>Energia Elétrica</v>
      </c>
      <c r="F17" s="12" t="s">
        <v>63</v>
      </c>
      <c r="G17" s="13">
        <v>129655.75</v>
      </c>
    </row>
    <row r="18" spans="1:7" x14ac:dyDescent="0.25">
      <c r="A18" s="11">
        <v>45714</v>
      </c>
      <c r="B18" s="12" t="s">
        <v>28</v>
      </c>
      <c r="C18" s="13">
        <v>14330.54</v>
      </c>
      <c r="D18" s="44">
        <f t="shared" si="0"/>
        <v>0.1105276086868496</v>
      </c>
      <c r="E18" s="12" t="str">
        <f>_xlfn.XLOOKUP(B18,Cadastro_Acoes!A:A,Cadastro_Acoes!C:C)</f>
        <v>Energia Elétrica</v>
      </c>
      <c r="F18" s="12" t="s">
        <v>63</v>
      </c>
      <c r="G18" s="13">
        <v>129655.75</v>
      </c>
    </row>
    <row r="19" spans="1:7" x14ac:dyDescent="0.25">
      <c r="A19" s="11">
        <v>45714</v>
      </c>
      <c r="B19" s="12" t="s">
        <v>29</v>
      </c>
      <c r="C19" s="13">
        <v>10058.879999999999</v>
      </c>
      <c r="D19" s="44">
        <f t="shared" si="0"/>
        <v>7.7581441625226802E-2</v>
      </c>
      <c r="E19" s="12" t="str">
        <f>_xlfn.XLOOKUP(B19,Cadastro_Acoes!A:A,Cadastro_Acoes!C:C)</f>
        <v>Fundos de índice</v>
      </c>
      <c r="F19" s="12" t="s">
        <v>63</v>
      </c>
      <c r="G19" s="13">
        <v>129655.75</v>
      </c>
    </row>
    <row r="20" spans="1:7" x14ac:dyDescent="0.25">
      <c r="A20" s="11">
        <v>45714</v>
      </c>
      <c r="B20" s="12" t="s">
        <v>30</v>
      </c>
      <c r="C20" s="13">
        <v>11646.74</v>
      </c>
      <c r="D20" s="44">
        <f t="shared" si="0"/>
        <v>8.9828179621806198E-2</v>
      </c>
      <c r="E20" s="12" t="str">
        <f>_xlfn.XLOOKUP(B20,Cadastro_Acoes!A:A,Cadastro_Acoes!C:C)</f>
        <v>Petróleo, Gás e Biocombustíveis</v>
      </c>
      <c r="F20" s="12" t="s">
        <v>63</v>
      </c>
      <c r="G20" s="13">
        <v>129655.75</v>
      </c>
    </row>
    <row r="21" spans="1:7" x14ac:dyDescent="0.25">
      <c r="A21" s="11">
        <v>45714</v>
      </c>
      <c r="B21" s="12" t="s">
        <v>31</v>
      </c>
      <c r="C21" s="13">
        <v>11242</v>
      </c>
      <c r="D21" s="44">
        <f t="shared" si="0"/>
        <v>8.6706528634480154E-2</v>
      </c>
      <c r="E21" s="12" t="str">
        <f>_xlfn.XLOOKUP(B21,Cadastro_Acoes!A:A,Cadastro_Acoes!C:C)</f>
        <v>Fundos de índice</v>
      </c>
      <c r="F21" s="12" t="s">
        <v>63</v>
      </c>
      <c r="G21" s="13">
        <v>129655.75</v>
      </c>
    </row>
    <row r="22" spans="1:7" x14ac:dyDescent="0.25">
      <c r="A22" s="11">
        <v>45714</v>
      </c>
      <c r="B22" s="12" t="s">
        <v>32</v>
      </c>
      <c r="C22" s="13">
        <v>14463.6</v>
      </c>
      <c r="D22" s="44">
        <f t="shared" si="0"/>
        <v>0.11155386475339506</v>
      </c>
      <c r="E22" s="12" t="str">
        <f>_xlfn.XLOOKUP(B22,Cadastro_Acoes!A:A,Cadastro_Acoes!C:C)</f>
        <v>Mineração</v>
      </c>
      <c r="F22" s="12" t="s">
        <v>63</v>
      </c>
      <c r="G22" s="13">
        <v>129655.75</v>
      </c>
    </row>
    <row r="23" spans="1:7" x14ac:dyDescent="0.25">
      <c r="A23" s="14">
        <v>45714</v>
      </c>
      <c r="B23" s="15" t="s">
        <v>33</v>
      </c>
      <c r="C23" s="16">
        <v>5109.32</v>
      </c>
      <c r="D23" s="45">
        <f t="shared" si="0"/>
        <v>3.940681381273102E-2</v>
      </c>
      <c r="E23" s="15" t="str">
        <f>_xlfn.XLOOKUP(B23,Cadastro_Acoes!A:A,Cadastro_Acoes!C:C)</f>
        <v>Caixa</v>
      </c>
      <c r="F23" s="15" t="s">
        <v>59</v>
      </c>
      <c r="G23" s="16">
        <v>129655.75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629D-6DE0-46FD-B578-14B10353174E}">
  <dimension ref="A1:O6"/>
  <sheetViews>
    <sheetView showGridLines="0" topLeftCell="A3" workbookViewId="0">
      <selection activeCell="A3" sqref="A3"/>
    </sheetView>
  </sheetViews>
  <sheetFormatPr defaultRowHeight="15" x14ac:dyDescent="0.25"/>
  <cols>
    <col min="1" max="1" width="12.28515625" bestFit="1" customWidth="1"/>
    <col min="2" max="2" width="7.140625" bestFit="1" customWidth="1"/>
    <col min="3" max="15" width="8.140625" bestFit="1" customWidth="1"/>
  </cols>
  <sheetData>
    <row r="1" spans="1:15" hidden="1" x14ac:dyDescent="0.25">
      <c r="B1" s="50">
        <v>45658</v>
      </c>
      <c r="C1" s="50">
        <f>EOMONTH(B1,0+1)</f>
        <v>45716</v>
      </c>
      <c r="D1" s="50">
        <f t="shared" ref="D1:M1" si="0">EOMONTH(C1,0+1)</f>
        <v>45747</v>
      </c>
      <c r="E1" s="50">
        <f t="shared" si="0"/>
        <v>45777</v>
      </c>
      <c r="F1" s="50">
        <f t="shared" si="0"/>
        <v>45808</v>
      </c>
      <c r="G1" s="50">
        <f t="shared" si="0"/>
        <v>45838</v>
      </c>
      <c r="H1" s="50">
        <f t="shared" si="0"/>
        <v>45869</v>
      </c>
      <c r="I1" s="50">
        <f t="shared" si="0"/>
        <v>45900</v>
      </c>
      <c r="J1" s="50">
        <f t="shared" si="0"/>
        <v>45930</v>
      </c>
      <c r="K1" s="50">
        <f t="shared" si="0"/>
        <v>45961</v>
      </c>
      <c r="L1" s="50">
        <f t="shared" si="0"/>
        <v>45991</v>
      </c>
      <c r="M1" s="50">
        <f t="shared" si="0"/>
        <v>46022</v>
      </c>
      <c r="N1" s="50"/>
      <c r="O1" s="50"/>
    </row>
    <row r="2" spans="1:15" hidden="1" x14ac:dyDescent="0.25">
      <c r="B2" s="50" t="str">
        <f>TEXT(B1,"mmaaaa")</f>
        <v>012025</v>
      </c>
      <c r="C2" s="50" t="str">
        <f t="shared" ref="C2:M2" si="1">TEXT(C1,"mmaaaa")</f>
        <v>022025</v>
      </c>
      <c r="D2" s="50" t="str">
        <f t="shared" si="1"/>
        <v>032025</v>
      </c>
      <c r="E2" s="50" t="str">
        <f t="shared" si="1"/>
        <v>042025</v>
      </c>
      <c r="F2" s="50" t="str">
        <f t="shared" si="1"/>
        <v>052025</v>
      </c>
      <c r="G2" s="50" t="str">
        <f t="shared" si="1"/>
        <v>062025</v>
      </c>
      <c r="H2" s="50" t="str">
        <f t="shared" si="1"/>
        <v>072025</v>
      </c>
      <c r="I2" s="50" t="str">
        <f t="shared" si="1"/>
        <v>082025</v>
      </c>
      <c r="J2" s="50" t="str">
        <f t="shared" si="1"/>
        <v>092025</v>
      </c>
      <c r="K2" s="50" t="str">
        <f t="shared" si="1"/>
        <v>102025</v>
      </c>
      <c r="L2" s="50" t="str">
        <f t="shared" si="1"/>
        <v>112025</v>
      </c>
      <c r="M2" s="50" t="str">
        <f t="shared" si="1"/>
        <v>122025</v>
      </c>
      <c r="N2" s="50"/>
      <c r="O2" s="50"/>
    </row>
    <row r="3" spans="1:15" ht="15.75" thickBot="1" x14ac:dyDescent="0.3">
      <c r="A3" s="53" t="s">
        <v>64</v>
      </c>
      <c r="B3" s="54" t="str">
        <f>PROPER(TEXT(B1,"mmm"))</f>
        <v>Jan</v>
      </c>
      <c r="C3" s="54" t="str">
        <f t="shared" ref="C3:M3" si="2">PROPER(TEXT(C1,"mmm"))</f>
        <v>Fev</v>
      </c>
      <c r="D3" s="54" t="str">
        <f t="shared" si="2"/>
        <v>Mar</v>
      </c>
      <c r="E3" s="54" t="str">
        <f t="shared" si="2"/>
        <v>Abr</v>
      </c>
      <c r="F3" s="54" t="str">
        <f t="shared" si="2"/>
        <v>Mai</v>
      </c>
      <c r="G3" s="54" t="str">
        <f t="shared" si="2"/>
        <v>Jun</v>
      </c>
      <c r="H3" s="54" t="str">
        <f t="shared" si="2"/>
        <v>Jul</v>
      </c>
      <c r="I3" s="54" t="str">
        <f t="shared" si="2"/>
        <v>Ago</v>
      </c>
      <c r="J3" s="54" t="str">
        <f t="shared" si="2"/>
        <v>Set</v>
      </c>
      <c r="K3" s="54" t="str">
        <f t="shared" si="2"/>
        <v>Out</v>
      </c>
      <c r="L3" s="54" t="str">
        <f t="shared" si="2"/>
        <v>Nov</v>
      </c>
      <c r="M3" s="54" t="str">
        <f t="shared" si="2"/>
        <v>Dez</v>
      </c>
      <c r="N3" s="54" t="s">
        <v>68</v>
      </c>
      <c r="O3" s="51"/>
    </row>
    <row r="4" spans="1:15" x14ac:dyDescent="0.25">
      <c r="A4" t="s">
        <v>65</v>
      </c>
      <c r="B4" s="52">
        <f>_xlfn.XLOOKUP(B2,Historico_Cota!$I:$I,Historico_Cota!$J:$J,"-",,-1)</f>
        <v>3.5139199739367299E-2</v>
      </c>
      <c r="C4" s="52">
        <f>_xlfn.XLOOKUP(C2,Historico_Cota!$I:$I,Historico_Cota!$J:$J,"-",,-1)</f>
        <v>-2.7183406540165489E-4</v>
      </c>
      <c r="D4" s="52" t="str">
        <f>_xlfn.XLOOKUP(D2,Historico_Cota!$I:$I,Historico_Cota!$J:$J,"-",,-1)</f>
        <v>-</v>
      </c>
      <c r="E4" s="52" t="str">
        <f>_xlfn.XLOOKUP(E2,Historico_Cota!$I:$I,Historico_Cota!$J:$J,"-",,-1)</f>
        <v>-</v>
      </c>
      <c r="F4" s="52" t="str">
        <f>_xlfn.XLOOKUP(F2,Historico_Cota!$I:$I,Historico_Cota!$J:$J,"-",,-1)</f>
        <v>-</v>
      </c>
      <c r="G4" s="52" t="str">
        <f>_xlfn.XLOOKUP(G2,Historico_Cota!$I:$I,Historico_Cota!$J:$J,"-",,-1)</f>
        <v>-</v>
      </c>
      <c r="H4" s="52" t="str">
        <f>_xlfn.XLOOKUP(H2,Historico_Cota!$I:$I,Historico_Cota!$J:$J,"-",,-1)</f>
        <v>-</v>
      </c>
      <c r="I4" s="52" t="str">
        <f>_xlfn.XLOOKUP(I2,Historico_Cota!$I:$I,Historico_Cota!$J:$J,"-",,-1)</f>
        <v>-</v>
      </c>
      <c r="J4" s="52" t="str">
        <f>_xlfn.XLOOKUP(J2,Historico_Cota!$I:$I,Historico_Cota!$J:$J,"-",,-1)</f>
        <v>-</v>
      </c>
      <c r="K4" s="52" t="str">
        <f>_xlfn.XLOOKUP(K2,Historico_Cota!$I:$I,Historico_Cota!$J:$J,"-",,-1)</f>
        <v>-</v>
      </c>
      <c r="L4" s="52" t="str">
        <f>_xlfn.XLOOKUP(L2,Historico_Cota!$I:$I,Historico_Cota!$J:$J,"-",,-1)</f>
        <v>-</v>
      </c>
      <c r="M4" s="52" t="str">
        <f>_xlfn.XLOOKUP(M2,Historico_Cota!$I:$I,Historico_Cota!$J:$J,"-",,-1)</f>
        <v>-</v>
      </c>
      <c r="N4" s="52" cm="1">
        <f t="array" ref="N4">EXP(SUM(LN(1+_xlfn._xlws.FILTER(B4:M4,B4:M4&lt;&gt;"-"))))-1</f>
        <v>3.4857813642445556E-2</v>
      </c>
      <c r="O4" s="1"/>
    </row>
    <row r="5" spans="1:15" x14ac:dyDescent="0.25">
      <c r="A5" t="s">
        <v>66</v>
      </c>
      <c r="B5" s="52">
        <f>_xlfn.XLOOKUP(B2,Historico_Cota!$I:$I,Historico_Cota!$K:$K,"-",,-1)</f>
        <v>4.8651929200302479E-2</v>
      </c>
      <c r="C5" s="52">
        <f>_xlfn.XLOOKUP(C2,Historico_Cota!$I:$I,Historico_Cota!$K:$K,"-",,-1)</f>
        <v>-1.0829666627026557E-2</v>
      </c>
      <c r="D5" s="52" t="str">
        <f>_xlfn.XLOOKUP(D2,Historico_Cota!$I:$I,Historico_Cota!$K:$K,"-",,-1)</f>
        <v>-</v>
      </c>
      <c r="E5" s="52" t="str">
        <f>_xlfn.XLOOKUP(E2,Historico_Cota!$I:$I,Historico_Cota!$K:$K,"-",,-1)</f>
        <v>-</v>
      </c>
      <c r="F5" s="52" t="str">
        <f>_xlfn.XLOOKUP(F2,Historico_Cota!$I:$I,Historico_Cota!$K:$K,"-",,-1)</f>
        <v>-</v>
      </c>
      <c r="G5" s="52" t="str">
        <f>_xlfn.XLOOKUP(G2,Historico_Cota!$I:$I,Historico_Cota!$K:$K,"-",,-1)</f>
        <v>-</v>
      </c>
      <c r="H5" s="52" t="str">
        <f>_xlfn.XLOOKUP(H2,Historico_Cota!$I:$I,Historico_Cota!$K:$K,"-",,-1)</f>
        <v>-</v>
      </c>
      <c r="I5" s="52" t="str">
        <f>_xlfn.XLOOKUP(I2,Historico_Cota!$I:$I,Historico_Cota!$K:$K,"-",,-1)</f>
        <v>-</v>
      </c>
      <c r="J5" s="52" t="str">
        <f>_xlfn.XLOOKUP(J2,Historico_Cota!$I:$I,Historico_Cota!$K:$K,"-",,-1)</f>
        <v>-</v>
      </c>
      <c r="K5" s="52" t="str">
        <f>_xlfn.XLOOKUP(K2,Historico_Cota!$I:$I,Historico_Cota!$K:$K,"-",,-1)</f>
        <v>-</v>
      </c>
      <c r="L5" s="52" t="str">
        <f>_xlfn.XLOOKUP(L2,Historico_Cota!$I:$I,Historico_Cota!$K:$K,"-",,-1)</f>
        <v>-</v>
      </c>
      <c r="M5" s="52" t="str">
        <f>_xlfn.XLOOKUP(M2,Historico_Cota!$I:$I,Historico_Cota!$K:$K,"-",,-1)</f>
        <v>-</v>
      </c>
      <c r="N5" s="52" cm="1">
        <f t="array" ref="N5">EXP(SUM(LN(1+_xlfn._xlws.FILTER(B5:M5,B5:M5&lt;&gt;"-"))))-1</f>
        <v>3.7295378399274881E-2</v>
      </c>
      <c r="O5" s="1"/>
    </row>
    <row r="6" spans="1:15" x14ac:dyDescent="0.25">
      <c r="A6" t="s">
        <v>67</v>
      </c>
      <c r="B6" s="52">
        <f>IFERROR((1+B4)/(1+B5),"-")</f>
        <v>0.98711419005232759</v>
      </c>
      <c r="C6" s="52">
        <f t="shared" ref="C6:N6" si="3">IFERROR((1+C4)/(1+C5),"-")</f>
        <v>1.0106734221654463</v>
      </c>
      <c r="D6" s="52" t="str">
        <f t="shared" si="3"/>
        <v>-</v>
      </c>
      <c r="E6" s="52" t="str">
        <f t="shared" si="3"/>
        <v>-</v>
      </c>
      <c r="F6" s="52" t="str">
        <f t="shared" si="3"/>
        <v>-</v>
      </c>
      <c r="G6" s="52" t="str">
        <f t="shared" si="3"/>
        <v>-</v>
      </c>
      <c r="H6" s="52" t="str">
        <f t="shared" si="3"/>
        <v>-</v>
      </c>
      <c r="I6" s="52" t="str">
        <f t="shared" si="3"/>
        <v>-</v>
      </c>
      <c r="J6" s="52" t="str">
        <f t="shared" si="3"/>
        <v>-</v>
      </c>
      <c r="K6" s="52" t="str">
        <f t="shared" si="3"/>
        <v>-</v>
      </c>
      <c r="L6" s="52" t="str">
        <f t="shared" si="3"/>
        <v>-</v>
      </c>
      <c r="M6" s="52" t="str">
        <f t="shared" si="3"/>
        <v>-</v>
      </c>
      <c r="N6" s="52">
        <f t="shared" si="3"/>
        <v>0.99765007652825866</v>
      </c>
      <c r="O6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E5C71-1434-4F31-9D11-DB10380ACD99}">
  <dimension ref="A1:A2"/>
  <sheetViews>
    <sheetView tabSelected="1" workbookViewId="0"/>
  </sheetViews>
  <sheetFormatPr defaultRowHeight="15" x14ac:dyDescent="0.25"/>
  <sheetData>
    <row r="1" spans="1:1" x14ac:dyDescent="0.25">
      <c r="A1" s="55" t="s">
        <v>69</v>
      </c>
    </row>
    <row r="2" spans="1:1" x14ac:dyDescent="0.25">
      <c r="A2" s="1">
        <v>0.13250000000000001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7B42C-3F61-4C41-BD0C-574980AB3ECA}">
  <dimension ref="A1:D12"/>
  <sheetViews>
    <sheetView workbookViewId="0">
      <selection activeCell="B12" sqref="B12"/>
    </sheetView>
  </sheetViews>
  <sheetFormatPr defaultRowHeight="15" x14ac:dyDescent="0.25"/>
  <sheetData>
    <row r="1" spans="1:4" x14ac:dyDescent="0.25">
      <c r="A1" t="s">
        <v>34</v>
      </c>
      <c r="B1" t="s">
        <v>35</v>
      </c>
      <c r="C1" t="s">
        <v>21</v>
      </c>
      <c r="D1" t="s">
        <v>36</v>
      </c>
    </row>
    <row r="2" spans="1:4" x14ac:dyDescent="0.25">
      <c r="A2" t="s">
        <v>24</v>
      </c>
      <c r="B2" t="s">
        <v>37</v>
      </c>
      <c r="C2" t="s">
        <v>38</v>
      </c>
      <c r="D2" t="s">
        <v>39</v>
      </c>
    </row>
    <row r="3" spans="1:4" x14ac:dyDescent="0.25">
      <c r="A3" t="s">
        <v>25</v>
      </c>
      <c r="B3" t="s">
        <v>40</v>
      </c>
      <c r="C3" t="s">
        <v>41</v>
      </c>
      <c r="D3" t="s">
        <v>42</v>
      </c>
    </row>
    <row r="4" spans="1:4" x14ac:dyDescent="0.25">
      <c r="A4" t="s">
        <v>26</v>
      </c>
      <c r="B4" t="s">
        <v>43</v>
      </c>
      <c r="C4" t="s">
        <v>38</v>
      </c>
      <c r="D4" t="s">
        <v>39</v>
      </c>
    </row>
    <row r="5" spans="1:4" x14ac:dyDescent="0.25">
      <c r="A5" t="s">
        <v>27</v>
      </c>
      <c r="B5" t="s">
        <v>44</v>
      </c>
      <c r="C5" t="s">
        <v>45</v>
      </c>
      <c r="D5" t="s">
        <v>45</v>
      </c>
    </row>
    <row r="6" spans="1:4" x14ac:dyDescent="0.25">
      <c r="A6" t="s">
        <v>28</v>
      </c>
      <c r="B6" t="s">
        <v>46</v>
      </c>
      <c r="C6" t="s">
        <v>45</v>
      </c>
      <c r="D6" t="s">
        <v>45</v>
      </c>
    </row>
    <row r="7" spans="1:4" x14ac:dyDescent="0.25">
      <c r="A7" t="s">
        <v>29</v>
      </c>
      <c r="B7" t="s">
        <v>47</v>
      </c>
      <c r="C7" t="s">
        <v>48</v>
      </c>
      <c r="D7" t="s">
        <v>49</v>
      </c>
    </row>
    <row r="8" spans="1:4" x14ac:dyDescent="0.25">
      <c r="A8" t="s">
        <v>30</v>
      </c>
      <c r="B8" t="s">
        <v>50</v>
      </c>
      <c r="C8" t="s">
        <v>51</v>
      </c>
      <c r="D8" t="s">
        <v>52</v>
      </c>
    </row>
    <row r="9" spans="1:4" x14ac:dyDescent="0.25">
      <c r="A9" t="s">
        <v>31</v>
      </c>
      <c r="B9" t="s">
        <v>53</v>
      </c>
      <c r="C9" t="s">
        <v>48</v>
      </c>
      <c r="D9" t="s">
        <v>54</v>
      </c>
    </row>
    <row r="10" spans="1:4" x14ac:dyDescent="0.25">
      <c r="A10" t="s">
        <v>32</v>
      </c>
      <c r="B10" t="s">
        <v>55</v>
      </c>
      <c r="C10" t="s">
        <v>56</v>
      </c>
      <c r="D10" t="s">
        <v>57</v>
      </c>
    </row>
    <row r="11" spans="1:4" x14ac:dyDescent="0.25">
      <c r="A11" t="s">
        <v>22</v>
      </c>
      <c r="B11" t="s">
        <v>58</v>
      </c>
      <c r="C11" t="s">
        <v>23</v>
      </c>
      <c r="D11" t="s">
        <v>23</v>
      </c>
    </row>
    <row r="12" spans="1:4" x14ac:dyDescent="0.25">
      <c r="A12" t="s">
        <v>59</v>
      </c>
      <c r="B12" t="s">
        <v>60</v>
      </c>
      <c r="C12" t="s">
        <v>59</v>
      </c>
      <c r="D12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Historico_Cota</vt:lpstr>
      <vt:lpstr>Cotistas</vt:lpstr>
      <vt:lpstr>Ativos</vt:lpstr>
      <vt:lpstr>Rent_Mensal</vt:lpstr>
      <vt:lpstr>Selic</vt:lpstr>
      <vt:lpstr>Cadastro_Acoes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Bassi</dc:creator>
  <cp:lastModifiedBy>João Pedro Bassi</cp:lastModifiedBy>
  <dcterms:created xsi:type="dcterms:W3CDTF">2025-02-27T20:51:39Z</dcterms:created>
  <dcterms:modified xsi:type="dcterms:W3CDTF">2025-02-28T01:24:08Z</dcterms:modified>
</cp:coreProperties>
</file>