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Denver Asset\Clube Kairos\"/>
    </mc:Choice>
  </mc:AlternateContent>
  <xr:revisionPtr revIDLastSave="0" documentId="13_ncr:1_{D720D4A6-42C9-42D1-B374-0C032F9066C1}" xr6:coauthVersionLast="47" xr6:coauthVersionMax="47" xr10:uidLastSave="{00000000-0000-0000-0000-000000000000}"/>
  <bookViews>
    <workbookView xWindow="-120" yWindow="-120" windowWidth="29040" windowHeight="15720" activeTab="1" xr2:uid="{F2F2A48E-40B1-4592-9A15-D8A81D1A0FE1}"/>
  </bookViews>
  <sheets>
    <sheet name="HistCota" sheetId="1" r:id="rId1"/>
    <sheet name="Relatório" sheetId="2" r:id="rId2"/>
    <sheet name="Cadastro Ações" sheetId="3" state="hidden" r:id="rId3"/>
    <sheet name="Calculadora - Retorno" sheetId="4" state="hidden" r:id="rId4"/>
  </sheets>
  <definedNames>
    <definedName name="_xlnm._FilterDatabase" localSheetId="1" hidden="1">Relatório!$B$63:$E$72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3" i="2" l="1"/>
  <c r="I103" i="2"/>
  <c r="H103" i="2"/>
  <c r="G103" i="2"/>
  <c r="J102" i="2"/>
  <c r="I102" i="2"/>
  <c r="H102" i="2"/>
  <c r="C54" i="2"/>
  <c r="F42" i="1"/>
  <c r="G42" i="1"/>
  <c r="H42" i="1"/>
  <c r="I42" i="1"/>
  <c r="F43" i="1"/>
  <c r="G43" i="1"/>
  <c r="H43" i="1"/>
  <c r="I43" i="1"/>
  <c r="C17" i="2"/>
  <c r="B9" i="2"/>
  <c r="F3" i="4"/>
  <c r="F4" i="4"/>
  <c r="F5" i="4"/>
  <c r="F6" i="4"/>
  <c r="F7" i="4"/>
  <c r="F8" i="4"/>
  <c r="F9" i="4"/>
  <c r="F10" i="4"/>
  <c r="F2" i="4"/>
  <c r="D65" i="2"/>
  <c r="D66" i="2"/>
  <c r="D67" i="2"/>
  <c r="D68" i="2"/>
  <c r="D69" i="2"/>
  <c r="D70" i="2"/>
  <c r="D71" i="2"/>
  <c r="D72" i="2"/>
  <c r="D64" i="2"/>
  <c r="C65" i="2"/>
  <c r="C66" i="2"/>
  <c r="C67" i="2"/>
  <c r="C68" i="2"/>
  <c r="C69" i="2"/>
  <c r="C70" i="2"/>
  <c r="C71" i="2"/>
  <c r="C72" i="2"/>
  <c r="C64" i="2"/>
  <c r="C53" i="2"/>
  <c r="I24" i="2"/>
  <c r="M24" i="2"/>
  <c r="J4" i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25" i="2" s="1"/>
  <c r="I38" i="1"/>
  <c r="J24" i="2" s="1"/>
  <c r="I39" i="1"/>
  <c r="G25" i="2" s="1"/>
  <c r="I40" i="1"/>
  <c r="I41" i="1"/>
  <c r="I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" i="1"/>
  <c r="C18" i="2"/>
  <c r="C16" i="2"/>
  <c r="C9" i="2"/>
  <c r="C15" i="2" s="1"/>
  <c r="C4" i="2"/>
  <c r="F4" i="1"/>
  <c r="M4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D9" i="2" l="1"/>
  <c r="D16" i="2"/>
  <c r="D18" i="2"/>
  <c r="J25" i="2"/>
  <c r="J26" i="2" s="1"/>
  <c r="H25" i="2"/>
  <c r="E24" i="2"/>
  <c r="M5" i="1"/>
  <c r="M6" i="1" s="1"/>
  <c r="M7" i="1" s="1"/>
  <c r="M8" i="1" s="1"/>
  <c r="M9" i="1" s="1"/>
  <c r="M10" i="1" s="1"/>
  <c r="M11" i="1" s="1"/>
  <c r="M12" i="1" s="1"/>
  <c r="M13" i="1" s="1"/>
  <c r="K26" i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J5" i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C24" i="2" s="1"/>
  <c r="F25" i="2"/>
  <c r="K24" i="2"/>
  <c r="L24" i="2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E25" i="2"/>
  <c r="C52" i="2"/>
  <c r="N25" i="2"/>
  <c r="M25" i="2"/>
  <c r="M26" i="2" s="1"/>
  <c r="L25" i="2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C25" i="2" s="1"/>
  <c r="K25" i="2"/>
  <c r="F11" i="4"/>
  <c r="B90" i="2" a="1"/>
  <c r="B90" i="2" s="1"/>
  <c r="I26" i="2"/>
  <c r="M14" i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N24" i="2"/>
  <c r="H24" i="2"/>
  <c r="H26" i="2" s="1"/>
  <c r="G24" i="2"/>
  <c r="G26" i="2" s="1"/>
  <c r="F24" i="2"/>
  <c r="D25" i="2" l="1"/>
  <c r="O25" i="2" s="1" a="1"/>
  <c r="O25" i="2" s="1"/>
  <c r="D24" i="2"/>
  <c r="O24" i="2" s="1" a="1"/>
  <c r="O24" i="2" s="1"/>
  <c r="K42" i="1"/>
  <c r="K43" i="1" s="1"/>
  <c r="J42" i="1"/>
  <c r="J43" i="1" s="1"/>
  <c r="E26" i="2"/>
  <c r="F26" i="2"/>
  <c r="K26" i="2"/>
  <c r="L26" i="2"/>
  <c r="C26" i="2"/>
  <c r="N26" i="2"/>
  <c r="E64" i="2"/>
  <c r="E65" i="2"/>
  <c r="E66" i="2"/>
  <c r="E67" i="2"/>
  <c r="E68" i="2"/>
  <c r="E70" i="2"/>
  <c r="E71" i="2"/>
  <c r="E69" i="2"/>
  <c r="E72" i="2"/>
  <c r="D26" i="2" l="1"/>
  <c r="C56" i="2"/>
  <c r="C58" i="2" s="1"/>
  <c r="B76" i="2" a="1"/>
  <c r="B76" i="2" s="1"/>
  <c r="C90" i="2" a="1"/>
  <c r="C90" i="2" s="1"/>
  <c r="O26" i="2"/>
  <c r="C5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<sst xmlns="http://schemas.openxmlformats.org/spreadsheetml/2006/main" count="176" uniqueCount="111">
  <si>
    <t xml:space="preserve">Data </t>
  </si>
  <si>
    <t>Ibovespa Fechamen</t>
  </si>
  <si>
    <t>Líquido</t>
  </si>
  <si>
    <t>Patrimônio</t>
  </si>
  <si>
    <t>Valor da</t>
  </si>
  <si>
    <t>Cota</t>
  </si>
  <si>
    <t>Fundo</t>
  </si>
  <si>
    <t>Ibovespa Fechamento</t>
  </si>
  <si>
    <t>No Dia</t>
  </si>
  <si>
    <t>CLUBE DE INVESTIMENTO KAIROS</t>
  </si>
  <si>
    <t>Mês de referência:</t>
  </si>
  <si>
    <t>Data de início</t>
  </si>
  <si>
    <t>Estatísticas do valor da cota:</t>
  </si>
  <si>
    <t>Valor da cota:</t>
  </si>
  <si>
    <t>Valor médio da cota:</t>
  </si>
  <si>
    <t>Valor máximo da cota:</t>
  </si>
  <si>
    <t>Valor mínimo da cota:</t>
  </si>
  <si>
    <t>R$</t>
  </si>
  <si>
    <t>Var. (%) p/ Valor atual</t>
  </si>
  <si>
    <t>-</t>
  </si>
  <si>
    <t>Acum</t>
  </si>
  <si>
    <t>Mês</t>
  </si>
  <si>
    <t>012025</t>
  </si>
  <si>
    <t>022025</t>
  </si>
  <si>
    <t>032025</t>
  </si>
  <si>
    <t>042025</t>
  </si>
  <si>
    <t>052025</t>
  </si>
  <si>
    <t>062025</t>
  </si>
  <si>
    <t>072025</t>
  </si>
  <si>
    <t>082025</t>
  </si>
  <si>
    <t>092025</t>
  </si>
  <si>
    <t>102025</t>
  </si>
  <si>
    <t>112025</t>
  </si>
  <si>
    <t>122025</t>
  </si>
  <si>
    <t>% IBOV</t>
  </si>
  <si>
    <t>Kairos</t>
  </si>
  <si>
    <t>IBOV</t>
  </si>
  <si>
    <t>Estatísticas do Portifólio:</t>
  </si>
  <si>
    <t>Rentabilidade mensal - Kairos x IBOV:</t>
  </si>
  <si>
    <t>Rentabilidade acumulada - Kairos x IBOV:</t>
  </si>
  <si>
    <t>Beta:</t>
  </si>
  <si>
    <t>Total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</si>
  <si>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</si>
  <si>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</si>
  <si>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</si>
  <si>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</si>
  <si>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</si>
  <si>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</si>
  <si>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</si>
  <si>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</si>
  <si>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</si>
  <si>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</si>
  <si>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</si>
  <si>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</si>
  <si>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Rent soma por mês</t>
  </si>
  <si>
    <t>2025 - Kairos</t>
  </si>
  <si>
    <t>2025 - IBOV</t>
  </si>
  <si>
    <t>Desvio Padrão Kairos:</t>
  </si>
  <si>
    <t>Desvio Padrão IBOV:</t>
  </si>
  <si>
    <t>Selic Hoje:</t>
  </si>
  <si>
    <t>Selic Equivalente:</t>
  </si>
  <si>
    <t>Índice de Sharpe Kairos:</t>
  </si>
  <si>
    <t>Índice de Sharpe IBOV:</t>
  </si>
  <si>
    <t>Composição da Carteira Hoje:</t>
  </si>
  <si>
    <t>BBAS3</t>
  </si>
  <si>
    <t>BBSE3</t>
  </si>
  <si>
    <t>BPAC11</t>
  </si>
  <si>
    <t>EGIE3</t>
  </si>
  <si>
    <t>ELET6</t>
  </si>
  <si>
    <t>IVVB11</t>
  </si>
  <si>
    <t>PRIO3</t>
  </si>
  <si>
    <t>USTK11</t>
  </si>
  <si>
    <t>Ticker</t>
  </si>
  <si>
    <t>Setor</t>
  </si>
  <si>
    <t>Subsetor</t>
  </si>
  <si>
    <t>VALE3</t>
  </si>
  <si>
    <t>Intermediários Financeiros</t>
  </si>
  <si>
    <t>Bancos</t>
  </si>
  <si>
    <t>Previdência e Seguros</t>
  </si>
  <si>
    <t>Seguradoras</t>
  </si>
  <si>
    <t>Energia Elétrica</t>
  </si>
  <si>
    <t>Petróleo, Gás e Biocombustíveis</t>
  </si>
  <si>
    <t>Exploração, Refino e Distribuição</t>
  </si>
  <si>
    <t>Mineração</t>
  </si>
  <si>
    <t>Minerais Metálicos</t>
  </si>
  <si>
    <t>Fundos de índice</t>
  </si>
  <si>
    <t>Ações de mercado externo</t>
  </si>
  <si>
    <t>Ações de mercado externo | Tecnologia</t>
  </si>
  <si>
    <t>Empresa</t>
  </si>
  <si>
    <t>BB Seguridade</t>
  </si>
  <si>
    <t>Engie Brasil</t>
  </si>
  <si>
    <t>iShares S&amp;P 500 FIC de Fundo de Indice IE</t>
  </si>
  <si>
    <t>Vale S.A.</t>
  </si>
  <si>
    <t>Petro Rio S.A.</t>
  </si>
  <si>
    <t>Investo ETF MSCI US Technology</t>
  </si>
  <si>
    <t>Banco do Brasil S.A.</t>
  </si>
  <si>
    <t>Banco BTG Pactual S.A.</t>
  </si>
  <si>
    <t>Centrais Eletricas Brasileiras S.A.</t>
  </si>
  <si>
    <t>% Carteira</t>
  </si>
  <si>
    <t>Vlr - Hoje</t>
  </si>
  <si>
    <t>Diversificação por:</t>
  </si>
  <si>
    <t>Período de análise:</t>
  </si>
  <si>
    <t>PL Atual</t>
  </si>
  <si>
    <t>Data atual</t>
  </si>
  <si>
    <t>Ano</t>
  </si>
  <si>
    <t>Data</t>
  </si>
  <si>
    <t>Ações</t>
  </si>
  <si>
    <t>Títulos públicos</t>
  </si>
  <si>
    <t>Caixa</t>
  </si>
  <si>
    <t>PL</t>
  </si>
  <si>
    <t>% Alocação da Carteira: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</si>
</sst>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#,##0.000000"/>
    <numFmt numFmtId="167" formatCode="#,##0.00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rgb="FF000000"/>
      <name val="Times New Roman"/>
      <family val="1"/>
    </font>
    <font>
      <sz val="7"/>
      <color rgb="FF000000"/>
      <name val="Times New Roman"/>
      <family val="1"/>
    </font>
    <font>
      <b/>
      <sz val="12"/>
      <color theme="1"/>
      <name val="Open sans"/>
    </font>
    <font>
      <sz val="12"/>
      <color theme="1"/>
      <name val="Open sans"/>
    </font>
    <font>
      <b/>
      <sz val="14"/>
      <color theme="1"/>
      <name val="Open sans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4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14" fontId="3" fillId="0" borderId="5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164" fontId="3" fillId="0" borderId="4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vertical="center"/>
    </xf>
    <xf numFmtId="43" fontId="2" fillId="2" borderId="3" xfId="1" applyFont="1" applyFill="1" applyBorder="1" applyAlignment="1">
      <alignment vertical="center"/>
    </xf>
    <xf numFmtId="43" fontId="2" fillId="2" borderId="4" xfId="1" applyFont="1" applyFill="1" applyBorder="1" applyAlignment="1">
      <alignment horizontal="center" vertical="center"/>
    </xf>
    <xf numFmtId="43" fontId="3" fillId="0" borderId="4" xfId="1" applyFont="1" applyBorder="1" applyAlignment="1">
      <alignment horizontal="left" vertical="center"/>
    </xf>
    <xf numFmtId="43" fontId="3" fillId="0" borderId="6" xfId="1" applyFont="1" applyBorder="1" applyAlignment="1">
      <alignment horizontal="left" vertical="center"/>
    </xf>
    <xf numFmtId="43" fontId="0" fillId="0" borderId="0" xfId="1" applyFont="1"/>
    <xf numFmtId="10" fontId="2" fillId="2" borderId="7" xfId="0" applyNumberFormat="1" applyFont="1" applyFill="1" applyBorder="1" applyAlignment="1">
      <alignment vertical="center"/>
    </xf>
    <xf numFmtId="10" fontId="2" fillId="2" borderId="4" xfId="0" applyNumberFormat="1" applyFont="1" applyFill="1" applyBorder="1" applyAlignment="1">
      <alignment horizontal="center" vertical="center"/>
    </xf>
    <xf numFmtId="10" fontId="0" fillId="0" borderId="0" xfId="0" applyNumberFormat="1"/>
    <xf numFmtId="10" fontId="3" fillId="3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14" fontId="5" fillId="0" borderId="0" xfId="0" applyNumberFormat="1" applyFont="1" applyAlignment="1">
      <alignment horizontal="right"/>
    </xf>
    <xf numFmtId="10" fontId="5" fillId="0" borderId="0" xfId="0" applyNumberFormat="1" applyFont="1"/>
    <xf numFmtId="4" fontId="5" fillId="0" borderId="0" xfId="0" applyNumberFormat="1" applyFont="1"/>
    <xf numFmtId="165" fontId="5" fillId="0" borderId="0" xfId="0" applyNumberFormat="1" applyFont="1"/>
    <xf numFmtId="0" fontId="5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9" xfId="0" applyFont="1" applyBorder="1"/>
    <xf numFmtId="0" fontId="4" fillId="0" borderId="9" xfId="0" applyFont="1" applyBorder="1" applyAlignment="1">
      <alignment horizontal="center" wrapText="1"/>
    </xf>
    <xf numFmtId="10" fontId="5" fillId="0" borderId="0" xfId="0" applyNumberFormat="1" applyFont="1" applyAlignment="1">
      <alignment horizontal="center"/>
    </xf>
    <xf numFmtId="14" fontId="3" fillId="3" borderId="4" xfId="0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left"/>
    </xf>
    <xf numFmtId="10" fontId="3" fillId="3" borderId="8" xfId="0" applyNumberFormat="1" applyFont="1" applyFill="1" applyBorder="1" applyAlignment="1">
      <alignment horizontal="right" vertical="center"/>
    </xf>
    <xf numFmtId="4" fontId="2" fillId="2" borderId="7" xfId="0" applyNumberFormat="1" applyFont="1" applyFill="1" applyBorder="1" applyAlignment="1">
      <alignment vertical="center"/>
    </xf>
    <xf numFmtId="4" fontId="2" fillId="2" borderId="4" xfId="0" applyNumberFormat="1" applyFont="1" applyFill="1" applyBorder="1" applyAlignment="1">
      <alignment horizontal="center" vertical="center"/>
    </xf>
    <xf numFmtId="4" fontId="3" fillId="3" borderId="8" xfId="0" applyNumberFormat="1" applyFont="1" applyFill="1" applyBorder="1" applyAlignment="1">
      <alignment horizontal="right" vertical="center"/>
    </xf>
    <xf numFmtId="10" fontId="4" fillId="0" borderId="0" xfId="0" applyNumberFormat="1" applyFont="1"/>
    <xf numFmtId="10" fontId="5" fillId="0" borderId="9" xfId="0" applyNumberFormat="1" applyFont="1" applyBorder="1"/>
    <xf numFmtId="0" fontId="4" fillId="0" borderId="9" xfId="0" applyFont="1" applyBorder="1"/>
    <xf numFmtId="14" fontId="3" fillId="3" borderId="8" xfId="0" applyNumberFormat="1" applyFont="1" applyFill="1" applyBorder="1" applyAlignment="1">
      <alignment horizontal="right" vertical="center"/>
    </xf>
    <xf numFmtId="43" fontId="5" fillId="0" borderId="0" xfId="1" applyFont="1"/>
    <xf numFmtId="14" fontId="5" fillId="0" borderId="0" xfId="0" applyNumberFormat="1" applyFont="1" applyAlignment="1">
      <alignment horizontal="center"/>
    </xf>
    <xf numFmtId="43" fontId="5" fillId="0" borderId="0" xfId="1" applyFont="1" applyAlignment="1">
      <alignment horizontal="center"/>
    </xf>
    <xf numFmtId="10" fontId="4" fillId="0" borderId="9" xfId="0" applyNumberFormat="1" applyFont="1" applyBorder="1"/>
    <xf numFmtId="10" fontId="7" fillId="0" borderId="0" xfId="0" applyNumberFormat="1" applyFont="1"/>
    <xf numFmtId="10" fontId="2" fillId="0" borderId="4" xfId="0" applyNumberFormat="1" applyFont="1" applyBorder="1" applyAlignment="1">
      <alignment horizontal="center" vertical="center"/>
    </xf>
    <xf numFmtId="10" fontId="3" fillId="0" borderId="4" xfId="0" applyNumberFormat="1" applyFont="1" applyBorder="1" applyAlignment="1">
      <alignment horizontal="right" vertical="center"/>
    </xf>
    <xf numFmtId="10" fontId="3" fillId="0" borderId="4" xfId="0" applyNumberFormat="1" applyFont="1" applyBorder="1" applyAlignment="1">
      <alignment vertical="center"/>
    </xf>
    <xf numFmtId="0" fontId="4" fillId="4" borderId="0" xfId="0" applyFont="1" applyFill="1"/>
    <xf numFmtId="43" fontId="5" fillId="4" borderId="0" xfId="1" applyFont="1" applyFill="1"/>
    <xf numFmtId="17" fontId="0" fillId="0" borderId="0" xfId="0" applyNumberFormat="1"/>
    <xf numFmtId="17" fontId="0" fillId="5" borderId="0" xfId="0" applyNumberFormat="1" applyFill="1"/>
    <xf numFmtId="10" fontId="0" fillId="5" borderId="0" xfId="0" applyNumberFormat="1" applyFill="1"/>
    <xf numFmtId="0" fontId="7" fillId="0" borderId="0" xfId="0" applyFont="1"/>
    <xf numFmtId="43" fontId="7" fillId="0" borderId="0" xfId="1" applyFont="1"/>
    <xf numFmtId="43" fontId="7" fillId="5" borderId="0" xfId="1" applyFont="1" applyFill="1"/>
    <xf numFmtId="10" fontId="7" fillId="5" borderId="0" xfId="1" applyNumberFormat="1" applyFont="1" applyFill="1"/>
    <xf numFmtId="167" fontId="5" fillId="0" borderId="0" xfId="0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Kairos x IBOV - Rentabilidade Acumulada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38"/>
              <c:layout>
                <c:manualLayout>
                  <c:x val="-1.8648018648018648E-3"/>
                  <c:y val="1.54320950150444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180-4C95-93A7-A4DF91091C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HistCota!$A$3:$A$43</c:f>
              <c:numCache>
                <c:formatCode>m/d/yyyy</c:formatCode>
                <c:ptCount val="41"/>
                <c:pt idx="0">
                  <c:v>45657</c:v>
                </c:pt>
                <c:pt idx="1">
                  <c:v>45659</c:v>
                </c:pt>
                <c:pt idx="2">
                  <c:v>45660</c:v>
                </c:pt>
                <c:pt idx="3">
                  <c:v>45663</c:v>
                </c:pt>
                <c:pt idx="4">
                  <c:v>45664</c:v>
                </c:pt>
                <c:pt idx="5">
                  <c:v>45665</c:v>
                </c:pt>
                <c:pt idx="6">
                  <c:v>45666</c:v>
                </c:pt>
                <c:pt idx="7">
                  <c:v>45667</c:v>
                </c:pt>
                <c:pt idx="8">
                  <c:v>45670</c:v>
                </c:pt>
                <c:pt idx="9">
                  <c:v>45671</c:v>
                </c:pt>
                <c:pt idx="10">
                  <c:v>45672</c:v>
                </c:pt>
                <c:pt idx="11">
                  <c:v>45673</c:v>
                </c:pt>
                <c:pt idx="12">
                  <c:v>45674</c:v>
                </c:pt>
                <c:pt idx="13">
                  <c:v>45677</c:v>
                </c:pt>
                <c:pt idx="14">
                  <c:v>45678</c:v>
                </c:pt>
                <c:pt idx="15">
                  <c:v>45679</c:v>
                </c:pt>
                <c:pt idx="16">
                  <c:v>45680</c:v>
                </c:pt>
                <c:pt idx="17">
                  <c:v>45681</c:v>
                </c:pt>
                <c:pt idx="18">
                  <c:v>45684</c:v>
                </c:pt>
                <c:pt idx="19">
                  <c:v>45685</c:v>
                </c:pt>
                <c:pt idx="20">
                  <c:v>45686</c:v>
                </c:pt>
                <c:pt idx="21">
                  <c:v>45687</c:v>
                </c:pt>
                <c:pt idx="22">
                  <c:v>45688</c:v>
                </c:pt>
                <c:pt idx="23">
                  <c:v>45691</c:v>
                </c:pt>
                <c:pt idx="24">
                  <c:v>45692</c:v>
                </c:pt>
                <c:pt idx="25">
                  <c:v>45693</c:v>
                </c:pt>
                <c:pt idx="26">
                  <c:v>45694</c:v>
                </c:pt>
                <c:pt idx="27">
                  <c:v>45695</c:v>
                </c:pt>
                <c:pt idx="28">
                  <c:v>45698</c:v>
                </c:pt>
                <c:pt idx="29">
                  <c:v>45699</c:v>
                </c:pt>
                <c:pt idx="30">
                  <c:v>45700</c:v>
                </c:pt>
                <c:pt idx="31">
                  <c:v>45701</c:v>
                </c:pt>
                <c:pt idx="32">
                  <c:v>45702</c:v>
                </c:pt>
                <c:pt idx="33">
                  <c:v>45705</c:v>
                </c:pt>
                <c:pt idx="34">
                  <c:v>45706</c:v>
                </c:pt>
                <c:pt idx="35">
                  <c:v>45707</c:v>
                </c:pt>
                <c:pt idx="36">
                  <c:v>45708</c:v>
                </c:pt>
                <c:pt idx="37">
                  <c:v>45709</c:v>
                </c:pt>
                <c:pt idx="38">
                  <c:v>45712</c:v>
                </c:pt>
                <c:pt idx="39">
                  <c:v>45713</c:v>
                </c:pt>
                <c:pt idx="40">
                  <c:v>45714</c:v>
                </c:pt>
              </c:numCache>
            </c:numRef>
          </c:cat>
          <c:val>
            <c:numRef>
              <c:f>HistCota!$L$3:$L$43</c:f>
              <c:numCache>
                <c:formatCode>#,##0.00</c:formatCode>
                <c:ptCount val="41"/>
                <c:pt idx="0">
                  <c:v>100</c:v>
                </c:pt>
                <c:pt idx="1">
                  <c:v>99.725999999999999</c:v>
                </c:pt>
                <c:pt idx="2">
                  <c:v>99.464318976000001</c:v>
                </c:pt>
                <c:pt idx="3">
                  <c:v>99.97626182576947</c:v>
                </c:pt>
                <c:pt idx="4">
                  <c:v>100.05774247915747</c:v>
                </c:pt>
                <c:pt idx="5">
                  <c:v>99.754467461703143</c:v>
                </c:pt>
                <c:pt idx="6">
                  <c:v>100.11867102240583</c:v>
                </c:pt>
                <c:pt idx="7">
                  <c:v>99.517858877600375</c:v>
                </c:pt>
                <c:pt idx="8">
                  <c:v>99.414857893662059</c:v>
                </c:pt>
                <c:pt idx="9">
                  <c:v>99.698289653516881</c:v>
                </c:pt>
                <c:pt idx="10">
                  <c:v>101.80531330705431</c:v>
                </c:pt>
                <c:pt idx="11">
                  <c:v>101.38170139838365</c:v>
                </c:pt>
                <c:pt idx="12">
                  <c:v>102.38720511285284</c:v>
                </c:pt>
                <c:pt idx="13">
                  <c:v>102.13492303945476</c:v>
                </c:pt>
                <c:pt idx="14">
                  <c:v>102.39740979166616</c:v>
                </c:pt>
                <c:pt idx="15">
                  <c:v>102.38553169213033</c:v>
                </c:pt>
                <c:pt idx="16">
                  <c:v>102.31795724121352</c:v>
                </c:pt>
                <c:pt idx="17">
                  <c:v>102.24459526587157</c:v>
                </c:pt>
                <c:pt idx="18">
                  <c:v>103.34086181631223</c:v>
                </c:pt>
                <c:pt idx="19">
                  <c:v>103.12932307217423</c:v>
                </c:pt>
                <c:pt idx="20">
                  <c:v>102.55128321635469</c:v>
                </c:pt>
                <c:pt idx="21">
                  <c:v>104.0223813740933</c:v>
                </c:pt>
                <c:pt idx="22">
                  <c:v>103.51391997393674</c:v>
                </c:pt>
                <c:pt idx="23">
                  <c:v>103.17004673178332</c:v>
                </c:pt>
                <c:pt idx="24">
                  <c:v>102.94039020775837</c:v>
                </c:pt>
                <c:pt idx="25">
                  <c:v>103.03983062469906</c:v>
                </c:pt>
                <c:pt idx="26">
                  <c:v>103.53751300661635</c:v>
                </c:pt>
                <c:pt idx="27">
                  <c:v>102.81813436624638</c:v>
                </c:pt>
                <c:pt idx="28">
                  <c:v>103.15383557495218</c:v>
                </c:pt>
                <c:pt idx="29">
                  <c:v>103.71530190198666</c:v>
                </c:pt>
                <c:pt idx="30">
                  <c:v>102.76889977213104</c:v>
                </c:pt>
                <c:pt idx="31">
                  <c:v>102.90013565714004</c:v>
                </c:pt>
                <c:pt idx="32">
                  <c:v>104.6045735041649</c:v>
                </c:pt>
                <c:pt idx="33">
                  <c:v>104.98690322032262</c:v>
                </c:pt>
                <c:pt idx="34">
                  <c:v>105.2523101116636</c:v>
                </c:pt>
                <c:pt idx="35">
                  <c:v>104.70605062218407</c:v>
                </c:pt>
                <c:pt idx="36">
                  <c:v>104.82960376191824</c:v>
                </c:pt>
                <c:pt idx="37">
                  <c:v>104.26268526477378</c:v>
                </c:pt>
                <c:pt idx="38">
                  <c:v>103.48665809834807</c:v>
                </c:pt>
                <c:pt idx="39">
                  <c:v>103.41514881760212</c:v>
                </c:pt>
                <c:pt idx="40">
                  <c:v>103.48578136424453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80-4C95-93A7-A4DF91091CB0}"/>
            </c:ext>
          </c:extLst>
        </c:ser>
        <c:ser>
          <c:idx val="1"/>
          <c:order val="1"/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38"/>
              <c:layout>
                <c:manualLayout>
                  <c:x val="-3.7296037296038662E-3"/>
                  <c:y val="-4.0123447039115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180-4C95-93A7-A4DF91091C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HistCota!$A$3:$A$43</c:f>
              <c:numCache>
                <c:formatCode>m/d/yyyy</c:formatCode>
                <c:ptCount val="41"/>
                <c:pt idx="0">
                  <c:v>45657</c:v>
                </c:pt>
                <c:pt idx="1">
                  <c:v>45659</c:v>
                </c:pt>
                <c:pt idx="2">
                  <c:v>45660</c:v>
                </c:pt>
                <c:pt idx="3">
                  <c:v>45663</c:v>
                </c:pt>
                <c:pt idx="4">
                  <c:v>45664</c:v>
                </c:pt>
                <c:pt idx="5">
                  <c:v>45665</c:v>
                </c:pt>
                <c:pt idx="6">
                  <c:v>45666</c:v>
                </c:pt>
                <c:pt idx="7">
                  <c:v>45667</c:v>
                </c:pt>
                <c:pt idx="8">
                  <c:v>45670</c:v>
                </c:pt>
                <c:pt idx="9">
                  <c:v>45671</c:v>
                </c:pt>
                <c:pt idx="10">
                  <c:v>45672</c:v>
                </c:pt>
                <c:pt idx="11">
                  <c:v>45673</c:v>
                </c:pt>
                <c:pt idx="12">
                  <c:v>45674</c:v>
                </c:pt>
                <c:pt idx="13">
                  <c:v>45677</c:v>
                </c:pt>
                <c:pt idx="14">
                  <c:v>45678</c:v>
                </c:pt>
                <c:pt idx="15">
                  <c:v>45679</c:v>
                </c:pt>
                <c:pt idx="16">
                  <c:v>45680</c:v>
                </c:pt>
                <c:pt idx="17">
                  <c:v>45681</c:v>
                </c:pt>
                <c:pt idx="18">
                  <c:v>45684</c:v>
                </c:pt>
                <c:pt idx="19">
                  <c:v>45685</c:v>
                </c:pt>
                <c:pt idx="20">
                  <c:v>45686</c:v>
                </c:pt>
                <c:pt idx="21">
                  <c:v>45687</c:v>
                </c:pt>
                <c:pt idx="22">
                  <c:v>45688</c:v>
                </c:pt>
                <c:pt idx="23">
                  <c:v>45691</c:v>
                </c:pt>
                <c:pt idx="24">
                  <c:v>45692</c:v>
                </c:pt>
                <c:pt idx="25">
                  <c:v>45693</c:v>
                </c:pt>
                <c:pt idx="26">
                  <c:v>45694</c:v>
                </c:pt>
                <c:pt idx="27">
                  <c:v>45695</c:v>
                </c:pt>
                <c:pt idx="28">
                  <c:v>45698</c:v>
                </c:pt>
                <c:pt idx="29">
                  <c:v>45699</c:v>
                </c:pt>
                <c:pt idx="30">
                  <c:v>45700</c:v>
                </c:pt>
                <c:pt idx="31">
                  <c:v>45701</c:v>
                </c:pt>
                <c:pt idx="32">
                  <c:v>45702</c:v>
                </c:pt>
                <c:pt idx="33">
                  <c:v>45705</c:v>
                </c:pt>
                <c:pt idx="34">
                  <c:v>45706</c:v>
                </c:pt>
                <c:pt idx="35">
                  <c:v>45707</c:v>
                </c:pt>
                <c:pt idx="36">
                  <c:v>45708</c:v>
                </c:pt>
                <c:pt idx="37">
                  <c:v>45709</c:v>
                </c:pt>
                <c:pt idx="38">
                  <c:v>45712</c:v>
                </c:pt>
                <c:pt idx="39">
                  <c:v>45713</c:v>
                </c:pt>
                <c:pt idx="40">
                  <c:v>45714</c:v>
                </c:pt>
              </c:numCache>
            </c:numRef>
          </c:cat>
          <c:val>
            <c:numRef>
              <c:f>HistCota!$M$3:$M$43</c:f>
              <c:numCache>
                <c:formatCode>#,##0.00</c:formatCode>
                <c:ptCount val="41"/>
                <c:pt idx="0">
                  <c:v>100</c:v>
                </c:pt>
                <c:pt idx="1">
                  <c:v>99.868643116649906</c:v>
                </c:pt>
                <c:pt idx="2">
                  <c:v>98.545097810995742</c:v>
                </c:pt>
                <c:pt idx="3">
                  <c:v>99.78301173066852</c:v>
                </c:pt>
                <c:pt idx="4">
                  <c:v>100.7316079578993</c:v>
                </c:pt>
                <c:pt idx="5">
                  <c:v>99.452956776934414</c:v>
                </c:pt>
                <c:pt idx="6">
                  <c:v>99.582650914925651</c:v>
                </c:pt>
                <c:pt idx="7">
                  <c:v>98.813631186451971</c:v>
                </c:pt>
                <c:pt idx="8">
                  <c:v>98.939168461046066</c:v>
                </c:pt>
                <c:pt idx="9">
                  <c:v>99.181929283439928</c:v>
                </c:pt>
                <c:pt idx="10">
                  <c:v>101.96785913221323</c:v>
                </c:pt>
                <c:pt idx="11">
                  <c:v>100.79063541813893</c:v>
                </c:pt>
                <c:pt idx="12">
                  <c:v>101.71844732838393</c:v>
                </c:pt>
                <c:pt idx="13">
                  <c:v>102.13829053149658</c:v>
                </c:pt>
                <c:pt idx="14">
                  <c:v>102.53984353566175</c:v>
                </c:pt>
                <c:pt idx="15">
                  <c:v>102.23556113498999</c:v>
                </c:pt>
                <c:pt idx="16">
                  <c:v>101.82901989474823</c:v>
                </c:pt>
                <c:pt idx="17">
                  <c:v>101.79909047828872</c:v>
                </c:pt>
                <c:pt idx="18">
                  <c:v>103.80685549911459</c:v>
                </c:pt>
                <c:pt idx="19">
                  <c:v>103.1367691194932</c:v>
                </c:pt>
                <c:pt idx="20">
                  <c:v>102.61799256752825</c:v>
                </c:pt>
                <c:pt idx="21">
                  <c:v>105.51116949194815</c:v>
                </c:pt>
                <c:pt idx="22">
                  <c:v>104.86519292003025</c:v>
                </c:pt>
                <c:pt idx="23">
                  <c:v>104.72801642792415</c:v>
                </c:pt>
                <c:pt idx="24">
                  <c:v>104.04379671275242</c:v>
                </c:pt>
                <c:pt idx="25">
                  <c:v>104.36553793969222</c:v>
                </c:pt>
                <c:pt idx="26">
                  <c:v>104.94001646117906</c:v>
                </c:pt>
                <c:pt idx="27">
                  <c:v>103.60483193801286</c:v>
                </c:pt>
                <c:pt idx="28">
                  <c:v>104.39713010151061</c:v>
                </c:pt>
                <c:pt idx="29">
                  <c:v>105.18693414697007</c:v>
                </c:pt>
                <c:pt idx="30">
                  <c:v>103.40613386762885</c:v>
                </c:pt>
                <c:pt idx="31">
                  <c:v>103.79687902696143</c:v>
                </c:pt>
                <c:pt idx="32">
                  <c:v>106.5977735839645</c:v>
                </c:pt>
                <c:pt idx="33">
                  <c:v>106.87462068621502</c:v>
                </c:pt>
                <c:pt idx="34">
                  <c:v>106.8579932326264</c:v>
                </c:pt>
                <c:pt idx="35">
                  <c:v>105.84122444568227</c:v>
                </c:pt>
                <c:pt idx="36">
                  <c:v>106.08398526807612</c:v>
                </c:pt>
                <c:pt idx="37">
                  <c:v>105.69074599070525</c:v>
                </c:pt>
                <c:pt idx="38">
                  <c:v>104.25496537332789</c:v>
                </c:pt>
                <c:pt idx="39">
                  <c:v>104.73633015471844</c:v>
                </c:pt>
                <c:pt idx="40">
                  <c:v>103.72953783992749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80-4C95-93A7-A4DF91091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2503888"/>
        <c:axId val="1802501968"/>
      </c:lineChart>
      <c:dateAx>
        <c:axId val="1802503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501968"/>
        <c:crosses val="autoZero"/>
        <c:auto val="1"/>
        <c:lblOffset val="100"/>
        <c:baseTimeUnit val="days"/>
      </c:dateAx>
      <c:valAx>
        <c:axId val="180250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50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Setor - (%) Carteira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Relatório!$C$89</c:f>
              <c:strCache>
                <c:ptCount val="1"/>
                <c:pt idx="0">
                  <c:v>% Carteira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2EC-42F6-A82C-374D889362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2EC-42F6-A82C-374D889362E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2EC-42F6-A82C-374D889362E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2EC-42F6-A82C-374D889362E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62EC-42F6-A82C-374D889362E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62EC-42F6-A82C-374D889362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Relatório!$B$90:$B$95</c:f>
              <c:strCache>
                <c:ptCount val="6"/>
                <c:pt idx="0">
                  <c:v>Intermediários Financeiros</c:v>
                </c:pt>
                <c:pt idx="1">
                  <c:v>Previdência e Seguros</c:v>
                </c:pt>
                <c:pt idx="2">
                  <c:v>Energia Elétrica</c:v>
                </c:pt>
                <c:pt idx="3">
                  <c:v>Fundos de índice</c:v>
                </c:pt>
                <c:pt idx="4">
                  <c:v>Petróleo, Gás e Biocombustíveis</c:v>
                </c:pt>
                <c:pt idx="5">
                  <c:v>Mineração</c:v>
                </c:pt>
              </c:strCache>
            </c:strRef>
          </c:cat>
          <c:val>
            <c:numRef>
              <c:f>Relatório!$C$90:$C$95</c:f>
              <c:numCache>
                <c:formatCode>0.00%</c:formatCode>
                <c:ptCount val="6"/>
                <c:pt idx="0">
                  <c:v>0.21692219589181352</c:v>
                </c:pt>
                <c:pt idx="1">
                  <c:v>5.1468754760201532E-2</c:v>
                </c:pt>
                <c:pt idx="2">
                  <c:v>0.19050323645499717</c:v>
                </c:pt>
                <c:pt idx="3">
                  <c:v>0.16398424288934349</c:v>
                </c:pt>
                <c:pt idx="4">
                  <c:v>9.1218939383714184E-2</c:v>
                </c:pt>
                <c:pt idx="5">
                  <c:v>0.11334360412091249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15-4ADB-BCA3-ED85B88FDDA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/>
              <a:t>% Alocação da Carteira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Relatório!$H$102</c:f>
              <c:strCache>
                <c:ptCount val="1"/>
                <c:pt idx="0">
                  <c:v>% Ações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Relatório!$G$103:$G$104</c:f>
              <c:numCache>
                <c:formatCode>mmm\-yy</c:formatCode>
                <c:ptCount val="2"/>
                <c:pt idx="0">
                  <c:v>45658</c:v>
                </c:pt>
              </c:numCache>
            </c:numRef>
          </c:cat>
          <c:val>
            <c:numRef>
              <c:f>Relatório!$H$103:$H$104</c:f>
              <c:numCache>
                <c:formatCode>0.00%</c:formatCode>
                <c:ptCount val="2"/>
                <c:pt idx="0">
                  <c:v>0.82659956571720528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E8-4328-8927-8FCD631A123B}"/>
            </c:ext>
          </c:extLst>
        </c:ser>
        <c:ser>
          <c:idx val="1"/>
          <c:order val="1"/>
          <c:tx>
            <c:strRef>
              <c:f>Relatório!$I$102</c:f>
              <c:strCache>
                <c:ptCount val="1"/>
                <c:pt idx="0">
                  <c:v>% Títulos públicos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Relatório!$G$103:$G$104</c:f>
              <c:numCache>
                <c:formatCode>mmm\-yy</c:formatCode>
                <c:ptCount val="2"/>
                <c:pt idx="0">
                  <c:v>45658</c:v>
                </c:pt>
              </c:numCache>
            </c:numRef>
          </c:cat>
          <c:val>
            <c:numRef>
              <c:f>Relatório!$I$103:$I$104</c:f>
              <c:numCache>
                <c:formatCode>0.00%</c:formatCode>
                <c:ptCount val="2"/>
                <c:pt idx="0">
                  <c:v>0.13608370587984842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E8-4328-8927-8FCD631A123B}"/>
            </c:ext>
          </c:extLst>
        </c:ser>
        <c:ser>
          <c:idx val="2"/>
          <c:order val="2"/>
          <c:tx>
            <c:strRef>
              <c:f>Relatório!$J$102</c:f>
              <c:strCache>
                <c:ptCount val="1"/>
                <c:pt idx="0">
                  <c:v>% Caixa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Relatório!$G$103:$G$104</c:f>
              <c:numCache>
                <c:formatCode>mmm\-yy</c:formatCode>
                <c:ptCount val="2"/>
                <c:pt idx="0">
                  <c:v>45658</c:v>
                </c:pt>
              </c:numCache>
            </c:numRef>
          </c:cat>
          <c:val>
            <c:numRef>
              <c:f>Relatório!$J$103:$J$104</c:f>
              <c:numCache>
                <c:formatCode>0.00%</c:formatCode>
                <c:ptCount val="2"/>
                <c:pt idx="0">
                  <c:v>2.3707753225188401E-2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E8-4328-8927-8FCD631A1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724080"/>
        <c:axId val="1553717360"/>
      </c:areaChart>
      <c:dateAx>
        <c:axId val="155372408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53717360"/>
        <c:crosses val="autoZero"/>
        <c:auto val="1"/>
        <c:lblOffset val="100"/>
        <c:baseTimeUnit val="days"/>
      </c:dateAx>
      <c:valAx>
        <c:axId val="155371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53724080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28</xdr:row>
      <xdr:rowOff>228599</xdr:rowOff>
    </xdr:from>
    <xdr:to>
      <xdr:col>7</xdr:col>
      <xdr:colOff>380999</xdr:colOff>
      <xdr:row>47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C91A8D8-91D0-4A69-9EFC-EFB6C18F1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742950</xdr:colOff>
      <xdr:row>85</xdr:row>
      <xdr:rowOff>23811</xdr:rowOff>
    </xdr:from>
    <xdr:to>
      <xdr:col>10</xdr:col>
      <xdr:colOff>95250</xdr:colOff>
      <xdr:row>97</xdr:row>
      <xdr:rowOff>66674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EAD125B-BD0F-1B15-9202-D4E39D6A9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447675</xdr:colOff>
      <xdr:row>101</xdr:row>
      <xdr:rowOff>61911</xdr:rowOff>
    </xdr:from>
    <xdr:to>
      <xdr:col>17</xdr:col>
      <xdr:colOff>47625</xdr:colOff>
      <xdr:row>115</xdr:row>
      <xdr:rowOff>123824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A6D4234-1D7D-6585-44C2-A570B35B4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63BF-63D6-48D9-B996-764B379D41B8}">
  <sheetPr>
    <tabColor theme="0"/>
  </sheetPr>
  <dimension ref="A1:N44"/>
  <sheetViews>
    <sheetView showGridLines="0" workbookViewId="0">
      <selection activeCell="A43" sqref="A43"/>
    </sheetView>
  </sheetViews>
  <sheetFormatPr defaultRowHeight="15" x14ac:dyDescent="0.25"/>
  <cols>
    <col min="1" max="1" width="10.42578125" bestFit="1" customWidth="1"/>
    <col min="2" max="2" width="15.5703125" bestFit="1" customWidth="1"/>
    <col min="3" max="3" width="11.5703125" style="16" bestFit="1" customWidth="1"/>
    <col min="4" max="4" width="7.28515625" bestFit="1" customWidth="1"/>
    <col min="5" max="5" width="13.28515625" style="19" bestFit="1" customWidth="1"/>
    <col min="6" max="6" width="17" style="19" bestFit="1" customWidth="1"/>
    <col min="7" max="7" width="6.28515625" style="19" bestFit="1" customWidth="1"/>
    <col min="8" max="9" width="17" style="19" bestFit="1" customWidth="1"/>
    <col min="10" max="11" width="17" style="19" customWidth="1"/>
    <col min="12" max="12" width="9.140625" style="1"/>
    <col min="13" max="13" width="11.7109375" style="1" bestFit="1" customWidth="1"/>
  </cols>
  <sheetData>
    <row r="1" spans="1:13" ht="15.75" thickBot="1" x14ac:dyDescent="0.3">
      <c r="A1" s="6" t="s">
        <v>0</v>
      </c>
      <c r="B1" s="6" t="s">
        <v>1</v>
      </c>
      <c r="C1" s="12" t="s">
        <v>3</v>
      </c>
      <c r="D1" s="6" t="s">
        <v>4</v>
      </c>
      <c r="E1" s="17" t="s">
        <v>6</v>
      </c>
      <c r="F1" s="17" t="s">
        <v>7</v>
      </c>
      <c r="G1" s="17" t="s">
        <v>6</v>
      </c>
      <c r="H1" s="17" t="s">
        <v>7</v>
      </c>
      <c r="I1" s="17"/>
      <c r="J1" s="17" t="s">
        <v>35</v>
      </c>
      <c r="K1" s="17" t="s">
        <v>36</v>
      </c>
      <c r="L1" s="36" t="s">
        <v>6</v>
      </c>
      <c r="M1" s="36" t="s">
        <v>7</v>
      </c>
    </row>
    <row r="2" spans="1:13" ht="15.75" thickBot="1" x14ac:dyDescent="0.3">
      <c r="A2" s="7"/>
      <c r="B2" s="7"/>
      <c r="C2" s="13" t="s">
        <v>2</v>
      </c>
      <c r="D2" s="2" t="s">
        <v>5</v>
      </c>
      <c r="E2" s="48" t="s">
        <v>8</v>
      </c>
      <c r="F2" s="18" t="s">
        <v>8</v>
      </c>
      <c r="G2" s="18" t="s">
        <v>20</v>
      </c>
      <c r="H2" s="18" t="s">
        <v>20</v>
      </c>
      <c r="I2" s="18" t="s">
        <v>21</v>
      </c>
      <c r="J2" s="18" t="s">
        <v>54</v>
      </c>
      <c r="K2" s="18" t="s">
        <v>54</v>
      </c>
      <c r="L2" s="37" t="s">
        <v>35</v>
      </c>
      <c r="M2" s="37" t="s">
        <v>36</v>
      </c>
    </row>
    <row r="3" spans="1:13" ht="15.75" thickBot="1" x14ac:dyDescent="0.3">
      <c r="A3" s="3">
        <v>45657</v>
      </c>
      <c r="B3" s="9">
        <v>120283</v>
      </c>
      <c r="C3" s="14">
        <v>190188.72</v>
      </c>
      <c r="D3" s="4">
        <v>1.686855</v>
      </c>
      <c r="E3" s="49">
        <v>-4.1999999999999998E-5</v>
      </c>
      <c r="F3" s="20">
        <v>0</v>
      </c>
      <c r="G3" s="20">
        <v>0</v>
      </c>
      <c r="H3" s="20">
        <v>0</v>
      </c>
      <c r="I3" s="33" t="str">
        <f>TEXT(A3,"mmaaaa")</f>
        <v>122024</v>
      </c>
      <c r="J3" s="42"/>
      <c r="K3" s="42"/>
      <c r="L3" s="38">
        <v>100</v>
      </c>
      <c r="M3" s="38">
        <v>100</v>
      </c>
    </row>
    <row r="4" spans="1:13" ht="15.75" thickBot="1" x14ac:dyDescent="0.3">
      <c r="A4" s="3">
        <v>45659</v>
      </c>
      <c r="B4" s="9">
        <v>120125</v>
      </c>
      <c r="C4" s="14">
        <v>189667.53</v>
      </c>
      <c r="D4" s="4">
        <v>1.6822330000000001</v>
      </c>
      <c r="E4" s="49">
        <v>-2.7400000000000002E-3</v>
      </c>
      <c r="F4" s="20">
        <f t="shared" ref="F4:F41" si="0">B4/B3-1</f>
        <v>-1.3135688335009776E-3</v>
      </c>
      <c r="G4" s="20">
        <f>D4/$D$3-1</f>
        <v>-2.7400102557717521E-3</v>
      </c>
      <c r="H4" s="20">
        <f>B4/$B$3-1</f>
        <v>-1.3135688335009776E-3</v>
      </c>
      <c r="I4" s="33" t="str">
        <f t="shared" ref="I4:I41" si="1">TEXT(A4,"mmaaaa")</f>
        <v>012025</v>
      </c>
      <c r="J4" s="35">
        <f>E4</f>
        <v>-2.7400000000000002E-3</v>
      </c>
      <c r="K4" s="35">
        <f>F4</f>
        <v>-1.3135688335009776E-3</v>
      </c>
      <c r="L4" s="38">
        <f>L3*(1+E4)</f>
        <v>99.725999999999999</v>
      </c>
      <c r="M4" s="38">
        <f>M3*(1+F4)</f>
        <v>99.868643116649906</v>
      </c>
    </row>
    <row r="5" spans="1:13" ht="15.75" thickBot="1" x14ac:dyDescent="0.3">
      <c r="A5" s="3">
        <v>45660</v>
      </c>
      <c r="B5" s="9">
        <v>118533</v>
      </c>
      <c r="C5" s="14">
        <v>189169.82</v>
      </c>
      <c r="D5" s="4">
        <v>1.677818</v>
      </c>
      <c r="E5" s="49">
        <v>-2.624E-3</v>
      </c>
      <c r="F5" s="20">
        <f t="shared" si="0"/>
        <v>-1.325286160249739E-2</v>
      </c>
      <c r="G5" s="20">
        <f t="shared" ref="G5:G41" si="2">D5/$D$3-1</f>
        <v>-5.3573069410233209E-3</v>
      </c>
      <c r="H5" s="20">
        <f t="shared" ref="H5:H41" si="3">B5/$B$3-1</f>
        <v>-1.4549021890042702E-2</v>
      </c>
      <c r="I5" s="33" t="str">
        <f t="shared" si="1"/>
        <v>012025</v>
      </c>
      <c r="J5" s="35">
        <f>IF(I5=I4,(1+E5)*(1+J4)-1,E5)</f>
        <v>-5.3568102399998985E-3</v>
      </c>
      <c r="K5" s="35">
        <f>IF(I5=I4,(1+F5)*(1+K4)-1,F5)</f>
        <v>-1.454902189004259E-2</v>
      </c>
      <c r="L5" s="38">
        <f t="shared" ref="L5:L41" si="4">L4*(1+E5)</f>
        <v>99.464318976000001</v>
      </c>
      <c r="M5" s="38">
        <f t="shared" ref="M5:M41" si="5">M4*(1+F5)</f>
        <v>98.545097810995742</v>
      </c>
    </row>
    <row r="6" spans="1:13" ht="15.75" thickBot="1" x14ac:dyDescent="0.3">
      <c r="A6" s="3">
        <v>45663</v>
      </c>
      <c r="B6" s="9">
        <v>120022</v>
      </c>
      <c r="C6" s="14">
        <v>190143.31</v>
      </c>
      <c r="D6" s="4">
        <v>1.686453</v>
      </c>
      <c r="E6" s="49">
        <v>5.1470000000000005E-3</v>
      </c>
      <c r="F6" s="20">
        <f t="shared" si="0"/>
        <v>1.2561902592526986E-2</v>
      </c>
      <c r="G6" s="20">
        <f t="shared" si="2"/>
        <v>-2.3831331086554552E-4</v>
      </c>
      <c r="H6" s="20">
        <f t="shared" si="3"/>
        <v>-2.1698826933149729E-3</v>
      </c>
      <c r="I6" s="33" t="str">
        <f t="shared" si="1"/>
        <v>012025</v>
      </c>
      <c r="J6" s="35">
        <f t="shared" ref="J6:J41" si="6">IF(I6=I5,(1+E6)*(1+J5)-1,E6)</f>
        <v>-2.3738174230514275E-4</v>
      </c>
      <c r="K6" s="35">
        <f t="shared" ref="K6:K41" si="7">IF(I6=I5,(1+F6)*(1+K5)-1,F6)</f>
        <v>-2.1698826933148618E-3</v>
      </c>
      <c r="L6" s="38">
        <f t="shared" si="4"/>
        <v>99.97626182576947</v>
      </c>
      <c r="M6" s="38">
        <f t="shared" si="5"/>
        <v>99.78301173066852</v>
      </c>
    </row>
    <row r="7" spans="1:13" ht="15.75" thickBot="1" x14ac:dyDescent="0.3">
      <c r="A7" s="3">
        <v>45664</v>
      </c>
      <c r="B7" s="9">
        <v>121163</v>
      </c>
      <c r="C7" s="14">
        <v>190298.22</v>
      </c>
      <c r="D7" s="4">
        <v>1.687827</v>
      </c>
      <c r="E7" s="49">
        <v>8.1500000000000008E-4</v>
      </c>
      <c r="F7" s="20">
        <f t="shared" si="0"/>
        <v>9.5065904584159533E-3</v>
      </c>
      <c r="G7" s="20">
        <f t="shared" si="2"/>
        <v>5.7622024418213513E-4</v>
      </c>
      <c r="H7" s="20">
        <f t="shared" si="3"/>
        <v>7.316079578992829E-3</v>
      </c>
      <c r="I7" s="33" t="str">
        <f t="shared" si="1"/>
        <v>012025</v>
      </c>
      <c r="J7" s="35">
        <f t="shared" si="6"/>
        <v>5.7742479157485427E-4</v>
      </c>
      <c r="K7" s="35">
        <f t="shared" si="7"/>
        <v>7.3160795789930511E-3</v>
      </c>
      <c r="L7" s="38">
        <f t="shared" si="4"/>
        <v>100.05774247915747</v>
      </c>
      <c r="M7" s="38">
        <f t="shared" si="5"/>
        <v>100.7316079578993</v>
      </c>
    </row>
    <row r="8" spans="1:13" ht="15.75" thickBot="1" x14ac:dyDescent="0.3">
      <c r="A8" s="3">
        <v>45665</v>
      </c>
      <c r="B8" s="9">
        <v>119625</v>
      </c>
      <c r="C8" s="14">
        <v>189721.42</v>
      </c>
      <c r="D8" s="4">
        <v>1.6827110000000001</v>
      </c>
      <c r="E8" s="49">
        <v>-3.0309999999999998E-3</v>
      </c>
      <c r="F8" s="20">
        <f t="shared" si="0"/>
        <v>-1.2693644099271206E-2</v>
      </c>
      <c r="G8" s="20">
        <f t="shared" si="2"/>
        <v>-2.4566426871307501E-3</v>
      </c>
      <c r="H8" s="20">
        <f t="shared" si="3"/>
        <v>-5.4704322306560194E-3</v>
      </c>
      <c r="I8" s="33" t="str">
        <f t="shared" si="1"/>
        <v>012025</v>
      </c>
      <c r="J8" s="35">
        <f t="shared" si="6"/>
        <v>-2.4553253829684429E-3</v>
      </c>
      <c r="K8" s="35">
        <f t="shared" si="7"/>
        <v>-5.4704322306557973E-3</v>
      </c>
      <c r="L8" s="38">
        <f t="shared" si="4"/>
        <v>99.754467461703143</v>
      </c>
      <c r="M8" s="38">
        <f t="shared" si="5"/>
        <v>99.452956776934414</v>
      </c>
    </row>
    <row r="9" spans="1:13" ht="15.75" thickBot="1" x14ac:dyDescent="0.3">
      <c r="A9" s="3">
        <v>45666</v>
      </c>
      <c r="B9" s="9">
        <v>119781</v>
      </c>
      <c r="C9" s="14">
        <v>190414.22</v>
      </c>
      <c r="D9" s="4">
        <v>1.688855</v>
      </c>
      <c r="E9" s="49">
        <v>3.6509999999999997E-3</v>
      </c>
      <c r="F9" s="20">
        <f t="shared" si="0"/>
        <v>1.3040752351096696E-3</v>
      </c>
      <c r="G9" s="20">
        <f t="shared" si="2"/>
        <v>1.1856383625148403E-3</v>
      </c>
      <c r="H9" s="20">
        <f t="shared" si="3"/>
        <v>-4.1734908507436996E-3</v>
      </c>
      <c r="I9" s="33" t="str">
        <f t="shared" si="1"/>
        <v>012025</v>
      </c>
      <c r="J9" s="35">
        <f t="shared" si="6"/>
        <v>1.1867102240583627E-3</v>
      </c>
      <c r="K9" s="35">
        <f t="shared" si="7"/>
        <v>-4.1734908507434776E-3</v>
      </c>
      <c r="L9" s="38">
        <f t="shared" si="4"/>
        <v>100.11867102240583</v>
      </c>
      <c r="M9" s="38">
        <f t="shared" si="5"/>
        <v>99.582650914925651</v>
      </c>
    </row>
    <row r="10" spans="1:13" ht="15.75" thickBot="1" x14ac:dyDescent="0.3">
      <c r="A10" s="3">
        <v>45667</v>
      </c>
      <c r="B10" s="9">
        <v>118856</v>
      </c>
      <c r="C10" s="14">
        <v>189271.59</v>
      </c>
      <c r="D10" s="4">
        <v>1.6787209999999999</v>
      </c>
      <c r="E10" s="49">
        <v>-6.0009999999999994E-3</v>
      </c>
      <c r="F10" s="20">
        <f t="shared" si="0"/>
        <v>-7.7224267621742726E-3</v>
      </c>
      <c r="G10" s="20">
        <f t="shared" si="2"/>
        <v>-4.8219912203479876E-3</v>
      </c>
      <c r="H10" s="20">
        <f t="shared" si="3"/>
        <v>-1.1863688135480444E-2</v>
      </c>
      <c r="I10" s="33" t="str">
        <f t="shared" si="1"/>
        <v>012025</v>
      </c>
      <c r="J10" s="35">
        <f t="shared" si="6"/>
        <v>-4.8214112239962637E-3</v>
      </c>
      <c r="K10" s="35">
        <f t="shared" si="7"/>
        <v>-1.1863688135480333E-2</v>
      </c>
      <c r="L10" s="38">
        <f t="shared" si="4"/>
        <v>99.517858877600375</v>
      </c>
      <c r="M10" s="38">
        <f t="shared" si="5"/>
        <v>98.813631186451971</v>
      </c>
    </row>
    <row r="11" spans="1:13" ht="15.75" thickBot="1" x14ac:dyDescent="0.3">
      <c r="A11" s="3">
        <v>45670</v>
      </c>
      <c r="B11" s="9">
        <v>119007</v>
      </c>
      <c r="C11" s="14">
        <v>189075.79</v>
      </c>
      <c r="D11" s="4">
        <v>1.676984</v>
      </c>
      <c r="E11" s="49">
        <v>-1.0349999999999999E-3</v>
      </c>
      <c r="F11" s="20">
        <f t="shared" si="0"/>
        <v>1.2704449081242242E-3</v>
      </c>
      <c r="G11" s="20">
        <f t="shared" si="2"/>
        <v>-5.8517181381920746E-3</v>
      </c>
      <c r="H11" s="20">
        <f t="shared" si="3"/>
        <v>-1.0608315389539658E-2</v>
      </c>
      <c r="I11" s="33" t="str">
        <f t="shared" si="1"/>
        <v>012025</v>
      </c>
      <c r="J11" s="35">
        <f t="shared" si="6"/>
        <v>-5.8514210633794361E-3</v>
      </c>
      <c r="K11" s="35">
        <f t="shared" si="7"/>
        <v>-1.0608315389539436E-2</v>
      </c>
      <c r="L11" s="38">
        <f t="shared" si="4"/>
        <v>99.414857893662059</v>
      </c>
      <c r="M11" s="38">
        <f t="shared" si="5"/>
        <v>98.939168461046066</v>
      </c>
    </row>
    <row r="12" spans="1:13" ht="15.75" thickBot="1" x14ac:dyDescent="0.3">
      <c r="A12" s="3">
        <v>45671</v>
      </c>
      <c r="B12" s="9">
        <v>119299</v>
      </c>
      <c r="C12" s="14">
        <v>189614.74</v>
      </c>
      <c r="D12" s="4">
        <v>1.681765</v>
      </c>
      <c r="E12" s="49">
        <v>2.8510000000000002E-3</v>
      </c>
      <c r="F12" s="20">
        <f t="shared" si="0"/>
        <v>2.4536371810062185E-3</v>
      </c>
      <c r="G12" s="20">
        <f t="shared" si="2"/>
        <v>-3.0174496326003108E-3</v>
      </c>
      <c r="H12" s="20">
        <f t="shared" si="3"/>
        <v>-8.1807071656011532E-3</v>
      </c>
      <c r="I12" s="33" t="str">
        <f t="shared" si="1"/>
        <v>012025</v>
      </c>
      <c r="J12" s="35">
        <f t="shared" si="6"/>
        <v>-3.0171034648311945E-3</v>
      </c>
      <c r="K12" s="35">
        <f t="shared" si="7"/>
        <v>-8.1807071656008201E-3</v>
      </c>
      <c r="L12" s="38">
        <f t="shared" si="4"/>
        <v>99.698289653516881</v>
      </c>
      <c r="M12" s="38">
        <f t="shared" si="5"/>
        <v>99.181929283439928</v>
      </c>
    </row>
    <row r="13" spans="1:13" ht="15.75" thickBot="1" x14ac:dyDescent="0.3">
      <c r="A13" s="3">
        <v>45672</v>
      </c>
      <c r="B13" s="9">
        <v>122650</v>
      </c>
      <c r="C13" s="14">
        <v>193622.13</v>
      </c>
      <c r="D13" s="4">
        <v>1.7173080000000001</v>
      </c>
      <c r="E13" s="49">
        <v>2.1134E-2</v>
      </c>
      <c r="F13" s="20">
        <f t="shared" si="0"/>
        <v>2.8089087083714048E-2</v>
      </c>
      <c r="G13" s="20">
        <f t="shared" si="2"/>
        <v>1.8053122526832555E-2</v>
      </c>
      <c r="H13" s="20">
        <f t="shared" si="3"/>
        <v>1.9678591322132011E-2</v>
      </c>
      <c r="I13" s="33" t="str">
        <f t="shared" si="1"/>
        <v>012025</v>
      </c>
      <c r="J13" s="35">
        <f t="shared" si="6"/>
        <v>1.8053133070543126E-2</v>
      </c>
      <c r="K13" s="35">
        <f t="shared" si="7"/>
        <v>1.9678591322132233E-2</v>
      </c>
      <c r="L13" s="38">
        <f t="shared" si="4"/>
        <v>101.80531330705431</v>
      </c>
      <c r="M13" s="38">
        <f t="shared" si="5"/>
        <v>101.96785913221323</v>
      </c>
    </row>
    <row r="14" spans="1:13" ht="15.75" thickBot="1" x14ac:dyDescent="0.3">
      <c r="A14" s="3">
        <v>45673</v>
      </c>
      <c r="B14" s="9">
        <v>121234</v>
      </c>
      <c r="C14" s="14">
        <v>192816.65</v>
      </c>
      <c r="D14" s="4">
        <v>1.7101630000000001</v>
      </c>
      <c r="E14" s="49">
        <v>-4.1610000000000006E-3</v>
      </c>
      <c r="F14" s="20">
        <f t="shared" si="0"/>
        <v>-1.1545046881369703E-2</v>
      </c>
      <c r="G14" s="20">
        <f t="shared" si="2"/>
        <v>1.3817429476748133E-2</v>
      </c>
      <c r="H14" s="20">
        <f t="shared" si="3"/>
        <v>7.9063541813888527E-3</v>
      </c>
      <c r="I14" s="33" t="str">
        <f t="shared" si="1"/>
        <v>012025</v>
      </c>
      <c r="J14" s="35">
        <f t="shared" si="6"/>
        <v>1.3817013983836723E-2</v>
      </c>
      <c r="K14" s="35">
        <f t="shared" si="7"/>
        <v>7.9063541813892968E-3</v>
      </c>
      <c r="L14" s="38">
        <f t="shared" si="4"/>
        <v>101.38170139838365</v>
      </c>
      <c r="M14" s="38">
        <f t="shared" si="5"/>
        <v>100.79063541813893</v>
      </c>
    </row>
    <row r="15" spans="1:13" ht="15.75" thickBot="1" x14ac:dyDescent="0.3">
      <c r="A15" s="3">
        <v>45674</v>
      </c>
      <c r="B15" s="9">
        <v>122350</v>
      </c>
      <c r="C15" s="14">
        <v>194729.05</v>
      </c>
      <c r="D15" s="4">
        <v>1.727125</v>
      </c>
      <c r="E15" s="49">
        <v>9.9179999999999997E-3</v>
      </c>
      <c r="F15" s="20">
        <f t="shared" si="0"/>
        <v>9.205338436412136E-3</v>
      </c>
      <c r="G15" s="20">
        <f t="shared" si="2"/>
        <v>2.3872828429236659E-2</v>
      </c>
      <c r="H15" s="20">
        <f t="shared" si="3"/>
        <v>1.7184473283838875E-2</v>
      </c>
      <c r="I15" s="33" t="str">
        <f t="shared" si="1"/>
        <v>012025</v>
      </c>
      <c r="J15" s="35">
        <f t="shared" si="6"/>
        <v>2.3872051128528415E-2</v>
      </c>
      <c r="K15" s="35">
        <f t="shared" si="7"/>
        <v>1.7184473283839319E-2</v>
      </c>
      <c r="L15" s="38">
        <f t="shared" si="4"/>
        <v>102.38720511285284</v>
      </c>
      <c r="M15" s="38">
        <f t="shared" si="5"/>
        <v>101.71844732838393</v>
      </c>
    </row>
    <row r="16" spans="1:13" ht="15.75" thickBot="1" x14ac:dyDescent="0.3">
      <c r="A16" s="3">
        <v>45677</v>
      </c>
      <c r="B16" s="9">
        <v>122855</v>
      </c>
      <c r="C16" s="14">
        <v>194249.17</v>
      </c>
      <c r="D16" s="4">
        <v>1.722869</v>
      </c>
      <c r="E16" s="49">
        <v>-2.464E-3</v>
      </c>
      <c r="F16" s="20">
        <f t="shared" si="0"/>
        <v>4.1275030649774447E-3</v>
      </c>
      <c r="G16" s="20">
        <f t="shared" si="2"/>
        <v>2.1349789993805102E-2</v>
      </c>
      <c r="H16" s="20">
        <f t="shared" si="3"/>
        <v>2.138290531496545E-2</v>
      </c>
      <c r="I16" s="33" t="str">
        <f t="shared" si="1"/>
        <v>012025</v>
      </c>
      <c r="J16" s="35">
        <f t="shared" si="6"/>
        <v>2.1349230394547725E-2</v>
      </c>
      <c r="K16" s="35">
        <f t="shared" si="7"/>
        <v>2.1382905314965894E-2</v>
      </c>
      <c r="L16" s="38">
        <f t="shared" si="4"/>
        <v>102.13492303945476</v>
      </c>
      <c r="M16" s="38">
        <f t="shared" si="5"/>
        <v>102.13829053149658</v>
      </c>
    </row>
    <row r="17" spans="1:13" ht="15.75" thickBot="1" x14ac:dyDescent="0.3">
      <c r="A17" s="3">
        <v>45678</v>
      </c>
      <c r="B17" s="9">
        <v>123338</v>
      </c>
      <c r="C17" s="14">
        <v>194748.27</v>
      </c>
      <c r="D17" s="4">
        <v>1.7272959999999999</v>
      </c>
      <c r="E17" s="49">
        <v>2.5700000000000002E-3</v>
      </c>
      <c r="F17" s="20">
        <f t="shared" si="0"/>
        <v>3.9314639208822832E-3</v>
      </c>
      <c r="G17" s="20">
        <f t="shared" si="2"/>
        <v>2.3974200509231602E-2</v>
      </c>
      <c r="H17" s="20">
        <f t="shared" si="3"/>
        <v>2.5398435356617233E-2</v>
      </c>
      <c r="I17" s="33" t="str">
        <f t="shared" si="1"/>
        <v>012025</v>
      </c>
      <c r="J17" s="35">
        <f t="shared" si="6"/>
        <v>2.3974097916661607E-2</v>
      </c>
      <c r="K17" s="35">
        <f t="shared" si="7"/>
        <v>2.5398435356617677E-2</v>
      </c>
      <c r="L17" s="38">
        <f t="shared" si="4"/>
        <v>102.39740979166616</v>
      </c>
      <c r="M17" s="38">
        <f t="shared" si="5"/>
        <v>102.53984353566175</v>
      </c>
    </row>
    <row r="18" spans="1:13" ht="15.75" thickBot="1" x14ac:dyDescent="0.3">
      <c r="A18" s="3">
        <v>45679</v>
      </c>
      <c r="B18" s="9">
        <v>122972</v>
      </c>
      <c r="C18" s="14">
        <v>194725.78</v>
      </c>
      <c r="D18" s="4">
        <v>1.727096</v>
      </c>
      <c r="E18" s="49">
        <v>-1.1599999999999999E-4</v>
      </c>
      <c r="F18" s="20">
        <f t="shared" si="0"/>
        <v>-2.9674552854757064E-3</v>
      </c>
      <c r="G18" s="20">
        <f t="shared" si="2"/>
        <v>2.3855636672980074E-2</v>
      </c>
      <c r="H18" s="20">
        <f t="shared" si="3"/>
        <v>2.2355611349899718E-2</v>
      </c>
      <c r="I18" s="33" t="str">
        <f t="shared" si="1"/>
        <v>012025</v>
      </c>
      <c r="J18" s="35">
        <f t="shared" si="6"/>
        <v>2.385531692130316E-2</v>
      </c>
      <c r="K18" s="35">
        <f t="shared" si="7"/>
        <v>2.2355611349900162E-2</v>
      </c>
      <c r="L18" s="38">
        <f t="shared" si="4"/>
        <v>102.38553169213033</v>
      </c>
      <c r="M18" s="38">
        <f t="shared" si="5"/>
        <v>102.23556113498999</v>
      </c>
    </row>
    <row r="19" spans="1:13" ht="15.75" thickBot="1" x14ac:dyDescent="0.3">
      <c r="A19" s="3">
        <v>45680</v>
      </c>
      <c r="B19" s="9">
        <v>122483</v>
      </c>
      <c r="C19" s="14">
        <v>194597.19</v>
      </c>
      <c r="D19" s="4">
        <v>1.725956</v>
      </c>
      <c r="E19" s="49">
        <v>-6.6E-4</v>
      </c>
      <c r="F19" s="20">
        <f t="shared" si="0"/>
        <v>-3.9765149790196297E-3</v>
      </c>
      <c r="G19" s="20">
        <f t="shared" si="2"/>
        <v>2.3179822806346673E-2</v>
      </c>
      <c r="H19" s="20">
        <f t="shared" si="3"/>
        <v>1.8290198947482184E-2</v>
      </c>
      <c r="I19" s="33" t="str">
        <f t="shared" si="1"/>
        <v>012025</v>
      </c>
      <c r="J19" s="35">
        <f t="shared" si="6"/>
        <v>2.3179572412135085E-2</v>
      </c>
      <c r="K19" s="35">
        <f t="shared" si="7"/>
        <v>1.8290198947482406E-2</v>
      </c>
      <c r="L19" s="38">
        <f t="shared" si="4"/>
        <v>102.31795724121352</v>
      </c>
      <c r="M19" s="38">
        <f t="shared" si="5"/>
        <v>101.82901989474823</v>
      </c>
    </row>
    <row r="20" spans="1:13" ht="15.75" thickBot="1" x14ac:dyDescent="0.3">
      <c r="A20" s="3">
        <v>45681</v>
      </c>
      <c r="B20" s="9">
        <v>122447</v>
      </c>
      <c r="C20" s="14">
        <v>115428.73</v>
      </c>
      <c r="D20" s="4">
        <v>1.7247189999999999</v>
      </c>
      <c r="E20" s="49">
        <v>-7.1699999999999997E-4</v>
      </c>
      <c r="F20" s="20">
        <f t="shared" si="0"/>
        <v>-2.9391833968794856E-4</v>
      </c>
      <c r="G20" s="20">
        <f t="shared" si="2"/>
        <v>2.2446505479131185E-2</v>
      </c>
      <c r="H20" s="20">
        <f t="shared" si="3"/>
        <v>1.7990904782887007E-2</v>
      </c>
      <c r="I20" s="33" t="str">
        <f t="shared" si="1"/>
        <v>012025</v>
      </c>
      <c r="J20" s="35">
        <f t="shared" si="6"/>
        <v>2.2445952658715518E-2</v>
      </c>
      <c r="K20" s="35">
        <f t="shared" si="7"/>
        <v>1.7990904782887229E-2</v>
      </c>
      <c r="L20" s="38">
        <f t="shared" si="4"/>
        <v>102.24459526587157</v>
      </c>
      <c r="M20" s="38">
        <f t="shared" si="5"/>
        <v>101.79909047828872</v>
      </c>
    </row>
    <row r="21" spans="1:13" ht="15.75" thickBot="1" x14ac:dyDescent="0.3">
      <c r="A21" s="3">
        <v>45684</v>
      </c>
      <c r="B21" s="9">
        <v>124862</v>
      </c>
      <c r="C21" s="14">
        <v>116666.32</v>
      </c>
      <c r="D21" s="4">
        <v>1.7432110000000001</v>
      </c>
      <c r="E21" s="49">
        <v>1.0722000000000001E-2</v>
      </c>
      <c r="F21" s="20">
        <f t="shared" si="0"/>
        <v>1.9722818852238033E-2</v>
      </c>
      <c r="G21" s="20">
        <f t="shared" si="2"/>
        <v>3.3408917778943614E-2</v>
      </c>
      <c r="H21" s="20">
        <f t="shared" si="3"/>
        <v>3.806855499114592E-2</v>
      </c>
      <c r="I21" s="33" t="str">
        <f t="shared" si="1"/>
        <v>012025</v>
      </c>
      <c r="J21" s="35">
        <f t="shared" si="6"/>
        <v>3.3408618163122128E-2</v>
      </c>
      <c r="K21" s="35">
        <f t="shared" si="7"/>
        <v>3.806855499114592E-2</v>
      </c>
      <c r="L21" s="38">
        <f t="shared" si="4"/>
        <v>103.34086181631223</v>
      </c>
      <c r="M21" s="38">
        <f t="shared" si="5"/>
        <v>103.80685549911459</v>
      </c>
    </row>
    <row r="22" spans="1:13" ht="15.75" thickBot="1" x14ac:dyDescent="0.3">
      <c r="A22" s="3">
        <v>45685</v>
      </c>
      <c r="B22" s="9">
        <v>124056</v>
      </c>
      <c r="C22" s="14">
        <v>116427.47</v>
      </c>
      <c r="D22" s="4">
        <v>1.7396419999999999</v>
      </c>
      <c r="E22" s="49">
        <v>-2.0469999999999998E-3</v>
      </c>
      <c r="F22" s="20">
        <f t="shared" si="0"/>
        <v>-6.4551264596114377E-3</v>
      </c>
      <c r="G22" s="20">
        <f t="shared" si="2"/>
        <v>3.1293146121035953E-2</v>
      </c>
      <c r="H22" s="20">
        <f t="shared" si="3"/>
        <v>3.1367691194931879E-2</v>
      </c>
      <c r="I22" s="33" t="str">
        <f t="shared" si="1"/>
        <v>012025</v>
      </c>
      <c r="J22" s="35">
        <f t="shared" si="6"/>
        <v>3.1293230721742171E-2</v>
      </c>
      <c r="K22" s="35">
        <f t="shared" si="7"/>
        <v>3.1367691194931879E-2</v>
      </c>
      <c r="L22" s="38">
        <f t="shared" si="4"/>
        <v>103.12932307217423</v>
      </c>
      <c r="M22" s="38">
        <f t="shared" si="5"/>
        <v>103.1367691194932</v>
      </c>
    </row>
    <row r="23" spans="1:13" ht="15.75" thickBot="1" x14ac:dyDescent="0.3">
      <c r="A23" s="5">
        <v>45686</v>
      </c>
      <c r="B23" s="10">
        <v>123432</v>
      </c>
      <c r="C23" s="15">
        <v>115774.93</v>
      </c>
      <c r="D23" s="4">
        <v>1.729892</v>
      </c>
      <c r="E23" s="49">
        <v>-5.6049999999999997E-3</v>
      </c>
      <c r="F23" s="20">
        <f t="shared" si="0"/>
        <v>-5.0299864577287856E-3</v>
      </c>
      <c r="G23" s="20">
        <f t="shared" si="2"/>
        <v>2.5513159103776051E-2</v>
      </c>
      <c r="H23" s="20">
        <f t="shared" si="3"/>
        <v>2.6179925675282378E-2</v>
      </c>
      <c r="I23" s="33" t="str">
        <f t="shared" si="1"/>
        <v>012025</v>
      </c>
      <c r="J23" s="35">
        <f t="shared" si="6"/>
        <v>2.5512832163546939E-2</v>
      </c>
      <c r="K23" s="35">
        <f t="shared" si="7"/>
        <v>2.6179925675282378E-2</v>
      </c>
      <c r="L23" s="38">
        <f t="shared" si="4"/>
        <v>102.55128321635469</v>
      </c>
      <c r="M23" s="38">
        <f t="shared" si="5"/>
        <v>102.61799256752825</v>
      </c>
    </row>
    <row r="24" spans="1:13" ht="16.5" thickTop="1" thickBot="1" x14ac:dyDescent="0.3">
      <c r="A24" s="3">
        <v>45687</v>
      </c>
      <c r="B24" s="9">
        <v>126912</v>
      </c>
      <c r="C24" s="14">
        <v>117435.79</v>
      </c>
      <c r="D24" s="4">
        <v>1.7547079999999999</v>
      </c>
      <c r="E24" s="49">
        <v>1.4345000000000002E-2</v>
      </c>
      <c r="F24" s="20">
        <f t="shared" si="0"/>
        <v>2.8193661287186478E-2</v>
      </c>
      <c r="G24" s="20">
        <f t="shared" si="2"/>
        <v>4.022455990586038E-2</v>
      </c>
      <c r="H24" s="20">
        <f t="shared" si="3"/>
        <v>5.5111694919481646E-2</v>
      </c>
      <c r="I24" s="33" t="str">
        <f t="shared" si="1"/>
        <v>012025</v>
      </c>
      <c r="J24" s="35">
        <f t="shared" si="6"/>
        <v>4.0223813740932979E-2</v>
      </c>
      <c r="K24" s="35">
        <f t="shared" si="7"/>
        <v>5.5111694919481424E-2</v>
      </c>
      <c r="L24" s="38">
        <f t="shared" si="4"/>
        <v>104.0223813740933</v>
      </c>
      <c r="M24" s="38">
        <f t="shared" si="5"/>
        <v>105.51116949194815</v>
      </c>
    </row>
    <row r="25" spans="1:13" ht="15.75" thickBot="1" x14ac:dyDescent="0.3">
      <c r="A25" s="3">
        <v>45688</v>
      </c>
      <c r="B25" s="11">
        <v>126135</v>
      </c>
      <c r="C25" s="14">
        <v>116861.75999999999</v>
      </c>
      <c r="D25" s="8">
        <v>1.7461310000000001</v>
      </c>
      <c r="E25" s="50">
        <v>-4.888E-3</v>
      </c>
      <c r="F25" s="20">
        <f t="shared" si="0"/>
        <v>-6.1223524962178422E-3</v>
      </c>
      <c r="G25" s="20">
        <f t="shared" si="2"/>
        <v>3.5139949788215441E-2</v>
      </c>
      <c r="H25" s="20">
        <f t="shared" si="3"/>
        <v>4.8651929200302702E-2</v>
      </c>
      <c r="I25" s="33" t="str">
        <f t="shared" si="1"/>
        <v>012025</v>
      </c>
      <c r="J25" s="35">
        <f t="shared" si="6"/>
        <v>3.5139199739367299E-2</v>
      </c>
      <c r="K25" s="35">
        <f t="shared" si="7"/>
        <v>4.8651929200302479E-2</v>
      </c>
      <c r="L25" s="38">
        <f t="shared" si="4"/>
        <v>103.51391997393674</v>
      </c>
      <c r="M25" s="38">
        <f t="shared" si="5"/>
        <v>104.86519292003025</v>
      </c>
    </row>
    <row r="26" spans="1:13" ht="15.75" thickBot="1" x14ac:dyDescent="0.3">
      <c r="A26" s="3">
        <v>45691</v>
      </c>
      <c r="B26" s="9">
        <v>125970</v>
      </c>
      <c r="C26" s="14">
        <v>116473.55</v>
      </c>
      <c r="D26" s="4">
        <v>1.7403299999999999</v>
      </c>
      <c r="E26" s="49">
        <v>-3.3219999999999999E-3</v>
      </c>
      <c r="F26" s="20">
        <f t="shared" si="0"/>
        <v>-1.3081222499702339E-3</v>
      </c>
      <c r="G26" s="20">
        <f t="shared" si="2"/>
        <v>3.1701005717740927E-2</v>
      </c>
      <c r="H26" s="20">
        <f t="shared" si="3"/>
        <v>4.7280164279241532E-2</v>
      </c>
      <c r="I26" s="33" t="str">
        <f t="shared" si="1"/>
        <v>022025</v>
      </c>
      <c r="J26" s="35">
        <f t="shared" si="6"/>
        <v>-3.3219999999999999E-3</v>
      </c>
      <c r="K26" s="35">
        <f t="shared" si="7"/>
        <v>-1.3081222499702339E-3</v>
      </c>
      <c r="L26" s="38">
        <f t="shared" si="4"/>
        <v>103.17004673178332</v>
      </c>
      <c r="M26" s="38">
        <f t="shared" si="5"/>
        <v>104.72801642792415</v>
      </c>
    </row>
    <row r="27" spans="1:13" ht="15.75" thickBot="1" x14ac:dyDescent="0.3">
      <c r="A27" s="3">
        <v>45692</v>
      </c>
      <c r="B27" s="9">
        <v>125147</v>
      </c>
      <c r="C27" s="14">
        <v>116214.28</v>
      </c>
      <c r="D27" s="4">
        <v>1.736456</v>
      </c>
      <c r="E27" s="49">
        <v>-2.2260000000000001E-3</v>
      </c>
      <c r="F27" s="20">
        <f t="shared" si="0"/>
        <v>-6.5333015797411909E-3</v>
      </c>
      <c r="G27" s="20">
        <f t="shared" si="2"/>
        <v>2.9404424209549695E-2</v>
      </c>
      <c r="H27" s="20">
        <f t="shared" si="3"/>
        <v>4.0437967127524344E-2</v>
      </c>
      <c r="I27" s="33" t="str">
        <f t="shared" si="1"/>
        <v>022025</v>
      </c>
      <c r="J27" s="35">
        <f t="shared" si="6"/>
        <v>-5.5406052280000395E-3</v>
      </c>
      <c r="K27" s="35">
        <f t="shared" si="7"/>
        <v>-7.8328774725492378E-3</v>
      </c>
      <c r="L27" s="38">
        <f t="shared" si="4"/>
        <v>102.94039020775837</v>
      </c>
      <c r="M27" s="38">
        <f t="shared" si="5"/>
        <v>104.04379671275242</v>
      </c>
    </row>
    <row r="28" spans="1:13" ht="15.75" thickBot="1" x14ac:dyDescent="0.3">
      <c r="A28" s="3">
        <v>45693</v>
      </c>
      <c r="B28" s="9">
        <v>125534</v>
      </c>
      <c r="C28" s="14">
        <v>116326.51</v>
      </c>
      <c r="D28" s="4">
        <v>1.7381329999999999</v>
      </c>
      <c r="E28" s="49">
        <v>9.6600000000000006E-4</v>
      </c>
      <c r="F28" s="20">
        <f t="shared" si="0"/>
        <v>3.0923633806643203E-3</v>
      </c>
      <c r="G28" s="20">
        <f t="shared" si="2"/>
        <v>3.0398581976518457E-2</v>
      </c>
      <c r="H28" s="20">
        <f t="shared" si="3"/>
        <v>4.3655379396922322E-2</v>
      </c>
      <c r="I28" s="33" t="str">
        <f t="shared" si="1"/>
        <v>022025</v>
      </c>
      <c r="J28" s="35">
        <f t="shared" si="6"/>
        <v>-4.579957452650274E-3</v>
      </c>
      <c r="K28" s="35">
        <f t="shared" si="7"/>
        <v>-4.7647361953462308E-3</v>
      </c>
      <c r="L28" s="38">
        <f t="shared" si="4"/>
        <v>103.03983062469906</v>
      </c>
      <c r="M28" s="38">
        <f t="shared" si="5"/>
        <v>104.36553793969222</v>
      </c>
    </row>
    <row r="29" spans="1:13" ht="15.75" thickBot="1" x14ac:dyDescent="0.3">
      <c r="A29" s="3">
        <v>45694</v>
      </c>
      <c r="B29" s="9">
        <v>126225</v>
      </c>
      <c r="C29" s="14">
        <v>116888.31</v>
      </c>
      <c r="D29" s="4">
        <v>1.7465280000000001</v>
      </c>
      <c r="E29" s="49">
        <v>4.8300000000000001E-3</v>
      </c>
      <c r="F29" s="20">
        <f t="shared" si="0"/>
        <v>5.5044848407603819E-3</v>
      </c>
      <c r="G29" s="20">
        <f t="shared" si="2"/>
        <v>3.5375299003174598E-2</v>
      </c>
      <c r="H29" s="20">
        <f t="shared" si="3"/>
        <v>4.9400164611790531E-2</v>
      </c>
      <c r="I29" s="33" t="str">
        <f t="shared" si="1"/>
        <v>022025</v>
      </c>
      <c r="J29" s="35">
        <f t="shared" si="6"/>
        <v>2.2792135285332193E-4</v>
      </c>
      <c r="K29" s="35">
        <f t="shared" si="7"/>
        <v>7.1352122725665268E-4</v>
      </c>
      <c r="L29" s="38">
        <f t="shared" si="4"/>
        <v>103.53751300661635</v>
      </c>
      <c r="M29" s="38">
        <f t="shared" si="5"/>
        <v>104.94001646117906</v>
      </c>
    </row>
    <row r="30" spans="1:13" ht="15.75" thickBot="1" x14ac:dyDescent="0.3">
      <c r="A30" s="3">
        <v>45695</v>
      </c>
      <c r="B30" s="9">
        <v>124619</v>
      </c>
      <c r="C30" s="14">
        <v>116426.21</v>
      </c>
      <c r="D30" s="4">
        <v>1.7343930000000001</v>
      </c>
      <c r="E30" s="49">
        <v>-6.9479999999999993E-3</v>
      </c>
      <c r="F30" s="20">
        <f t="shared" si="0"/>
        <v>-1.2723311546840921E-2</v>
      </c>
      <c r="G30" s="20">
        <f t="shared" si="2"/>
        <v>2.818143823861563E-2</v>
      </c>
      <c r="H30" s="20">
        <f t="shared" si="3"/>
        <v>3.6048319380128424E-2</v>
      </c>
      <c r="I30" s="33" t="str">
        <f t="shared" si="1"/>
        <v>022025</v>
      </c>
      <c r="J30" s="35">
        <f t="shared" si="6"/>
        <v>-6.7216622447062724E-3</v>
      </c>
      <c r="K30" s="35">
        <f t="shared" si="7"/>
        <v>-1.2018868672453942E-2</v>
      </c>
      <c r="L30" s="38">
        <f t="shared" si="4"/>
        <v>102.81813436624638</v>
      </c>
      <c r="M30" s="38">
        <f t="shared" si="5"/>
        <v>103.60483193801286</v>
      </c>
    </row>
    <row r="31" spans="1:13" ht="15.75" thickBot="1" x14ac:dyDescent="0.3">
      <c r="A31" s="3">
        <v>45698</v>
      </c>
      <c r="B31" s="9">
        <v>125572</v>
      </c>
      <c r="C31" s="14">
        <v>117806.27</v>
      </c>
      <c r="D31" s="4">
        <v>1.7400549999999999</v>
      </c>
      <c r="E31" s="49">
        <v>3.2650000000000001E-3</v>
      </c>
      <c r="F31" s="20">
        <f t="shared" si="0"/>
        <v>7.6473089978252862E-3</v>
      </c>
      <c r="G31" s="20">
        <f t="shared" si="2"/>
        <v>3.1537980442895241E-2</v>
      </c>
      <c r="H31" s="20">
        <f t="shared" si="3"/>
        <v>4.3971301015105935E-2</v>
      </c>
      <c r="I31" s="33" t="str">
        <f t="shared" si="1"/>
        <v>022025</v>
      </c>
      <c r="J31" s="35">
        <f t="shared" si="6"/>
        <v>-3.4786084719351518E-3</v>
      </c>
      <c r="K31" s="35">
        <f t="shared" si="7"/>
        <v>-4.4634716771712046E-3</v>
      </c>
      <c r="L31" s="38">
        <f t="shared" si="4"/>
        <v>103.15383557495218</v>
      </c>
      <c r="M31" s="38">
        <f t="shared" si="5"/>
        <v>104.39713010151061</v>
      </c>
    </row>
    <row r="32" spans="1:13" ht="15.75" thickBot="1" x14ac:dyDescent="0.3">
      <c r="A32" s="3">
        <v>45699</v>
      </c>
      <c r="B32" s="9">
        <v>126522</v>
      </c>
      <c r="C32" s="14">
        <v>129447.48</v>
      </c>
      <c r="D32" s="4">
        <v>1.7495259999999999</v>
      </c>
      <c r="E32" s="49">
        <v>5.4429999999999999E-3</v>
      </c>
      <c r="F32" s="20">
        <f t="shared" si="0"/>
        <v>7.5653808173796744E-3</v>
      </c>
      <c r="G32" s="20">
        <f t="shared" si="2"/>
        <v>3.7152570908584259E-2</v>
      </c>
      <c r="H32" s="20">
        <f t="shared" si="3"/>
        <v>5.186934146970068E-2</v>
      </c>
      <c r="I32" s="33" t="str">
        <f t="shared" si="1"/>
        <v>022025</v>
      </c>
      <c r="J32" s="35">
        <f t="shared" si="6"/>
        <v>1.9454574621522447E-3</v>
      </c>
      <c r="K32" s="35">
        <f t="shared" si="7"/>
        <v>3.068141277203118E-3</v>
      </c>
      <c r="L32" s="38">
        <f t="shared" si="4"/>
        <v>103.71530190198666</v>
      </c>
      <c r="M32" s="38">
        <f t="shared" si="5"/>
        <v>105.18693414697007</v>
      </c>
    </row>
    <row r="33" spans="1:14" ht="15.75" thickBot="1" x14ac:dyDescent="0.3">
      <c r="A33" s="3">
        <v>45700</v>
      </c>
      <c r="B33" s="9">
        <v>124380</v>
      </c>
      <c r="C33" s="14">
        <v>128266.21</v>
      </c>
      <c r="D33" s="4">
        <v>1.7335609999999999</v>
      </c>
      <c r="E33" s="49">
        <v>-9.1249999999999994E-3</v>
      </c>
      <c r="F33" s="20">
        <f t="shared" si="0"/>
        <v>-1.6929862000284568E-2</v>
      </c>
      <c r="G33" s="20">
        <f t="shared" si="2"/>
        <v>2.7688212679809476E-2</v>
      </c>
      <c r="H33" s="20">
        <f t="shared" si="3"/>
        <v>3.4061338676288466E-2</v>
      </c>
      <c r="I33" s="33" t="str">
        <f t="shared" si="1"/>
        <v>022025</v>
      </c>
      <c r="J33" s="35">
        <f t="shared" si="6"/>
        <v>-7.1972948371898937E-3</v>
      </c>
      <c r="K33" s="35">
        <f t="shared" si="7"/>
        <v>-1.3913663931501841E-2</v>
      </c>
      <c r="L33" s="38">
        <f t="shared" si="4"/>
        <v>102.76889977213104</v>
      </c>
      <c r="M33" s="38">
        <f t="shared" si="5"/>
        <v>103.40613386762885</v>
      </c>
    </row>
    <row r="34" spans="1:14" ht="15.75" thickBot="1" x14ac:dyDescent="0.3">
      <c r="A34" s="3">
        <v>45701</v>
      </c>
      <c r="B34" s="9">
        <v>124850</v>
      </c>
      <c r="C34" s="14">
        <v>128430.07</v>
      </c>
      <c r="D34" s="4">
        <v>1.7357750000000001</v>
      </c>
      <c r="E34" s="49">
        <v>1.2770000000000001E-3</v>
      </c>
      <c r="F34" s="20">
        <f t="shared" si="0"/>
        <v>3.7787425631130578E-3</v>
      </c>
      <c r="G34" s="20">
        <f t="shared" si="2"/>
        <v>2.9000714347113377E-2</v>
      </c>
      <c r="H34" s="20">
        <f t="shared" si="3"/>
        <v>3.7968790269614194E-2</v>
      </c>
      <c r="I34" s="33" t="str">
        <f t="shared" si="1"/>
        <v>022025</v>
      </c>
      <c r="J34" s="35">
        <f t="shared" si="6"/>
        <v>-5.9294857826970304E-3</v>
      </c>
      <c r="K34" s="35">
        <f t="shared" si="7"/>
        <v>-1.0187497522495592E-2</v>
      </c>
      <c r="L34" s="38">
        <f t="shared" si="4"/>
        <v>102.90013565714004</v>
      </c>
      <c r="M34" s="38">
        <f t="shared" si="5"/>
        <v>103.79687902696143</v>
      </c>
    </row>
    <row r="35" spans="1:14" ht="15.75" thickBot="1" x14ac:dyDescent="0.3">
      <c r="A35" s="3">
        <v>45702</v>
      </c>
      <c r="B35" s="9">
        <v>128219</v>
      </c>
      <c r="C35" s="14">
        <v>131057.36</v>
      </c>
      <c r="D35" s="4">
        <v>1.764526</v>
      </c>
      <c r="E35" s="49">
        <v>1.6564000000000002E-2</v>
      </c>
      <c r="F35" s="20">
        <f t="shared" si="0"/>
        <v>2.6984381257509016E-2</v>
      </c>
      <c r="G35" s="20">
        <f t="shared" si="2"/>
        <v>4.6044858627445784E-2</v>
      </c>
      <c r="H35" s="20">
        <f t="shared" si="3"/>
        <v>6.5977735839644946E-2</v>
      </c>
      <c r="I35" s="33" t="str">
        <f t="shared" si="1"/>
        <v>022025</v>
      </c>
      <c r="J35" s="35">
        <f t="shared" si="6"/>
        <v>1.053629821479829E-2</v>
      </c>
      <c r="K35" s="35">
        <f t="shared" si="7"/>
        <v>1.6521980417806503E-2</v>
      </c>
      <c r="L35" s="38">
        <f t="shared" si="4"/>
        <v>104.6045735041649</v>
      </c>
      <c r="M35" s="38">
        <f t="shared" si="5"/>
        <v>106.5977735839645</v>
      </c>
    </row>
    <row r="36" spans="1:14" ht="15.75" thickBot="1" x14ac:dyDescent="0.3">
      <c r="A36" s="3">
        <v>45705</v>
      </c>
      <c r="B36" s="9">
        <v>128552</v>
      </c>
      <c r="C36" s="14">
        <v>131536.37</v>
      </c>
      <c r="D36" s="4">
        <v>1.7709760000000001</v>
      </c>
      <c r="E36" s="49">
        <v>3.6549999999999998E-3</v>
      </c>
      <c r="F36" s="20">
        <f t="shared" si="0"/>
        <v>2.5971189917251003E-3</v>
      </c>
      <c r="G36" s="20">
        <f t="shared" si="2"/>
        <v>4.9868542346556133E-2</v>
      </c>
      <c r="H36" s="20">
        <f t="shared" si="3"/>
        <v>6.874620686215005E-2</v>
      </c>
      <c r="I36" s="33" t="str">
        <f t="shared" si="1"/>
        <v>022025</v>
      </c>
      <c r="J36" s="35">
        <f t="shared" si="6"/>
        <v>1.422980838477339E-2</v>
      </c>
      <c r="K36" s="35">
        <f t="shared" si="7"/>
        <v>1.9162008958655496E-2</v>
      </c>
      <c r="L36" s="38">
        <f t="shared" si="4"/>
        <v>104.98690322032262</v>
      </c>
      <c r="M36" s="38">
        <f t="shared" si="5"/>
        <v>106.87462068621502</v>
      </c>
    </row>
    <row r="37" spans="1:14" ht="15.75" thickBot="1" x14ac:dyDescent="0.3">
      <c r="A37" s="3">
        <v>45706</v>
      </c>
      <c r="B37" s="9">
        <v>128532</v>
      </c>
      <c r="C37" s="14">
        <v>131868.91</v>
      </c>
      <c r="D37" s="4">
        <v>1.7754529999999999</v>
      </c>
      <c r="E37" s="49">
        <v>2.5280000000000003E-3</v>
      </c>
      <c r="F37" s="20">
        <f t="shared" si="0"/>
        <v>-1.555790652809641E-4</v>
      </c>
      <c r="G37" s="20">
        <f t="shared" si="2"/>
        <v>5.2522593821045627E-2</v>
      </c>
      <c r="H37" s="20">
        <f t="shared" si="3"/>
        <v>6.8579932326263915E-2</v>
      </c>
      <c r="I37" s="33" t="str">
        <f t="shared" si="1"/>
        <v>022025</v>
      </c>
      <c r="J37" s="35">
        <f t="shared" si="6"/>
        <v>1.679378134037024E-2</v>
      </c>
      <c r="K37" s="35">
        <f t="shared" si="7"/>
        <v>1.9003448685931845E-2</v>
      </c>
      <c r="L37" s="38">
        <f t="shared" si="4"/>
        <v>105.2523101116636</v>
      </c>
      <c r="M37" s="38">
        <f t="shared" si="5"/>
        <v>106.8579932326264</v>
      </c>
    </row>
    <row r="38" spans="1:14" ht="15.75" thickBot="1" x14ac:dyDescent="0.3">
      <c r="A38" s="3">
        <v>45707</v>
      </c>
      <c r="B38" s="9">
        <v>127309</v>
      </c>
      <c r="C38" s="14">
        <v>131184.46</v>
      </c>
      <c r="D38" s="4">
        <v>1.766238</v>
      </c>
      <c r="E38" s="49">
        <v>-5.1900000000000002E-3</v>
      </c>
      <c r="F38" s="20">
        <f t="shared" si="0"/>
        <v>-9.5151401985498207E-3</v>
      </c>
      <c r="G38" s="20">
        <f t="shared" si="2"/>
        <v>4.7059765065758485E-2</v>
      </c>
      <c r="H38" s="20">
        <f t="shared" si="3"/>
        <v>5.8412244456822693E-2</v>
      </c>
      <c r="I38" s="33" t="str">
        <f t="shared" si="1"/>
        <v>022025</v>
      </c>
      <c r="J38" s="35">
        <f t="shared" si="6"/>
        <v>1.1516621615213607E-2</v>
      </c>
      <c r="K38" s="35">
        <f t="shared" si="7"/>
        <v>9.3074880088794831E-3</v>
      </c>
      <c r="L38" s="38">
        <f t="shared" si="4"/>
        <v>104.70605062218407</v>
      </c>
      <c r="M38" s="38">
        <f t="shared" si="5"/>
        <v>105.84122444568227</v>
      </c>
    </row>
    <row r="39" spans="1:14" ht="15.75" thickBot="1" x14ac:dyDescent="0.3">
      <c r="A39" s="3">
        <v>45708</v>
      </c>
      <c r="B39" s="9">
        <v>127601</v>
      </c>
      <c r="C39" s="14">
        <v>131339.37</v>
      </c>
      <c r="D39" s="4">
        <v>1.7683230000000001</v>
      </c>
      <c r="E39" s="49">
        <v>1.1799999999999998E-3</v>
      </c>
      <c r="F39" s="20">
        <f t="shared" si="0"/>
        <v>2.2936320291573331E-3</v>
      </c>
      <c r="G39" s="20">
        <f t="shared" si="2"/>
        <v>4.8295793058680259E-2</v>
      </c>
      <c r="H39" s="20">
        <f t="shared" si="3"/>
        <v>6.0839852680761197E-2</v>
      </c>
      <c r="I39" s="33" t="str">
        <f t="shared" si="1"/>
        <v>022025</v>
      </c>
      <c r="J39" s="35">
        <f t="shared" si="6"/>
        <v>1.2710211228719626E-2</v>
      </c>
      <c r="K39" s="35">
        <f t="shared" si="7"/>
        <v>1.1622467990644925E-2</v>
      </c>
      <c r="L39" s="38">
        <f t="shared" si="4"/>
        <v>104.82960376191824</v>
      </c>
      <c r="M39" s="38">
        <f t="shared" si="5"/>
        <v>106.08398526807612</v>
      </c>
    </row>
    <row r="40" spans="1:14" ht="15.75" thickBot="1" x14ac:dyDescent="0.3">
      <c r="A40" s="3">
        <v>45709</v>
      </c>
      <c r="B40" s="9">
        <v>127128</v>
      </c>
      <c r="C40" s="14">
        <v>130629.04</v>
      </c>
      <c r="D40" s="4">
        <v>1.7587600000000001</v>
      </c>
      <c r="E40" s="49">
        <v>-5.4079999999999996E-3</v>
      </c>
      <c r="F40" s="20">
        <f t="shared" si="0"/>
        <v>-3.7068675010384355E-3</v>
      </c>
      <c r="G40" s="20">
        <f t="shared" si="2"/>
        <v>4.2626663228315431E-2</v>
      </c>
      <c r="H40" s="20">
        <f t="shared" si="3"/>
        <v>5.6907459907052482E-2</v>
      </c>
      <c r="I40" s="33" t="str">
        <f t="shared" si="1"/>
        <v>022025</v>
      </c>
      <c r="J40" s="35">
        <f t="shared" si="6"/>
        <v>7.2334744063946577E-3</v>
      </c>
      <c r="K40" s="35">
        <f t="shared" si="7"/>
        <v>7.8725175407301506E-3</v>
      </c>
      <c r="L40" s="38">
        <f t="shared" si="4"/>
        <v>104.26268526477378</v>
      </c>
      <c r="M40" s="38">
        <f t="shared" si="5"/>
        <v>105.69074599070525</v>
      </c>
    </row>
    <row r="41" spans="1:14" ht="15.75" thickBot="1" x14ac:dyDescent="0.3">
      <c r="A41" s="5">
        <v>45712</v>
      </c>
      <c r="B41" s="10">
        <v>125401</v>
      </c>
      <c r="C41" s="15">
        <v>129656.78</v>
      </c>
      <c r="D41" s="4">
        <v>1.7456689999999999</v>
      </c>
      <c r="E41" s="49">
        <v>-7.443E-3</v>
      </c>
      <c r="F41" s="20">
        <f t="shared" si="0"/>
        <v>-1.3584733496947998E-2</v>
      </c>
      <c r="G41" s="20">
        <f t="shared" si="2"/>
        <v>3.4866067326474459E-2</v>
      </c>
      <c r="H41" s="20">
        <f t="shared" si="3"/>
        <v>4.2549653733279014E-2</v>
      </c>
      <c r="I41" s="33" t="str">
        <f t="shared" si="1"/>
        <v>022025</v>
      </c>
      <c r="J41" s="35">
        <f t="shared" si="6"/>
        <v>-2.6336434361207139E-4</v>
      </c>
      <c r="K41" s="35">
        <f t="shared" si="7"/>
        <v>-5.8191620089587115E-3</v>
      </c>
      <c r="L41" s="38">
        <f t="shared" si="4"/>
        <v>103.48665809834807</v>
      </c>
      <c r="M41" s="38">
        <f t="shared" si="5"/>
        <v>104.25496537332789</v>
      </c>
      <c r="N41" s="19"/>
    </row>
    <row r="42" spans="1:14" ht="16.5" thickTop="1" thickBot="1" x14ac:dyDescent="0.3">
      <c r="A42" s="3">
        <v>45713</v>
      </c>
      <c r="B42" s="9">
        <v>125980</v>
      </c>
      <c r="C42" s="14">
        <v>129567.19</v>
      </c>
      <c r="D42" s="4">
        <v>1.7444630000000001</v>
      </c>
      <c r="E42" s="49">
        <v>-6.9099999999999999E-4</v>
      </c>
      <c r="F42" s="20">
        <f t="shared" ref="F42:F43" si="8">B42/B41-1</f>
        <v>4.6171880607013271E-3</v>
      </c>
      <c r="G42" s="20">
        <f t="shared" ref="G42:G43" si="9">D42/$D$3-1</f>
        <v>3.4151127393877934E-2</v>
      </c>
      <c r="H42" s="20">
        <f t="shared" ref="H42:H43" si="10">B42/$B$3-1</f>
        <v>4.73633015471846E-2</v>
      </c>
      <c r="I42" s="33" t="str">
        <f t="shared" ref="I42:I43" si="11">TEXT(A42,"mmaaaa")</f>
        <v>022025</v>
      </c>
      <c r="J42" s="35">
        <f t="shared" ref="J42:J43" si="12">IF(I42=I41,(1+E42)*(1+J41)-1,E42)</f>
        <v>-9.54182358850586E-4</v>
      </c>
      <c r="K42" s="35">
        <f t="shared" ref="K42:K43" si="13">IF(I42=I41,(1+F42)*(1+K41)-1,F42)</f>
        <v>-1.2288421136084082E-3</v>
      </c>
      <c r="L42" s="38">
        <f t="shared" ref="L42:L43" si="14">L41*(1+E42)</f>
        <v>103.41514881760212</v>
      </c>
      <c r="M42" s="38">
        <f t="shared" ref="M42:M43" si="15">M41*(1+F42)</f>
        <v>104.73633015471844</v>
      </c>
    </row>
    <row r="43" spans="1:14" ht="15.75" thickBot="1" x14ac:dyDescent="0.3">
      <c r="A43" s="5">
        <v>45714</v>
      </c>
      <c r="B43" s="10">
        <v>124769</v>
      </c>
      <c r="C43" s="15">
        <v>129655.75</v>
      </c>
      <c r="D43" s="4">
        <v>1.745655</v>
      </c>
      <c r="E43" s="49">
        <v>6.8300000000000001E-4</v>
      </c>
      <c r="F43" s="20">
        <f t="shared" si="8"/>
        <v>-9.6126369264962763E-3</v>
      </c>
      <c r="G43" s="20">
        <f t="shared" si="9"/>
        <v>3.4857767857936706E-2</v>
      </c>
      <c r="H43" s="20">
        <f t="shared" si="10"/>
        <v>3.7295378399275103E-2</v>
      </c>
      <c r="I43" s="33" t="str">
        <f t="shared" si="11"/>
        <v>022025</v>
      </c>
      <c r="J43" s="35">
        <f t="shared" si="12"/>
        <v>-2.7183406540165489E-4</v>
      </c>
      <c r="K43" s="35">
        <f t="shared" si="13"/>
        <v>-1.0829666627026557E-2</v>
      </c>
      <c r="L43" s="38">
        <f t="shared" si="14"/>
        <v>103.48578136424453</v>
      </c>
      <c r="M43" s="38">
        <f t="shared" si="15"/>
        <v>103.72953783992749</v>
      </c>
    </row>
    <row r="44" spans="1:14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F009-7DC5-4DCA-90FC-4D7FE4FDFD77}">
  <sheetPr>
    <tabColor rgb="FF0070C0"/>
  </sheetPr>
  <dimension ref="B2:Z117"/>
  <sheetViews>
    <sheetView showGridLines="0" tabSelected="1" topLeftCell="A44" zoomScaleNormal="100" workbookViewId="0">
      <selection activeCell="C57" sqref="C57"/>
    </sheetView>
  </sheetViews>
  <sheetFormatPr defaultRowHeight="18" x14ac:dyDescent="0.35"/>
  <cols>
    <col min="1" max="1" width="2.28515625" style="22" customWidth="1"/>
    <col min="2" max="2" width="35.7109375" style="22" bestFit="1" customWidth="1"/>
    <col min="3" max="3" width="47.140625" style="22" bestFit="1" customWidth="1"/>
    <col min="4" max="4" width="36.85546875" style="22" bestFit="1" customWidth="1"/>
    <col min="5" max="5" width="14.28515625" style="22" bestFit="1" customWidth="1"/>
    <col min="6" max="6" width="13.42578125" style="22" customWidth="1"/>
    <col min="7" max="7" width="7.28515625" style="22" bestFit="1" customWidth="1"/>
    <col min="8" max="8" width="9.140625" style="22" bestFit="1" customWidth="1"/>
    <col min="9" max="9" width="17.5703125" style="22" bestFit="1" customWidth="1"/>
    <col min="10" max="10" width="12.85546875" style="22" bestFit="1" customWidth="1"/>
    <col min="11" max="14" width="13.42578125" style="22" customWidth="1"/>
    <col min="15" max="15" width="10.85546875" style="22" bestFit="1" customWidth="1"/>
    <col min="16" max="16" width="15.5703125" style="22" bestFit="1" customWidth="1"/>
    <col min="17" max="26" width="10.42578125" style="22" bestFit="1" customWidth="1"/>
    <col min="27" max="16384" width="9.140625" style="22"/>
  </cols>
  <sheetData>
    <row r="2" spans="2:4" ht="21" x14ac:dyDescent="0.4">
      <c r="B2" s="23" t="s">
        <v>9</v>
      </c>
    </row>
    <row r="4" spans="2:4" x14ac:dyDescent="0.35">
      <c r="B4" s="22" t="s">
        <v>10</v>
      </c>
      <c r="C4" s="24" t="str">
        <f ca="1">TEXT(TODAY(),"mm/aaaa")</f>
        <v>02/2025</v>
      </c>
    </row>
    <row r="5" spans="2:4" x14ac:dyDescent="0.35">
      <c r="C5" s="24"/>
    </row>
    <row r="6" spans="2:4" x14ac:dyDescent="0.35">
      <c r="B6" s="34" t="s">
        <v>101</v>
      </c>
    </row>
    <row r="8" spans="2:4" x14ac:dyDescent="0.35">
      <c r="B8" s="29" t="s">
        <v>11</v>
      </c>
      <c r="C8" s="29" t="s">
        <v>103</v>
      </c>
      <c r="D8" s="29" t="s">
        <v>102</v>
      </c>
    </row>
    <row r="9" spans="2:4" x14ac:dyDescent="0.35">
      <c r="B9" s="44">
        <f>MIN(HistCota!A:A)</f>
        <v>45657</v>
      </c>
      <c r="C9" s="44">
        <f>MAX(HistCota!A:A)</f>
        <v>45714</v>
      </c>
      <c r="D9" s="45">
        <f>_xlfn.XLOOKUP(C9,HistCota!A:A,HistCota!C:C)</f>
        <v>129655.75</v>
      </c>
    </row>
    <row r="11" spans="2:4" s="30" customFormat="1" x14ac:dyDescent="0.35"/>
    <row r="12" spans="2:4" x14ac:dyDescent="0.35">
      <c r="B12" s="21" t="s">
        <v>12</v>
      </c>
    </row>
    <row r="13" spans="2:4" x14ac:dyDescent="0.35">
      <c r="B13" s="21"/>
    </row>
    <row r="14" spans="2:4" x14ac:dyDescent="0.35">
      <c r="C14" s="29" t="s">
        <v>17</v>
      </c>
      <c r="D14" s="31" t="s">
        <v>18</v>
      </c>
    </row>
    <row r="15" spans="2:4" x14ac:dyDescent="0.35">
      <c r="B15" s="21" t="s">
        <v>13</v>
      </c>
      <c r="C15" s="27">
        <f>_xlfn.XLOOKUP(C9,HistCota!A:A,HistCota!D:D)</f>
        <v>1.745655</v>
      </c>
      <c r="D15" s="28" t="s">
        <v>19</v>
      </c>
    </row>
    <row r="16" spans="2:4" x14ac:dyDescent="0.35">
      <c r="B16" s="21" t="s">
        <v>15</v>
      </c>
      <c r="C16" s="27">
        <f>MAX(HistCota!D:D)</f>
        <v>1.7754529999999999</v>
      </c>
      <c r="D16" s="32">
        <f>C16/$C$15-1</f>
        <v>1.7069810472286839E-2</v>
      </c>
    </row>
    <row r="17" spans="2:26" x14ac:dyDescent="0.35">
      <c r="B17" s="21" t="s">
        <v>14</v>
      </c>
      <c r="C17" s="27">
        <f>AVERAGE(HistCota!D:D)</f>
        <v>1.7273453170731703</v>
      </c>
      <c r="D17" s="32">
        <v>0.01</v>
      </c>
    </row>
    <row r="18" spans="2:26" x14ac:dyDescent="0.35">
      <c r="B18" s="21" t="s">
        <v>16</v>
      </c>
      <c r="C18" s="27">
        <f>MIN(HistCota!D:D)</f>
        <v>1.676984</v>
      </c>
      <c r="D18" s="32">
        <f t="shared" ref="D18" si="0">C18/$C$15-1</f>
        <v>-3.9338242665360568E-2</v>
      </c>
    </row>
    <row r="19" spans="2:26" s="30" customFormat="1" x14ac:dyDescent="0.35"/>
    <row r="20" spans="2:26" x14ac:dyDescent="0.35">
      <c r="B20" s="21" t="s">
        <v>38</v>
      </c>
      <c r="C20" s="25"/>
    </row>
    <row r="21" spans="2:26" x14ac:dyDescent="0.35">
      <c r="B21" s="21"/>
      <c r="C21" s="25"/>
      <c r="D21" s="25"/>
    </row>
    <row r="22" spans="2:26" hidden="1" x14ac:dyDescent="0.35">
      <c r="C22" s="28" t="s">
        <v>22</v>
      </c>
      <c r="D22" s="28" t="s">
        <v>23</v>
      </c>
      <c r="E22" s="28" t="s">
        <v>24</v>
      </c>
      <c r="F22" s="28" t="s">
        <v>25</v>
      </c>
      <c r="G22" s="28" t="s">
        <v>26</v>
      </c>
      <c r="H22" s="28" t="s">
        <v>27</v>
      </c>
      <c r="I22" s="28" t="s">
        <v>28</v>
      </c>
      <c r="J22" s="28" t="s">
        <v>29</v>
      </c>
      <c r="K22" s="28" t="s">
        <v>30</v>
      </c>
      <c r="L22" s="28" t="s">
        <v>31</v>
      </c>
      <c r="M22" s="28" t="s">
        <v>32</v>
      </c>
      <c r="N22" s="28" t="s">
        <v>33</v>
      </c>
    </row>
    <row r="23" spans="2:26" x14ac:dyDescent="0.35">
      <c r="B23" s="41" t="s">
        <v>104</v>
      </c>
      <c r="C23" s="29" t="s">
        <v>42</v>
      </c>
      <c r="D23" s="29" t="s">
        <v>43</v>
      </c>
      <c r="E23" s="29" t="s">
        <v>44</v>
      </c>
      <c r="F23" s="29" t="s">
        <v>45</v>
      </c>
      <c r="G23" s="29" t="s">
        <v>46</v>
      </c>
      <c r="H23" s="29" t="s">
        <v>47</v>
      </c>
      <c r="I23" s="29" t="s">
        <v>48</v>
      </c>
      <c r="J23" s="29" t="s">
        <v>49</v>
      </c>
      <c r="K23" s="29" t="s">
        <v>50</v>
      </c>
      <c r="L23" s="29" t="s">
        <v>51</v>
      </c>
      <c r="M23" s="29" t="s">
        <v>52</v>
      </c>
      <c r="N23" s="29" t="s">
        <v>53</v>
      </c>
      <c r="O23" s="29" t="s">
        <v>41</v>
      </c>
    </row>
    <row r="24" spans="2:26" x14ac:dyDescent="0.35">
      <c r="B24" s="34" t="s">
        <v>55</v>
      </c>
      <c r="C24" s="32">
        <f>_xlfn.XLOOKUP(C22,HistCota!$I:$I,HistCota!$J:$J,"-",,-1)</f>
        <v>3.5139199739367299E-2</v>
      </c>
      <c r="D24" s="32">
        <f>_xlfn.XLOOKUP(D22,HistCota!$I:$I,HistCota!$J:$J,"-",,-1)</f>
        <v>-2.7183406540165489E-4</v>
      </c>
      <c r="E24" s="32" t="str">
        <f>_xlfn.XLOOKUP(E22,HistCota!$I:$I,HistCota!$J:$J,"-",,-1)</f>
        <v>-</v>
      </c>
      <c r="F24" s="32" t="str">
        <f>_xlfn.XLOOKUP(F22,HistCota!$I:$I,HistCota!$J:$J,"-",,-1)</f>
        <v>-</v>
      </c>
      <c r="G24" s="32" t="str">
        <f>_xlfn.XLOOKUP(G22,HistCota!$I:$I,HistCota!$J:$J,"-",,-1)</f>
        <v>-</v>
      </c>
      <c r="H24" s="32" t="str">
        <f>_xlfn.XLOOKUP(H22,HistCota!$I:$I,HistCota!$J:$J,"-",,-1)</f>
        <v>-</v>
      </c>
      <c r="I24" s="32" t="str">
        <f>_xlfn.XLOOKUP(I22,HistCota!$I:$I,HistCota!$J:$J,"-",,-1)</f>
        <v>-</v>
      </c>
      <c r="J24" s="32" t="str">
        <f>_xlfn.XLOOKUP(J22,HistCota!$I:$I,HistCota!$J:$J,"-",,-1)</f>
        <v>-</v>
      </c>
      <c r="K24" s="32" t="str">
        <f>_xlfn.XLOOKUP(K22,HistCota!$I:$I,HistCota!$J:$J,"-",,-1)</f>
        <v>-</v>
      </c>
      <c r="L24" s="32" t="str">
        <f>_xlfn.XLOOKUP(L22,HistCota!$I:$I,HistCota!$J:$J,"-",,-1)</f>
        <v>-</v>
      </c>
      <c r="M24" s="32" t="str">
        <f>_xlfn.XLOOKUP(M22,HistCota!$I:$I,HistCota!$J:$J,"-",,-1)</f>
        <v>-</v>
      </c>
      <c r="N24" s="32" t="str">
        <f>_xlfn.XLOOKUP(N22,HistCota!$I:$I,HistCota!$J:$J,"-",,-1)</f>
        <v>-</v>
      </c>
      <c r="O24" s="25" cm="1">
        <f t="array" ref="O24">EXP(SUM(LN(1+_xlfn._xlws.FILTER(C24:N24,C24:N24&lt;&gt;"-"))))-1</f>
        <v>3.4857813642445556E-2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2:26" x14ac:dyDescent="0.35">
      <c r="B25" s="34" t="s">
        <v>56</v>
      </c>
      <c r="C25" s="32">
        <f>_xlfn.XLOOKUP(C22,HistCota!$I:$I,HistCota!$K:$K,"-",,-1)</f>
        <v>4.8651929200302479E-2</v>
      </c>
      <c r="D25" s="32">
        <f>_xlfn.XLOOKUP(D22,HistCota!$I:$I,HistCota!$K:$K,"-",,-1)</f>
        <v>-1.0829666627026557E-2</v>
      </c>
      <c r="E25" s="32" t="str">
        <f>_xlfn.XLOOKUP(E22,HistCota!$I:$I,HistCota!$K:$K,"-",,-1)</f>
        <v>-</v>
      </c>
      <c r="F25" s="32" t="str">
        <f>_xlfn.XLOOKUP(F22,HistCota!$I:$I,HistCota!$K:$K,"-",,-1)</f>
        <v>-</v>
      </c>
      <c r="G25" s="32" t="str">
        <f>_xlfn.XLOOKUP(G22,HistCota!$I:$I,HistCota!$K:$K,"-",,-1)</f>
        <v>-</v>
      </c>
      <c r="H25" s="32" t="str">
        <f>_xlfn.XLOOKUP(H22,HistCota!$I:$I,HistCota!$K:$K,"-",,-1)</f>
        <v>-</v>
      </c>
      <c r="I25" s="32" t="str">
        <f>_xlfn.XLOOKUP(I22,HistCota!$I:$I,HistCota!$K:$K,"-",,-1)</f>
        <v>-</v>
      </c>
      <c r="J25" s="32" t="str">
        <f>_xlfn.XLOOKUP(J22,HistCota!$I:$I,HistCota!$K:$K,"-",,-1)</f>
        <v>-</v>
      </c>
      <c r="K25" s="32" t="str">
        <f>_xlfn.XLOOKUP(K22,HistCota!$I:$I,HistCota!$K:$K,"-",,-1)</f>
        <v>-</v>
      </c>
      <c r="L25" s="32" t="str">
        <f>_xlfn.XLOOKUP(L22,HistCota!$I:$I,HistCota!$K:$K,"-",,-1)</f>
        <v>-</v>
      </c>
      <c r="M25" s="32" t="str">
        <f>_xlfn.XLOOKUP(M22,HistCota!$I:$I,HistCota!$K:$K,"-",,-1)</f>
        <v>-</v>
      </c>
      <c r="N25" s="32" t="str">
        <f>_xlfn.XLOOKUP(N22,HistCota!$I:$I,HistCota!$K:$K,"-",,-1)</f>
        <v>-</v>
      </c>
      <c r="O25" s="25" cm="1">
        <f t="array" ref="O25">EXP(SUM(LN(1+_xlfn._xlws.FILTER(C25:N25,C25:N25&lt;&gt;"-"))))-1</f>
        <v>3.7295378399274881E-2</v>
      </c>
    </row>
    <row r="26" spans="2:26" x14ac:dyDescent="0.35">
      <c r="B26" s="34" t="s">
        <v>34</v>
      </c>
      <c r="C26" s="32">
        <f>IFERROR((1+C24)/(1+C25),"-")</f>
        <v>0.98711419005232759</v>
      </c>
      <c r="D26" s="32">
        <f t="shared" ref="D26:N26" si="1">IFERROR((1+D24)/(1+D25),"-")</f>
        <v>1.0106734221654463</v>
      </c>
      <c r="E26" s="32" t="str">
        <f t="shared" si="1"/>
        <v>-</v>
      </c>
      <c r="F26" s="32" t="str">
        <f t="shared" si="1"/>
        <v>-</v>
      </c>
      <c r="G26" s="32" t="str">
        <f t="shared" si="1"/>
        <v>-</v>
      </c>
      <c r="H26" s="32" t="str">
        <f t="shared" si="1"/>
        <v>-</v>
      </c>
      <c r="I26" s="32" t="str">
        <f t="shared" si="1"/>
        <v>-</v>
      </c>
      <c r="J26" s="32" t="str">
        <f t="shared" si="1"/>
        <v>-</v>
      </c>
      <c r="K26" s="32" t="str">
        <f t="shared" si="1"/>
        <v>-</v>
      </c>
      <c r="L26" s="32" t="str">
        <f t="shared" si="1"/>
        <v>-</v>
      </c>
      <c r="M26" s="32" t="str">
        <f t="shared" si="1"/>
        <v>-</v>
      </c>
      <c r="N26" s="32" t="str">
        <f t="shared" si="1"/>
        <v>-</v>
      </c>
      <c r="O26" s="32">
        <f>IFERROR((1+O24)/(1+O25),"-")</f>
        <v>0.99765007652825866</v>
      </c>
    </row>
    <row r="27" spans="2:26" s="30" customFormat="1" x14ac:dyDescent="0.35">
      <c r="C27" s="40"/>
      <c r="D27" s="40"/>
    </row>
    <row r="28" spans="2:26" x14ac:dyDescent="0.35">
      <c r="B28" s="21" t="s">
        <v>39</v>
      </c>
    </row>
    <row r="30" spans="2:26" x14ac:dyDescent="0.35">
      <c r="B30" s="25"/>
      <c r="C30" s="25"/>
    </row>
    <row r="31" spans="2:26" x14ac:dyDescent="0.35">
      <c r="B31" s="25"/>
      <c r="C31" s="25"/>
    </row>
    <row r="32" spans="2:26" x14ac:dyDescent="0.35">
      <c r="B32" s="25"/>
      <c r="C32" s="25"/>
    </row>
    <row r="33" spans="2:3" x14ac:dyDescent="0.35">
      <c r="B33" s="25"/>
      <c r="C33" s="25"/>
    </row>
    <row r="34" spans="2:3" x14ac:dyDescent="0.35">
      <c r="B34" s="25"/>
      <c r="C34" s="25"/>
    </row>
    <row r="35" spans="2:3" x14ac:dyDescent="0.35">
      <c r="B35" s="25"/>
      <c r="C35" s="25"/>
    </row>
    <row r="36" spans="2:3" x14ac:dyDescent="0.35">
      <c r="B36" s="25"/>
      <c r="C36" s="25"/>
    </row>
    <row r="37" spans="2:3" x14ac:dyDescent="0.35">
      <c r="B37" s="25"/>
      <c r="C37" s="25"/>
    </row>
    <row r="38" spans="2:3" x14ac:dyDescent="0.35">
      <c r="B38" s="25"/>
      <c r="C38" s="25"/>
    </row>
    <row r="39" spans="2:3" x14ac:dyDescent="0.35">
      <c r="B39" s="25"/>
      <c r="C39" s="25"/>
    </row>
    <row r="40" spans="2:3" x14ac:dyDescent="0.35">
      <c r="B40" s="25"/>
      <c r="C40" s="25"/>
    </row>
    <row r="41" spans="2:3" x14ac:dyDescent="0.35">
      <c r="B41" s="25"/>
      <c r="C41" s="25"/>
    </row>
    <row r="42" spans="2:3" x14ac:dyDescent="0.35">
      <c r="B42" s="25"/>
      <c r="C42" s="25"/>
    </row>
    <row r="43" spans="2:3" x14ac:dyDescent="0.35">
      <c r="B43" s="25"/>
      <c r="C43" s="25"/>
    </row>
    <row r="44" spans="2:3" x14ac:dyDescent="0.35">
      <c r="B44" s="25"/>
      <c r="C44" s="25"/>
    </row>
    <row r="45" spans="2:3" x14ac:dyDescent="0.35">
      <c r="B45" s="25"/>
      <c r="C45" s="25"/>
    </row>
    <row r="46" spans="2:3" x14ac:dyDescent="0.35">
      <c r="B46" s="25"/>
      <c r="C46" s="25"/>
    </row>
    <row r="47" spans="2:3" x14ac:dyDescent="0.35">
      <c r="B47" s="25"/>
      <c r="C47" s="25"/>
    </row>
    <row r="48" spans="2:3" s="30" customFormat="1" x14ac:dyDescent="0.35">
      <c r="B48" s="40"/>
      <c r="C48" s="40"/>
    </row>
    <row r="49" spans="2:10" x14ac:dyDescent="0.35">
      <c r="C49" s="25"/>
    </row>
    <row r="50" spans="2:10" x14ac:dyDescent="0.35">
      <c r="B50" s="39" t="s">
        <v>37</v>
      </c>
      <c r="C50" s="25"/>
    </row>
    <row r="51" spans="2:10" x14ac:dyDescent="0.35">
      <c r="B51" s="25"/>
      <c r="C51" s="25"/>
    </row>
    <row r="52" spans="2:10" x14ac:dyDescent="0.35">
      <c r="B52" s="39" t="s">
        <v>40</v>
      </c>
      <c r="C52" s="26">
        <f>_xlfn.COVARIANCE.P(HistCota!E:E,HistCota!F:F)/_xlfn.VAR.P(HistCota!F:F)</f>
        <v>0.53969514381825712</v>
      </c>
    </row>
    <row r="53" spans="2:10" x14ac:dyDescent="0.35">
      <c r="B53" s="39" t="s">
        <v>57</v>
      </c>
      <c r="C53" s="25">
        <f>_xlfn.STDEV.P(HistCota!E:E)</f>
        <v>6.3577236538165634E-3</v>
      </c>
    </row>
    <row r="54" spans="2:10" x14ac:dyDescent="0.35">
      <c r="B54" s="39" t="s">
        <v>58</v>
      </c>
      <c r="C54" s="25">
        <f>_xlfn.STDEV.P(HistCota!F:F)</f>
        <v>1.0793591236557877E-2</v>
      </c>
    </row>
    <row r="55" spans="2:10" x14ac:dyDescent="0.35">
      <c r="B55" s="39" t="s">
        <v>59</v>
      </c>
      <c r="C55" s="25">
        <v>0.13250000000000001</v>
      </c>
      <c r="D55" s="25"/>
    </row>
    <row r="56" spans="2:10" x14ac:dyDescent="0.35">
      <c r="B56" s="39" t="s">
        <v>60</v>
      </c>
      <c r="C56" s="25">
        <f>(1+C55)^(COUNTIF(C24:N24,"&lt;&gt;"&amp;"-")/12)-1</f>
        <v>2.0954454764007924E-2</v>
      </c>
    </row>
    <row r="57" spans="2:10" x14ac:dyDescent="0.35">
      <c r="B57" s="39" t="s">
        <v>61</v>
      </c>
      <c r="C57" s="60">
        <f>($O$24-$C$56)/$C$53</f>
        <v>2.1868454238477946</v>
      </c>
    </row>
    <row r="58" spans="2:10" x14ac:dyDescent="0.35">
      <c r="B58" s="39" t="s">
        <v>62</v>
      </c>
      <c r="C58" s="26">
        <f>($O$25-$C$56)/$C$54</f>
        <v>1.5139468669074916</v>
      </c>
    </row>
    <row r="59" spans="2:10" s="30" customFormat="1" x14ac:dyDescent="0.35">
      <c r="B59" s="40"/>
      <c r="C59" s="40"/>
    </row>
    <row r="60" spans="2:10" x14ac:dyDescent="0.35">
      <c r="B60" s="25"/>
      <c r="C60" s="25"/>
    </row>
    <row r="61" spans="2:10" x14ac:dyDescent="0.35">
      <c r="B61" s="39" t="s">
        <v>63</v>
      </c>
      <c r="C61" s="25"/>
    </row>
    <row r="62" spans="2:10" x14ac:dyDescent="0.35">
      <c r="B62" s="39"/>
      <c r="C62" s="25"/>
    </row>
    <row r="63" spans="2:10" x14ac:dyDescent="0.35">
      <c r="B63" s="46" t="s">
        <v>72</v>
      </c>
      <c r="C63" s="46" t="s">
        <v>88</v>
      </c>
      <c r="D63" s="29" t="s">
        <v>73</v>
      </c>
      <c r="E63" s="41" t="s">
        <v>98</v>
      </c>
      <c r="J63" s="51" t="s">
        <v>99</v>
      </c>
    </row>
    <row r="64" spans="2:10" x14ac:dyDescent="0.35">
      <c r="B64" t="s">
        <v>64</v>
      </c>
      <c r="C64" s="25" t="str">
        <f>_xlfn.XLOOKUP(B64,'Cadastro Ações'!A:A,'Cadastro Ações'!B:B)</f>
        <v>Banco do Brasil S.A.</v>
      </c>
      <c r="D64" s="22" t="str">
        <f>_xlfn.XLOOKUP(B64,'Cadastro Ações'!A:A,'Cadastro Ações'!C:C)</f>
        <v>Intermediários Financeiros</v>
      </c>
      <c r="E64" s="25">
        <f t="shared" ref="E64:E72" si="2">J64/$D$9</f>
        <v>0.10917595247414789</v>
      </c>
      <c r="J64" s="52">
        <v>14155.29</v>
      </c>
    </row>
    <row r="65" spans="2:10" x14ac:dyDescent="0.35">
      <c r="B65" t="s">
        <v>65</v>
      </c>
      <c r="C65" s="25" t="str">
        <f>_xlfn.XLOOKUP(B65,'Cadastro Ações'!A:A,'Cadastro Ações'!B:B)</f>
        <v>BB Seguridade</v>
      </c>
      <c r="D65" s="22" t="str">
        <f>_xlfn.XLOOKUP(B65,'Cadastro Ações'!A:A,'Cadastro Ações'!C:C)</f>
        <v>Previdência e Seguros</v>
      </c>
      <c r="E65" s="25">
        <f t="shared" si="2"/>
        <v>5.1468754760201532E-2</v>
      </c>
      <c r="J65" s="52">
        <v>6673.22</v>
      </c>
    </row>
    <row r="66" spans="2:10" x14ac:dyDescent="0.35">
      <c r="B66" t="s">
        <v>66</v>
      </c>
      <c r="C66" s="25" t="str">
        <f>_xlfn.XLOOKUP(B66,'Cadastro Ações'!A:A,'Cadastro Ações'!B:B)</f>
        <v>Banco BTG Pactual S.A.</v>
      </c>
      <c r="D66" s="22" t="str">
        <f>_xlfn.XLOOKUP(B66,'Cadastro Ações'!A:A,'Cadastro Ações'!C:C)</f>
        <v>Intermediários Financeiros</v>
      </c>
      <c r="E66" s="25">
        <f t="shared" si="2"/>
        <v>0.10774624341766563</v>
      </c>
      <c r="J66" s="52">
        <v>13969.92</v>
      </c>
    </row>
    <row r="67" spans="2:10" x14ac:dyDescent="0.35">
      <c r="B67" t="s">
        <v>67</v>
      </c>
      <c r="C67" s="25" t="str">
        <f>_xlfn.XLOOKUP(B67,'Cadastro Ações'!A:A,'Cadastro Ações'!B:B)</f>
        <v>Engie Brasil</v>
      </c>
      <c r="D67" s="22" t="str">
        <f>_xlfn.XLOOKUP(B67,'Cadastro Ações'!A:A,'Cadastro Ações'!C:C)</f>
        <v>Energia Elétrica</v>
      </c>
      <c r="E67" s="25">
        <f t="shared" si="2"/>
        <v>8.1298361237353525E-2</v>
      </c>
      <c r="J67" s="52">
        <v>10540.8</v>
      </c>
    </row>
    <row r="68" spans="2:10" x14ac:dyDescent="0.35">
      <c r="B68" t="s">
        <v>68</v>
      </c>
      <c r="C68" s="25" t="str">
        <f>_xlfn.XLOOKUP(B68,'Cadastro Ações'!A:A,'Cadastro Ações'!B:B)</f>
        <v>Centrais Eletricas Brasileiras S.A.</v>
      </c>
      <c r="D68" s="22" t="str">
        <f>_xlfn.XLOOKUP(B68,'Cadastro Ações'!A:A,'Cadastro Ações'!C:C)</f>
        <v>Energia Elétrica</v>
      </c>
      <c r="E68" s="25">
        <f t="shared" si="2"/>
        <v>0.10920487521764365</v>
      </c>
      <c r="J68" s="52">
        <v>14159.04</v>
      </c>
    </row>
    <row r="69" spans="2:10" x14ac:dyDescent="0.35">
      <c r="B69" t="s">
        <v>69</v>
      </c>
      <c r="C69" s="25" t="str">
        <f>_xlfn.XLOOKUP(B69,'Cadastro Ações'!A:A,'Cadastro Ações'!B:B)</f>
        <v>iShares S&amp;P 500 FIC de Fundo de Indice IE</v>
      </c>
      <c r="D69" s="22" t="str">
        <f>_xlfn.XLOOKUP(B69,'Cadastro Ações'!A:A,'Cadastro Ações'!C:C)</f>
        <v>Fundos de índice</v>
      </c>
      <c r="E69" s="25">
        <f t="shared" si="2"/>
        <v>7.7655638103207913E-2</v>
      </c>
      <c r="J69" s="52">
        <v>10068.5</v>
      </c>
    </row>
    <row r="70" spans="2:10" x14ac:dyDescent="0.35">
      <c r="B70" t="s">
        <v>70</v>
      </c>
      <c r="C70" s="25" t="str">
        <f>_xlfn.XLOOKUP(B70,'Cadastro Ações'!A:A,'Cadastro Ações'!B:B)</f>
        <v>Petro Rio S.A.</v>
      </c>
      <c r="D70" s="22" t="str">
        <f>_xlfn.XLOOKUP(B70,'Cadastro Ações'!A:A,'Cadastro Ações'!C:C)</f>
        <v>Petróleo, Gás e Biocombustíveis</v>
      </c>
      <c r="E70" s="25">
        <f t="shared" si="2"/>
        <v>9.1218939383714184E-2</v>
      </c>
      <c r="J70" s="52">
        <v>11827.06</v>
      </c>
    </row>
    <row r="71" spans="2:10" x14ac:dyDescent="0.35">
      <c r="B71" t="s">
        <v>71</v>
      </c>
      <c r="C71" s="25" t="str">
        <f>_xlfn.XLOOKUP(B71,'Cadastro Ações'!A:A,'Cadastro Ações'!B:B)</f>
        <v>Investo ETF MSCI US Technology</v>
      </c>
      <c r="D71" s="22" t="str">
        <f>_xlfn.XLOOKUP(B71,'Cadastro Ações'!A:A,'Cadastro Ações'!C:C)</f>
        <v>Fundos de índice</v>
      </c>
      <c r="E71" s="25">
        <f t="shared" si="2"/>
        <v>8.632860478613559E-2</v>
      </c>
      <c r="J71" s="52">
        <v>11193</v>
      </c>
    </row>
    <row r="72" spans="2:10" x14ac:dyDescent="0.35">
      <c r="B72" t="s">
        <v>75</v>
      </c>
      <c r="C72" s="25" t="str">
        <f>_xlfn.XLOOKUP(B72,'Cadastro Ações'!A:A,'Cadastro Ações'!B:B)</f>
        <v>Vale S.A.</v>
      </c>
      <c r="D72" s="22" t="str">
        <f>_xlfn.XLOOKUP(B72,'Cadastro Ações'!A:A,'Cadastro Ações'!C:C)</f>
        <v>Mineração</v>
      </c>
      <c r="E72" s="25">
        <f t="shared" si="2"/>
        <v>0.11334360412091249</v>
      </c>
      <c r="J72" s="52">
        <v>14695.65</v>
      </c>
    </row>
    <row r="73" spans="2:10" x14ac:dyDescent="0.35">
      <c r="B73"/>
      <c r="C73" s="25"/>
      <c r="E73" s="25"/>
      <c r="J73" s="43"/>
    </row>
    <row r="74" spans="2:10" x14ac:dyDescent="0.35">
      <c r="B74"/>
      <c r="C74" s="25"/>
      <c r="E74" s="25"/>
      <c r="J74" s="43"/>
    </row>
    <row r="75" spans="2:10" x14ac:dyDescent="0.35">
      <c r="B75" s="46" t="s">
        <v>72</v>
      </c>
      <c r="C75" s="46" t="s">
        <v>88</v>
      </c>
      <c r="D75" s="29" t="s">
        <v>73</v>
      </c>
      <c r="E75" s="41" t="s">
        <v>98</v>
      </c>
      <c r="J75" s="43"/>
    </row>
    <row r="76" spans="2:10" x14ac:dyDescent="0.35">
      <c r="B76" t="str" cm="1">
        <f t="array" ref="B76:E84">_xlfn.SORTBY(B64:E72,E64:E72,-1)</f>
        <v>VALE3</v>
      </c>
      <c r="C76" s="25" t="str">
        <v>Vale S.A.</v>
      </c>
      <c r="D76" s="22" t="str">
        <v>Mineração</v>
      </c>
      <c r="E76" s="25">
        <v>0.11334360412091249</v>
      </c>
      <c r="J76" s="43"/>
    </row>
    <row r="77" spans="2:10" x14ac:dyDescent="0.35">
      <c r="B77" t="str">
        <v>ELET6</v>
      </c>
      <c r="C77" s="25" t="str">
        <v>Centrais Eletricas Brasileiras S.A.</v>
      </c>
      <c r="D77" s="22" t="str">
        <v>Energia Elétrica</v>
      </c>
      <c r="E77" s="25">
        <v>0.10920487521764365</v>
      </c>
      <c r="J77" s="43"/>
    </row>
    <row r="78" spans="2:10" x14ac:dyDescent="0.35">
      <c r="B78" t="str">
        <v>BBAS3</v>
      </c>
      <c r="C78" s="25" t="str">
        <v>Banco do Brasil S.A.</v>
      </c>
      <c r="D78" s="22" t="str">
        <v>Intermediários Financeiros</v>
      </c>
      <c r="E78" s="25">
        <v>0.10917595247414789</v>
      </c>
      <c r="J78" s="43"/>
    </row>
    <row r="79" spans="2:10" x14ac:dyDescent="0.35">
      <c r="B79" t="str">
        <v>BPAC11</v>
      </c>
      <c r="C79" s="25" t="str">
        <v>Banco BTG Pactual S.A.</v>
      </c>
      <c r="D79" s="22" t="str">
        <v>Intermediários Financeiros</v>
      </c>
      <c r="E79" s="25">
        <v>0.10774624341766563</v>
      </c>
      <c r="J79" s="43"/>
    </row>
    <row r="80" spans="2:10" x14ac:dyDescent="0.35">
      <c r="B80" t="str">
        <v>PRIO3</v>
      </c>
      <c r="C80" s="25" t="str">
        <v>Petro Rio S.A.</v>
      </c>
      <c r="D80" s="22" t="str">
        <v>Petróleo, Gás e Biocombustíveis</v>
      </c>
      <c r="E80" s="25">
        <v>9.1218939383714184E-2</v>
      </c>
      <c r="J80" s="43"/>
    </row>
    <row r="81" spans="2:10" x14ac:dyDescent="0.35">
      <c r="B81" t="str">
        <v>USTK11</v>
      </c>
      <c r="C81" s="25" t="str">
        <v>Investo ETF MSCI US Technology</v>
      </c>
      <c r="D81" s="22" t="str">
        <v>Fundos de índice</v>
      </c>
      <c r="E81" s="25">
        <v>8.632860478613559E-2</v>
      </c>
      <c r="J81" s="43"/>
    </row>
    <row r="82" spans="2:10" x14ac:dyDescent="0.35">
      <c r="B82" t="str">
        <v>EGIE3</v>
      </c>
      <c r="C82" s="25" t="str">
        <v>Engie Brasil</v>
      </c>
      <c r="D82" s="22" t="str">
        <v>Energia Elétrica</v>
      </c>
      <c r="E82" s="25">
        <v>8.1298361237353525E-2</v>
      </c>
      <c r="J82" s="43"/>
    </row>
    <row r="83" spans="2:10" x14ac:dyDescent="0.35">
      <c r="B83" t="str">
        <v>IVVB11</v>
      </c>
      <c r="C83" s="25" t="str">
        <v>iShares S&amp;P 500 FIC de Fundo de Indice IE</v>
      </c>
      <c r="D83" s="22" t="str">
        <v>Fundos de índice</v>
      </c>
      <c r="E83" s="25">
        <v>7.7655638103207913E-2</v>
      </c>
      <c r="J83" s="43"/>
    </row>
    <row r="84" spans="2:10" x14ac:dyDescent="0.35">
      <c r="B84" t="str">
        <v>BBSE3</v>
      </c>
      <c r="C84" s="25" t="str">
        <v>BB Seguridade</v>
      </c>
      <c r="D84" s="22" t="str">
        <v>Previdência e Seguros</v>
      </c>
      <c r="E84" s="25">
        <v>5.1468754760201532E-2</v>
      </c>
      <c r="J84" s="43"/>
    </row>
    <row r="86" spans="2:10" x14ac:dyDescent="0.35">
      <c r="B86" s="21" t="s">
        <v>100</v>
      </c>
    </row>
    <row r="89" spans="2:10" x14ac:dyDescent="0.35">
      <c r="B89" s="21" t="s">
        <v>73</v>
      </c>
      <c r="C89" s="21" t="s">
        <v>98</v>
      </c>
    </row>
    <row r="90" spans="2:10" x14ac:dyDescent="0.35">
      <c r="B90" s="22" t="str" cm="1">
        <f t="array" ref="B90:B95">_xlfn.UNIQUE(D64:D72)</f>
        <v>Intermediários Financeiros</v>
      </c>
      <c r="C90" s="25" cm="1">
        <f t="array" ref="C90:C95">SUMIF($D$64:$D$72,_xlfn.ANCHORARRAY(B90),$E$64:$E$72)</f>
        <v>0.21692219589181352</v>
      </c>
    </row>
    <row r="91" spans="2:10" x14ac:dyDescent="0.35">
      <c r="B91" s="22" t="str">
        <v>Previdência e Seguros</v>
      </c>
      <c r="C91" s="25">
        <v>5.1468754760201532E-2</v>
      </c>
    </row>
    <row r="92" spans="2:10" x14ac:dyDescent="0.35">
      <c r="B92" s="22" t="str">
        <v>Energia Elétrica</v>
      </c>
      <c r="C92" s="25">
        <v>0.19050323645499717</v>
      </c>
    </row>
    <row r="93" spans="2:10" x14ac:dyDescent="0.35">
      <c r="B93" s="22" t="str">
        <v>Fundos de índice</v>
      </c>
      <c r="C93" s="25">
        <v>0.16398424288934349</v>
      </c>
    </row>
    <row r="94" spans="2:10" x14ac:dyDescent="0.35">
      <c r="B94" s="22" t="str">
        <v>Petróleo, Gás e Biocombustíveis</v>
      </c>
      <c r="C94" s="25">
        <v>9.1218939383714184E-2</v>
      </c>
    </row>
    <row r="95" spans="2:10" x14ac:dyDescent="0.35">
      <c r="B95" s="22" t="str">
        <v>Mineração</v>
      </c>
      <c r="C95" s="25">
        <v>0.11334360412091249</v>
      </c>
    </row>
    <row r="98" spans="2:10" s="30" customFormat="1" x14ac:dyDescent="0.35">
      <c r="B98" s="41"/>
      <c r="C98" s="41"/>
    </row>
    <row r="99" spans="2:10" x14ac:dyDescent="0.35">
      <c r="C99" s="25"/>
    </row>
    <row r="100" spans="2:10" x14ac:dyDescent="0.35">
      <c r="B100" s="21" t="s">
        <v>110</v>
      </c>
      <c r="C100" s="25"/>
    </row>
    <row r="101" spans="2:10" x14ac:dyDescent="0.35">
      <c r="C101" s="25"/>
    </row>
    <row r="102" spans="2:10" x14ac:dyDescent="0.35">
      <c r="B102" s="56" t="s">
        <v>105</v>
      </c>
      <c r="C102" s="57" t="s">
        <v>106</v>
      </c>
      <c r="D102" s="57" t="s">
        <v>107</v>
      </c>
      <c r="E102" s="57" t="s">
        <v>108</v>
      </c>
      <c r="F102" s="57" t="s">
        <v>109</v>
      </c>
      <c r="G102" s="58" t="s">
        <v>21</v>
      </c>
      <c r="H102" s="59" t="str">
        <f>"% "&amp;C102</f>
        <v>% Ações</v>
      </c>
      <c r="I102" s="59" t="str">
        <f t="shared" ref="I102:J102" si="3">"% "&amp;D102</f>
        <v>% Títulos públicos</v>
      </c>
      <c r="J102" s="59" t="str">
        <f t="shared" si="3"/>
        <v>% Caixa</v>
      </c>
    </row>
    <row r="103" spans="2:10" x14ac:dyDescent="0.35">
      <c r="B103" s="53">
        <v>45658</v>
      </c>
      <c r="C103" s="16">
        <v>97071.72</v>
      </c>
      <c r="D103" s="16">
        <v>15980.99</v>
      </c>
      <c r="E103" s="16">
        <v>2784.12</v>
      </c>
      <c r="F103" s="16">
        <v>117435</v>
      </c>
      <c r="G103" s="54">
        <f>B103</f>
        <v>45658</v>
      </c>
      <c r="H103" s="55">
        <f>$C103/$F103</f>
        <v>0.82659956571720528</v>
      </c>
      <c r="I103" s="55">
        <f>$D103/$F103</f>
        <v>0.13608370587984842</v>
      </c>
      <c r="J103" s="55">
        <f>$E103/$F103</f>
        <v>2.3707753225188401E-2</v>
      </c>
    </row>
    <row r="104" spans="2:10" x14ac:dyDescent="0.35">
      <c r="B104" s="53"/>
      <c r="C104" s="16"/>
      <c r="D104" s="16"/>
      <c r="E104" s="16"/>
      <c r="F104" s="16"/>
      <c r="G104" s="54"/>
      <c r="H104" s="55"/>
      <c r="I104" s="55"/>
      <c r="J104" s="55"/>
    </row>
    <row r="105" spans="2:10" x14ac:dyDescent="0.35">
      <c r="B105" s="53"/>
      <c r="C105" s="16"/>
      <c r="D105" s="16"/>
      <c r="E105" s="16"/>
      <c r="F105" s="16"/>
      <c r="G105" s="54"/>
      <c r="H105" s="55"/>
      <c r="I105" s="55"/>
      <c r="J105" s="55"/>
    </row>
    <row r="106" spans="2:10" x14ac:dyDescent="0.35">
      <c r="B106" s="53"/>
      <c r="C106" s="16"/>
      <c r="D106" s="16"/>
      <c r="E106" s="16"/>
      <c r="F106" s="16"/>
      <c r="G106" s="54"/>
      <c r="H106" s="55"/>
      <c r="I106" s="55"/>
      <c r="J106" s="55"/>
    </row>
    <row r="107" spans="2:10" x14ac:dyDescent="0.35">
      <c r="B107" s="53"/>
      <c r="C107" s="16"/>
      <c r="D107" s="16"/>
      <c r="E107" s="16"/>
      <c r="F107" s="16"/>
      <c r="G107" s="54"/>
      <c r="H107" s="55"/>
      <c r="I107" s="55"/>
      <c r="J107" s="55"/>
    </row>
    <row r="117" s="30" customFormat="1" x14ac:dyDescent="0.35"/>
  </sheetData>
  <autoFilter ref="B63:E72" xr:uid="{7112F009-7DC5-4DCA-90FC-4D7FE4FDFD77}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6194-99BE-44EB-86F9-F9C7F68B4727}">
  <sheetPr>
    <tabColor theme="0" tint="-0.249977111117893"/>
  </sheetPr>
  <dimension ref="A1:D10"/>
  <sheetViews>
    <sheetView workbookViewId="0">
      <selection activeCell="B1" sqref="B1"/>
    </sheetView>
  </sheetViews>
  <sheetFormatPr defaultRowHeight="15" x14ac:dyDescent="0.25"/>
  <cols>
    <col min="1" max="1" width="7.5703125" bestFit="1" customWidth="1"/>
    <col min="2" max="2" width="38" bestFit="1" customWidth="1"/>
    <col min="3" max="3" width="29.85546875" bestFit="1" customWidth="1"/>
    <col min="4" max="4" width="36.5703125" bestFit="1" customWidth="1"/>
    <col min="5" max="5" width="12.140625" bestFit="1" customWidth="1"/>
  </cols>
  <sheetData>
    <row r="1" spans="1:4" x14ac:dyDescent="0.25">
      <c r="A1" t="s">
        <v>72</v>
      </c>
      <c r="B1" t="s">
        <v>88</v>
      </c>
      <c r="C1" t="s">
        <v>73</v>
      </c>
      <c r="D1" t="s">
        <v>74</v>
      </c>
    </row>
    <row r="2" spans="1:4" x14ac:dyDescent="0.25">
      <c r="A2" t="s">
        <v>64</v>
      </c>
      <c r="B2" t="s">
        <v>95</v>
      </c>
      <c r="C2" t="s">
        <v>76</v>
      </c>
      <c r="D2" t="s">
        <v>77</v>
      </c>
    </row>
    <row r="3" spans="1:4" x14ac:dyDescent="0.25">
      <c r="A3" t="s">
        <v>65</v>
      </c>
      <c r="B3" t="s">
        <v>89</v>
      </c>
      <c r="C3" t="s">
        <v>78</v>
      </c>
      <c r="D3" t="s">
        <v>79</v>
      </c>
    </row>
    <row r="4" spans="1:4" x14ac:dyDescent="0.25">
      <c r="A4" t="s">
        <v>66</v>
      </c>
      <c r="B4" t="s">
        <v>96</v>
      </c>
      <c r="C4" t="s">
        <v>76</v>
      </c>
      <c r="D4" t="s">
        <v>77</v>
      </c>
    </row>
    <row r="5" spans="1:4" x14ac:dyDescent="0.25">
      <c r="A5" t="s">
        <v>67</v>
      </c>
      <c r="B5" t="s">
        <v>90</v>
      </c>
      <c r="C5" t="s">
        <v>80</v>
      </c>
      <c r="D5" t="s">
        <v>80</v>
      </c>
    </row>
    <row r="6" spans="1:4" x14ac:dyDescent="0.25">
      <c r="A6" t="s">
        <v>68</v>
      </c>
      <c r="B6" t="s">
        <v>97</v>
      </c>
      <c r="C6" t="s">
        <v>80</v>
      </c>
      <c r="D6" t="s">
        <v>80</v>
      </c>
    </row>
    <row r="7" spans="1:4" x14ac:dyDescent="0.25">
      <c r="A7" t="s">
        <v>69</v>
      </c>
      <c r="B7" t="s">
        <v>91</v>
      </c>
      <c r="C7" t="s">
        <v>85</v>
      </c>
      <c r="D7" t="s">
        <v>86</v>
      </c>
    </row>
    <row r="8" spans="1:4" x14ac:dyDescent="0.25">
      <c r="A8" t="s">
        <v>70</v>
      </c>
      <c r="B8" t="s">
        <v>93</v>
      </c>
      <c r="C8" t="s">
        <v>81</v>
      </c>
      <c r="D8" t="s">
        <v>82</v>
      </c>
    </row>
    <row r="9" spans="1:4" x14ac:dyDescent="0.25">
      <c r="A9" t="s">
        <v>71</v>
      </c>
      <c r="B9" t="s">
        <v>94</v>
      </c>
      <c r="C9" t="s">
        <v>85</v>
      </c>
      <c r="D9" t="s">
        <v>87</v>
      </c>
    </row>
    <row r="10" spans="1:4" x14ac:dyDescent="0.25">
      <c r="A10" t="s">
        <v>75</v>
      </c>
      <c r="B10" t="s">
        <v>92</v>
      </c>
      <c r="C10" t="s">
        <v>83</v>
      </c>
      <c r="D10" t="s">
        <v>84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BA6B-CBEB-4BD4-AA39-515663341976}">
  <sheetPr>
    <tabColor theme="0" tint="-0.249977111117893"/>
  </sheetPr>
  <dimension ref="A1:F11"/>
  <sheetViews>
    <sheetView workbookViewId="0">
      <selection activeCell="B1" sqref="B1"/>
    </sheetView>
  </sheetViews>
  <sheetFormatPr defaultRowHeight="15" x14ac:dyDescent="0.25"/>
  <cols>
    <col min="1" max="1" width="8.140625" bestFit="1" customWidth="1"/>
    <col min="2" max="2" width="47.140625" bestFit="1" customWidth="1"/>
    <col min="3" max="3" width="36.85546875" bestFit="1" customWidth="1"/>
    <col min="4" max="4" width="13.140625" bestFit="1" customWidth="1"/>
    <col min="5" max="5" width="9.140625" style="19"/>
  </cols>
  <sheetData>
    <row r="1" spans="1:6" ht="18" x14ac:dyDescent="0.35">
      <c r="A1" s="46" t="s">
        <v>72</v>
      </c>
      <c r="B1" s="46" t="s">
        <v>88</v>
      </c>
      <c r="C1" s="29" t="s">
        <v>73</v>
      </c>
      <c r="D1" s="41" t="s">
        <v>98</v>
      </c>
    </row>
    <row r="2" spans="1:6" ht="18" x14ac:dyDescent="0.35">
      <c r="A2" t="s">
        <v>75</v>
      </c>
      <c r="B2" s="25" t="s">
        <v>92</v>
      </c>
      <c r="C2" s="22" t="s">
        <v>83</v>
      </c>
      <c r="D2" s="25">
        <v>0.11334270371360448</v>
      </c>
      <c r="E2" s="19">
        <v>6.0000000000000001E-3</v>
      </c>
      <c r="F2" s="19">
        <f>E2*D2</f>
        <v>6.8005622228162687E-4</v>
      </c>
    </row>
    <row r="3" spans="1:6" ht="18" x14ac:dyDescent="0.35">
      <c r="A3" t="s">
        <v>68</v>
      </c>
      <c r="B3" s="25" t="s">
        <v>97</v>
      </c>
      <c r="C3" s="22" t="s">
        <v>80</v>
      </c>
      <c r="D3" s="25">
        <v>0.1092040076886068</v>
      </c>
      <c r="E3" s="19">
        <v>-1.32E-2</v>
      </c>
      <c r="F3" s="19">
        <f t="shared" ref="F3:F10" si="0">E3*D3</f>
        <v>-1.4414929014896097E-3</v>
      </c>
    </row>
    <row r="4" spans="1:6" ht="18" x14ac:dyDescent="0.35">
      <c r="A4" t="s">
        <v>64</v>
      </c>
      <c r="B4" s="25" t="s">
        <v>95</v>
      </c>
      <c r="C4" s="22" t="s">
        <v>76</v>
      </c>
      <c r="D4" s="25">
        <v>0.10917508517487479</v>
      </c>
      <c r="E4" s="19">
        <v>8.8999999999999999E-3</v>
      </c>
      <c r="F4" s="19">
        <f t="shared" si="0"/>
        <v>9.7165825805638564E-4</v>
      </c>
    </row>
    <row r="5" spans="1:6" ht="18" x14ac:dyDescent="0.35">
      <c r="A5" t="s">
        <v>66</v>
      </c>
      <c r="B5" s="25" t="s">
        <v>96</v>
      </c>
      <c r="C5" s="22" t="s">
        <v>76</v>
      </c>
      <c r="D5" s="25">
        <v>0.10774538747607337</v>
      </c>
      <c r="E5" s="19">
        <v>-2.8E-3</v>
      </c>
      <c r="F5" s="19">
        <f t="shared" si="0"/>
        <v>-3.0168708493300543E-4</v>
      </c>
    </row>
    <row r="6" spans="1:6" ht="18" x14ac:dyDescent="0.35">
      <c r="A6" t="s">
        <v>70</v>
      </c>
      <c r="B6" s="25" t="s">
        <v>93</v>
      </c>
      <c r="C6" s="22" t="s">
        <v>81</v>
      </c>
      <c r="D6" s="25">
        <v>9.1218214735858782E-2</v>
      </c>
      <c r="E6" s="19">
        <v>-4.8999999999999998E-3</v>
      </c>
      <c r="F6" s="19">
        <f t="shared" si="0"/>
        <v>-4.46969252205708E-4</v>
      </c>
    </row>
    <row r="7" spans="1:6" ht="18" x14ac:dyDescent="0.35">
      <c r="A7" t="s">
        <v>71</v>
      </c>
      <c r="B7" s="25" t="s">
        <v>94</v>
      </c>
      <c r="C7" s="22" t="s">
        <v>85</v>
      </c>
      <c r="D7" s="25">
        <v>8.6327918987344904E-2</v>
      </c>
      <c r="E7" s="19">
        <v>1.84E-2</v>
      </c>
      <c r="F7" s="19">
        <f t="shared" si="0"/>
        <v>1.5884337093671462E-3</v>
      </c>
    </row>
    <row r="8" spans="1:6" ht="18" x14ac:dyDescent="0.35">
      <c r="A8" t="s">
        <v>67</v>
      </c>
      <c r="B8" s="25" t="s">
        <v>90</v>
      </c>
      <c r="C8" s="22" t="s">
        <v>80</v>
      </c>
      <c r="D8" s="25">
        <v>8.1297715399071296E-2</v>
      </c>
      <c r="E8" s="19">
        <v>5.7000000000000002E-3</v>
      </c>
      <c r="F8" s="19">
        <f t="shared" si="0"/>
        <v>4.633969777747064E-4</v>
      </c>
    </row>
    <row r="9" spans="1:6" ht="18" x14ac:dyDescent="0.35">
      <c r="A9" t="s">
        <v>69</v>
      </c>
      <c r="B9" s="25" t="s">
        <v>91</v>
      </c>
      <c r="C9" s="22" t="s">
        <v>85</v>
      </c>
      <c r="D9" s="25">
        <v>7.7655021202902005E-2</v>
      </c>
      <c r="E9" s="19">
        <v>1.47E-2</v>
      </c>
      <c r="F9" s="19">
        <f t="shared" si="0"/>
        <v>1.1415288116826594E-3</v>
      </c>
    </row>
    <row r="10" spans="1:6" ht="18" x14ac:dyDescent="0.35">
      <c r="A10" t="s">
        <v>65</v>
      </c>
      <c r="B10" s="25" t="s">
        <v>89</v>
      </c>
      <c r="C10" s="22" t="s">
        <v>78</v>
      </c>
      <c r="D10" s="25">
        <v>5.1468345889817718E-2</v>
      </c>
      <c r="E10" s="19">
        <v>4.0000000000000001E-3</v>
      </c>
      <c r="F10" s="19">
        <f t="shared" si="0"/>
        <v>2.0587338355927088E-4</v>
      </c>
    </row>
    <row r="11" spans="1:6" x14ac:dyDescent="0.25">
      <c r="F11" s="47">
        <f>SUM(F2:F10)</f>
        <v>2.8607981240934719E-3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HistCota</vt:lpstr>
      <vt:lpstr>Relatório</vt:lpstr>
      <vt:lpstr>Cadastro Ações</vt:lpstr>
      <vt:lpstr>Calculadora - Retorno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Bassi</dc:creator>
  <cp:lastModifiedBy>João Pedro Bassi</cp:lastModifiedBy>
  <dcterms:created xsi:type="dcterms:W3CDTF">2025-02-26T01:26:15Z</dcterms:created>
  <dcterms:modified xsi:type="dcterms:W3CDTF">2025-02-28T02:02:20Z</dcterms:modified>
</cp:coreProperties>
</file>