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so\Desktop\Wilson\AULAS\MBA DSA\Fundamentos de Estatística\"/>
    </mc:Choice>
  </mc:AlternateContent>
  <xr:revisionPtr revIDLastSave="0" documentId="13_ncr:1_{3E8CD4E0-F951-4246-B304-00A3375F8573}" xr6:coauthVersionLast="47" xr6:coauthVersionMax="47" xr10:uidLastSave="{00000000-0000-0000-0000-000000000000}"/>
  <bookViews>
    <workbookView xWindow="-120" yWindow="-120" windowWidth="20730" windowHeight="11040" tabRatio="901" xr2:uid="{04CB3BD1-3292-44FE-9392-712598B4DD35}"/>
  </bookViews>
  <sheets>
    <sheet name="Tabela de Frequências" sheetId="1" r:id="rId1"/>
    <sheet name="Descritivas - Quantitativa" sheetId="3" r:id="rId2"/>
    <sheet name="Associação - Qui²" sheetId="5" r:id="rId3"/>
    <sheet name="Correlação de Pearson" sheetId="6" r:id="rId4"/>
    <sheet name="Distribuição Binomial" sheetId="7" r:id="rId5"/>
    <sheet name="Distribuição Binomial Negativa" sheetId="14" r:id="rId6"/>
    <sheet name="Distribuição Poisson" sheetId="8" r:id="rId7"/>
    <sheet name="Distribuição Normal" sheetId="9" r:id="rId8"/>
    <sheet name="Distribuição Qui-Quadrado" sheetId="18" r:id="rId9"/>
    <sheet name="Distribuição t Student" sheetId="11" r:id="rId10"/>
    <sheet name="Distribuição F Snedecor" sheetId="15" r:id="rId11"/>
    <sheet name="Teste Z Médias" sheetId="12" r:id="rId12"/>
    <sheet name="Teste t Médias" sheetId="17" r:id="rId13"/>
    <sheet name="Teste Qui² Uma Amostra" sheetId="10" r:id="rId14"/>
    <sheet name="Teste F Variâncias" sheetId="2" r:id="rId15"/>
    <sheet name="Intervalo de Confiança - Média" sheetId="13" r:id="rId16"/>
    <sheet name="Teste t Duas Amostras Indep." sheetId="16" r:id="rId17"/>
    <sheet name="Tabela Normal Padrão" sheetId="19" r:id="rId18"/>
    <sheet name="Tabela Qui²" sheetId="20" r:id="rId19"/>
    <sheet name="Tabela t de Student" sheetId="21" r:id="rId20"/>
    <sheet name="Tabela F de Snedecor" sheetId="22" r:id="rId21"/>
  </sheets>
  <definedNames>
    <definedName name="_xlnm._FilterDatabase" localSheetId="3" hidden="1">'Correlação de Pearson'!$A$1:$B$31</definedName>
    <definedName name="_xlnm._FilterDatabase" localSheetId="1" hidden="1">'Descritivas - Quantitativa'!$A$1:$B$101</definedName>
    <definedName name="_xlnm._FilterDatabase" localSheetId="0" hidden="1">'Tabela de Frequências'!$A$1:$B$301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8" l="1"/>
  <c r="F11" i="8"/>
  <c r="F10" i="8"/>
  <c r="F9" i="8"/>
  <c r="F8" i="8"/>
  <c r="F7" i="8"/>
  <c r="F6" i="8"/>
  <c r="F5" i="8"/>
  <c r="F4" i="8"/>
  <c r="F3" i="8"/>
  <c r="F2" i="8"/>
  <c r="B8" i="8"/>
  <c r="B7" i="8"/>
  <c r="B6" i="8"/>
  <c r="B5" i="8"/>
  <c r="G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B7" i="14"/>
  <c r="B6" i="14"/>
  <c r="B5" i="14"/>
  <c r="G14" i="7"/>
  <c r="G13" i="7"/>
  <c r="G12" i="7"/>
  <c r="G11" i="7"/>
  <c r="G10" i="7"/>
  <c r="G9" i="7"/>
  <c r="G8" i="7"/>
  <c r="G7" i="7"/>
  <c r="G6" i="7"/>
  <c r="G5" i="7"/>
  <c r="G4" i="7"/>
  <c r="G3" i="7"/>
  <c r="G2" i="7"/>
  <c r="B8" i="7"/>
  <c r="B7" i="7"/>
  <c r="B6" i="7"/>
  <c r="E3" i="2"/>
  <c r="B9" i="11"/>
  <c r="B9" i="15"/>
  <c r="C9" i="15"/>
  <c r="D9" i="15"/>
  <c r="B17" i="9" l="1"/>
  <c r="B16" i="9"/>
  <c r="B15" i="9"/>
  <c r="B14" i="9"/>
  <c r="B8" i="11" l="1"/>
  <c r="D8" i="11"/>
  <c r="C8" i="11"/>
  <c r="C41" i="5"/>
  <c r="K33" i="22"/>
  <c r="J33" i="22"/>
  <c r="I33" i="22"/>
  <c r="H33" i="22"/>
  <c r="G33" i="22"/>
  <c r="F33" i="22"/>
  <c r="E33" i="22"/>
  <c r="D33" i="22"/>
  <c r="C33" i="22"/>
  <c r="B33" i="22"/>
  <c r="K32" i="22"/>
  <c r="J32" i="22"/>
  <c r="I32" i="22"/>
  <c r="H32" i="22"/>
  <c r="G32" i="22"/>
  <c r="F32" i="22"/>
  <c r="E32" i="22"/>
  <c r="D32" i="22"/>
  <c r="C32" i="22"/>
  <c r="B32" i="22"/>
  <c r="K31" i="22"/>
  <c r="J31" i="22"/>
  <c r="I31" i="22"/>
  <c r="H31" i="22"/>
  <c r="G31" i="22"/>
  <c r="F31" i="22"/>
  <c r="E31" i="22"/>
  <c r="D31" i="22"/>
  <c r="C31" i="22"/>
  <c r="B31" i="22"/>
  <c r="K30" i="22"/>
  <c r="J30" i="22"/>
  <c r="I30" i="22"/>
  <c r="H30" i="22"/>
  <c r="G30" i="22"/>
  <c r="F30" i="22"/>
  <c r="E30" i="22"/>
  <c r="D30" i="22"/>
  <c r="C30" i="22"/>
  <c r="B30" i="22"/>
  <c r="K29" i="22"/>
  <c r="J29" i="22"/>
  <c r="I29" i="22"/>
  <c r="H29" i="22"/>
  <c r="G29" i="22"/>
  <c r="F29" i="22"/>
  <c r="E29" i="22"/>
  <c r="D29" i="22"/>
  <c r="C29" i="22"/>
  <c r="B29" i="22"/>
  <c r="K28" i="22"/>
  <c r="J28" i="22"/>
  <c r="I28" i="22"/>
  <c r="H28" i="22"/>
  <c r="G28" i="22"/>
  <c r="F28" i="22"/>
  <c r="E28" i="22"/>
  <c r="D28" i="22"/>
  <c r="C28" i="22"/>
  <c r="B28" i="22"/>
  <c r="K27" i="22"/>
  <c r="J27" i="22"/>
  <c r="I27" i="22"/>
  <c r="H27" i="22"/>
  <c r="G27" i="22"/>
  <c r="F27" i="22"/>
  <c r="E27" i="22"/>
  <c r="D27" i="22"/>
  <c r="C27" i="22"/>
  <c r="B27" i="22"/>
  <c r="K26" i="22"/>
  <c r="J26" i="22"/>
  <c r="I26" i="22"/>
  <c r="H26" i="22"/>
  <c r="G26" i="22"/>
  <c r="F26" i="22"/>
  <c r="E26" i="22"/>
  <c r="D26" i="22"/>
  <c r="C26" i="22"/>
  <c r="B26" i="22"/>
  <c r="K25" i="22"/>
  <c r="J25" i="22"/>
  <c r="I25" i="22"/>
  <c r="H25" i="22"/>
  <c r="G25" i="22"/>
  <c r="F25" i="22"/>
  <c r="E25" i="22"/>
  <c r="D25" i="22"/>
  <c r="C25" i="22"/>
  <c r="B25" i="22"/>
  <c r="K24" i="22"/>
  <c r="J24" i="22"/>
  <c r="I24" i="22"/>
  <c r="H24" i="22"/>
  <c r="G24" i="22"/>
  <c r="F24" i="22"/>
  <c r="E24" i="22"/>
  <c r="D24" i="22"/>
  <c r="C24" i="22"/>
  <c r="B24" i="22"/>
  <c r="K23" i="22"/>
  <c r="J23" i="22"/>
  <c r="I23" i="22"/>
  <c r="H23" i="22"/>
  <c r="G23" i="22"/>
  <c r="F23" i="22"/>
  <c r="E23" i="22"/>
  <c r="D23" i="22"/>
  <c r="C23" i="22"/>
  <c r="B23" i="22"/>
  <c r="K22" i="22"/>
  <c r="J22" i="22"/>
  <c r="I22" i="22"/>
  <c r="H22" i="22"/>
  <c r="G22" i="22"/>
  <c r="F22" i="22"/>
  <c r="E22" i="22"/>
  <c r="D22" i="22"/>
  <c r="C22" i="22"/>
  <c r="B22" i="22"/>
  <c r="K21" i="22"/>
  <c r="J21" i="22"/>
  <c r="I21" i="22"/>
  <c r="H21" i="22"/>
  <c r="G21" i="22"/>
  <c r="F21" i="22"/>
  <c r="E21" i="22"/>
  <c r="D21" i="22"/>
  <c r="C21" i="22"/>
  <c r="B21" i="22"/>
  <c r="K20" i="22"/>
  <c r="J20" i="22"/>
  <c r="I20" i="22"/>
  <c r="H20" i="22"/>
  <c r="G20" i="22"/>
  <c r="F20" i="22"/>
  <c r="E20" i="22"/>
  <c r="D20" i="22"/>
  <c r="C20" i="22"/>
  <c r="B20" i="22"/>
  <c r="K19" i="22"/>
  <c r="J19" i="22"/>
  <c r="I19" i="22"/>
  <c r="H19" i="22"/>
  <c r="G19" i="22"/>
  <c r="F19" i="22"/>
  <c r="E19" i="22"/>
  <c r="D19" i="22"/>
  <c r="C19" i="22"/>
  <c r="B19" i="22"/>
  <c r="K18" i="22"/>
  <c r="J18" i="22"/>
  <c r="I18" i="22"/>
  <c r="H18" i="22"/>
  <c r="G18" i="22"/>
  <c r="F18" i="22"/>
  <c r="E18" i="22"/>
  <c r="D18" i="22"/>
  <c r="C18" i="22"/>
  <c r="B18" i="22"/>
  <c r="K17" i="22"/>
  <c r="J17" i="22"/>
  <c r="I17" i="22"/>
  <c r="H17" i="22"/>
  <c r="G17" i="22"/>
  <c r="F17" i="22"/>
  <c r="E17" i="22"/>
  <c r="D17" i="22"/>
  <c r="C17" i="22"/>
  <c r="B17" i="22"/>
  <c r="K16" i="22"/>
  <c r="J16" i="22"/>
  <c r="I16" i="22"/>
  <c r="H16" i="22"/>
  <c r="G16" i="22"/>
  <c r="F16" i="22"/>
  <c r="E16" i="22"/>
  <c r="D16" i="22"/>
  <c r="C16" i="22"/>
  <c r="B16" i="22"/>
  <c r="K15" i="22"/>
  <c r="J15" i="22"/>
  <c r="I15" i="22"/>
  <c r="H15" i="22"/>
  <c r="G15" i="22"/>
  <c r="F15" i="22"/>
  <c r="E15" i="22"/>
  <c r="D15" i="22"/>
  <c r="C15" i="22"/>
  <c r="B15" i="22"/>
  <c r="K14" i="22"/>
  <c r="J14" i="22"/>
  <c r="I14" i="22"/>
  <c r="H14" i="22"/>
  <c r="G14" i="22"/>
  <c r="F14" i="22"/>
  <c r="E14" i="22"/>
  <c r="D14" i="22"/>
  <c r="C14" i="22"/>
  <c r="B14" i="22"/>
  <c r="K13" i="22"/>
  <c r="J13" i="22"/>
  <c r="I13" i="22"/>
  <c r="H13" i="22"/>
  <c r="G13" i="22"/>
  <c r="F13" i="22"/>
  <c r="E13" i="22"/>
  <c r="D13" i="22"/>
  <c r="C13" i="22"/>
  <c r="B13" i="22"/>
  <c r="K12" i="22"/>
  <c r="J12" i="22"/>
  <c r="I12" i="22"/>
  <c r="H12" i="22"/>
  <c r="G12" i="22"/>
  <c r="F12" i="22"/>
  <c r="E12" i="22"/>
  <c r="D12" i="22"/>
  <c r="C12" i="22"/>
  <c r="B12" i="22"/>
  <c r="K11" i="22"/>
  <c r="J11" i="22"/>
  <c r="I11" i="22"/>
  <c r="H11" i="22"/>
  <c r="G11" i="22"/>
  <c r="F11" i="22"/>
  <c r="E11" i="22"/>
  <c r="D11" i="22"/>
  <c r="C11" i="22"/>
  <c r="B11" i="22"/>
  <c r="K10" i="22"/>
  <c r="J10" i="22"/>
  <c r="I10" i="22"/>
  <c r="H10" i="22"/>
  <c r="G10" i="22"/>
  <c r="F10" i="22"/>
  <c r="E10" i="22"/>
  <c r="D10" i="22"/>
  <c r="C10" i="22"/>
  <c r="B10" i="22"/>
  <c r="K9" i="22"/>
  <c r="J9" i="22"/>
  <c r="I9" i="22"/>
  <c r="H9" i="22"/>
  <c r="G9" i="22"/>
  <c r="F9" i="22"/>
  <c r="E9" i="22"/>
  <c r="D9" i="22"/>
  <c r="C9" i="22"/>
  <c r="B9" i="22"/>
  <c r="K8" i="22"/>
  <c r="J8" i="22"/>
  <c r="I8" i="22"/>
  <c r="H8" i="22"/>
  <c r="G8" i="22"/>
  <c r="F8" i="22"/>
  <c r="E8" i="22"/>
  <c r="D8" i="22"/>
  <c r="C8" i="22"/>
  <c r="B8" i="22"/>
  <c r="K7" i="22"/>
  <c r="J7" i="22"/>
  <c r="I7" i="22"/>
  <c r="H7" i="22"/>
  <c r="G7" i="22"/>
  <c r="F7" i="22"/>
  <c r="E7" i="22"/>
  <c r="D7" i="22"/>
  <c r="C7" i="22"/>
  <c r="B7" i="22"/>
  <c r="K6" i="22"/>
  <c r="J6" i="22"/>
  <c r="I6" i="22"/>
  <c r="H6" i="22"/>
  <c r="G6" i="22"/>
  <c r="F6" i="22"/>
  <c r="E6" i="22"/>
  <c r="D6" i="22"/>
  <c r="C6" i="22"/>
  <c r="B6" i="22"/>
  <c r="K5" i="22"/>
  <c r="J5" i="22"/>
  <c r="I5" i="22"/>
  <c r="H5" i="22"/>
  <c r="G5" i="22"/>
  <c r="F5" i="22"/>
  <c r="E5" i="22"/>
  <c r="D5" i="22"/>
  <c r="C5" i="22"/>
  <c r="B5" i="22"/>
  <c r="K4" i="22"/>
  <c r="J4" i="22"/>
  <c r="I4" i="22"/>
  <c r="H4" i="22"/>
  <c r="G4" i="22"/>
  <c r="F4" i="22"/>
  <c r="E4" i="22"/>
  <c r="D4" i="22"/>
  <c r="C4" i="22"/>
  <c r="B4" i="22"/>
  <c r="E32" i="21"/>
  <c r="D32" i="21"/>
  <c r="C32" i="21"/>
  <c r="B32" i="21"/>
  <c r="E31" i="21"/>
  <c r="D31" i="21"/>
  <c r="C31" i="21"/>
  <c r="B31" i="21"/>
  <c r="E30" i="21"/>
  <c r="D30" i="21"/>
  <c r="C30" i="21"/>
  <c r="B30" i="21"/>
  <c r="E29" i="21"/>
  <c r="D29" i="21"/>
  <c r="C29" i="21"/>
  <c r="B29" i="21"/>
  <c r="E28" i="21"/>
  <c r="D28" i="21"/>
  <c r="C28" i="21"/>
  <c r="B28" i="21"/>
  <c r="E27" i="21"/>
  <c r="D27" i="21"/>
  <c r="C27" i="21"/>
  <c r="B27" i="21"/>
  <c r="E26" i="21"/>
  <c r="D26" i="21"/>
  <c r="C26" i="21"/>
  <c r="B26" i="21"/>
  <c r="E25" i="21"/>
  <c r="D25" i="21"/>
  <c r="C25" i="21"/>
  <c r="B25" i="21"/>
  <c r="E24" i="21"/>
  <c r="D24" i="21"/>
  <c r="C24" i="21"/>
  <c r="B24" i="21"/>
  <c r="E23" i="21"/>
  <c r="D23" i="21"/>
  <c r="C23" i="21"/>
  <c r="B23" i="21"/>
  <c r="E22" i="21"/>
  <c r="D22" i="21"/>
  <c r="C22" i="21"/>
  <c r="B22" i="21"/>
  <c r="E21" i="21"/>
  <c r="D21" i="21"/>
  <c r="C21" i="21"/>
  <c r="B21" i="21"/>
  <c r="E20" i="21"/>
  <c r="D20" i="21"/>
  <c r="C20" i="21"/>
  <c r="B20" i="21"/>
  <c r="E19" i="21"/>
  <c r="D19" i="21"/>
  <c r="C19" i="21"/>
  <c r="B19" i="21"/>
  <c r="E18" i="21"/>
  <c r="D18" i="21"/>
  <c r="C18" i="21"/>
  <c r="B18" i="21"/>
  <c r="E17" i="21"/>
  <c r="D17" i="21"/>
  <c r="C17" i="21"/>
  <c r="B17" i="21"/>
  <c r="E16" i="21"/>
  <c r="D16" i="21"/>
  <c r="C16" i="21"/>
  <c r="B16" i="21"/>
  <c r="E15" i="21"/>
  <c r="D15" i="21"/>
  <c r="C15" i="21"/>
  <c r="B15" i="21"/>
  <c r="E14" i="21"/>
  <c r="D14" i="21"/>
  <c r="C14" i="21"/>
  <c r="B14" i="21"/>
  <c r="E13" i="21"/>
  <c r="D13" i="21"/>
  <c r="C13" i="21"/>
  <c r="B13" i="21"/>
  <c r="E12" i="21"/>
  <c r="D12" i="21"/>
  <c r="C12" i="21"/>
  <c r="B12" i="21"/>
  <c r="E11" i="21"/>
  <c r="D11" i="21"/>
  <c r="C11" i="21"/>
  <c r="B11" i="21"/>
  <c r="E10" i="21"/>
  <c r="D10" i="21"/>
  <c r="C10" i="21"/>
  <c r="B10" i="21"/>
  <c r="E9" i="21"/>
  <c r="D9" i="21"/>
  <c r="C9" i="21"/>
  <c r="B9" i="21"/>
  <c r="E8" i="21"/>
  <c r="D8" i="21"/>
  <c r="C8" i="21"/>
  <c r="B8" i="21"/>
  <c r="E7" i="21"/>
  <c r="D7" i="21"/>
  <c r="C7" i="21"/>
  <c r="B7" i="21"/>
  <c r="E6" i="21"/>
  <c r="D6" i="21"/>
  <c r="C6" i="21"/>
  <c r="B6" i="21"/>
  <c r="E5" i="21"/>
  <c r="D5" i="21"/>
  <c r="C5" i="21"/>
  <c r="B5" i="21"/>
  <c r="E4" i="21"/>
  <c r="D4" i="21"/>
  <c r="C4" i="21"/>
  <c r="B4" i="21"/>
  <c r="E3" i="21"/>
  <c r="D3" i="21"/>
  <c r="C3" i="21"/>
  <c r="B3" i="21"/>
  <c r="E32" i="20"/>
  <c r="D32" i="20"/>
  <c r="C32" i="20"/>
  <c r="B32" i="20"/>
  <c r="E31" i="20"/>
  <c r="D31" i="20"/>
  <c r="C31" i="20"/>
  <c r="B31" i="20"/>
  <c r="E30" i="20"/>
  <c r="D30" i="20"/>
  <c r="C30" i="20"/>
  <c r="B30" i="20"/>
  <c r="E29" i="20"/>
  <c r="D29" i="20"/>
  <c r="C29" i="20"/>
  <c r="B29" i="20"/>
  <c r="E28" i="20"/>
  <c r="D28" i="20"/>
  <c r="C28" i="20"/>
  <c r="B28" i="20"/>
  <c r="E27" i="20"/>
  <c r="D27" i="20"/>
  <c r="C27" i="20"/>
  <c r="B27" i="20"/>
  <c r="E26" i="20"/>
  <c r="D26" i="20"/>
  <c r="C26" i="20"/>
  <c r="B26" i="20"/>
  <c r="E25" i="20"/>
  <c r="D25" i="20"/>
  <c r="C25" i="20"/>
  <c r="B25" i="20"/>
  <c r="E24" i="20"/>
  <c r="D24" i="20"/>
  <c r="C24" i="20"/>
  <c r="B24" i="20"/>
  <c r="E23" i="20"/>
  <c r="D23" i="20"/>
  <c r="C23" i="20"/>
  <c r="B23" i="20"/>
  <c r="E22" i="20"/>
  <c r="D22" i="20"/>
  <c r="C22" i="20"/>
  <c r="B22" i="20"/>
  <c r="E21" i="20"/>
  <c r="D21" i="20"/>
  <c r="C21" i="20"/>
  <c r="B21" i="20"/>
  <c r="E20" i="20"/>
  <c r="D20" i="20"/>
  <c r="C20" i="20"/>
  <c r="B20" i="20"/>
  <c r="E19" i="20"/>
  <c r="D19" i="20"/>
  <c r="C19" i="20"/>
  <c r="B19" i="20"/>
  <c r="E18" i="20"/>
  <c r="D18" i="20"/>
  <c r="C18" i="20"/>
  <c r="B18" i="20"/>
  <c r="E17" i="20"/>
  <c r="D17" i="20"/>
  <c r="C17" i="20"/>
  <c r="B17" i="20"/>
  <c r="E16" i="20"/>
  <c r="D16" i="20"/>
  <c r="C16" i="20"/>
  <c r="B16" i="20"/>
  <c r="E15" i="20"/>
  <c r="D15" i="20"/>
  <c r="C15" i="20"/>
  <c r="B15" i="20"/>
  <c r="E14" i="20"/>
  <c r="D14" i="20"/>
  <c r="C14" i="20"/>
  <c r="B14" i="20"/>
  <c r="E13" i="20"/>
  <c r="D13" i="20"/>
  <c r="C13" i="20"/>
  <c r="B13" i="20"/>
  <c r="E12" i="20"/>
  <c r="D12" i="20"/>
  <c r="C12" i="20"/>
  <c r="B12" i="20"/>
  <c r="E11" i="20"/>
  <c r="D11" i="20"/>
  <c r="C11" i="20"/>
  <c r="B11" i="20"/>
  <c r="E10" i="20"/>
  <c r="D10" i="20"/>
  <c r="C10" i="20"/>
  <c r="B10" i="20"/>
  <c r="E9" i="20"/>
  <c r="D9" i="20"/>
  <c r="C9" i="20"/>
  <c r="B9" i="20"/>
  <c r="E8" i="20"/>
  <c r="D8" i="20"/>
  <c r="C8" i="20"/>
  <c r="B8" i="20"/>
  <c r="E7" i="20"/>
  <c r="D7" i="20"/>
  <c r="C7" i="20"/>
  <c r="B7" i="20"/>
  <c r="E6" i="20"/>
  <c r="D6" i="20"/>
  <c r="C6" i="20"/>
  <c r="B6" i="20"/>
  <c r="E5" i="20"/>
  <c r="D5" i="20"/>
  <c r="C5" i="20"/>
  <c r="B5" i="20"/>
  <c r="E4" i="20"/>
  <c r="D4" i="20"/>
  <c r="C4" i="20"/>
  <c r="B4" i="20"/>
  <c r="E3" i="20"/>
  <c r="D3" i="20"/>
  <c r="C3" i="20"/>
  <c r="B3" i="20"/>
  <c r="K37" i="19"/>
  <c r="J37" i="19"/>
  <c r="I37" i="19"/>
  <c r="H37" i="19"/>
  <c r="G37" i="19"/>
  <c r="F37" i="19"/>
  <c r="E37" i="19"/>
  <c r="D37" i="19"/>
  <c r="C37" i="19"/>
  <c r="B37" i="19"/>
  <c r="K36" i="19"/>
  <c r="J36" i="19"/>
  <c r="I36" i="19"/>
  <c r="H36" i="19"/>
  <c r="G36" i="19"/>
  <c r="F36" i="19"/>
  <c r="E36" i="19"/>
  <c r="D36" i="19"/>
  <c r="C36" i="19"/>
  <c r="B36" i="19"/>
  <c r="K35" i="19"/>
  <c r="J35" i="19"/>
  <c r="I35" i="19"/>
  <c r="H35" i="19"/>
  <c r="G35" i="19"/>
  <c r="F35" i="19"/>
  <c r="E35" i="19"/>
  <c r="D35" i="19"/>
  <c r="C35" i="19"/>
  <c r="B35" i="19"/>
  <c r="K34" i="19"/>
  <c r="J34" i="19"/>
  <c r="I34" i="19"/>
  <c r="H34" i="19"/>
  <c r="G34" i="19"/>
  <c r="F34" i="19"/>
  <c r="E34" i="19"/>
  <c r="D34" i="19"/>
  <c r="C34" i="19"/>
  <c r="B34" i="19"/>
  <c r="K33" i="19"/>
  <c r="J33" i="19"/>
  <c r="I33" i="19"/>
  <c r="H33" i="19"/>
  <c r="G33" i="19"/>
  <c r="F33" i="19"/>
  <c r="E33" i="19"/>
  <c r="D33" i="19"/>
  <c r="C33" i="19"/>
  <c r="B33" i="19"/>
  <c r="K32" i="19"/>
  <c r="J32" i="19"/>
  <c r="I32" i="19"/>
  <c r="H32" i="19"/>
  <c r="G32" i="19"/>
  <c r="F32" i="19"/>
  <c r="E32" i="19"/>
  <c r="D32" i="19"/>
  <c r="C32" i="19"/>
  <c r="B32" i="19"/>
  <c r="K31" i="19"/>
  <c r="J31" i="19"/>
  <c r="I31" i="19"/>
  <c r="H31" i="19"/>
  <c r="G31" i="19"/>
  <c r="F31" i="19"/>
  <c r="E31" i="19"/>
  <c r="D31" i="19"/>
  <c r="C31" i="19"/>
  <c r="B31" i="19"/>
  <c r="K30" i="19"/>
  <c r="J30" i="19"/>
  <c r="I30" i="19"/>
  <c r="H30" i="19"/>
  <c r="G30" i="19"/>
  <c r="F30" i="19"/>
  <c r="E30" i="19"/>
  <c r="D30" i="19"/>
  <c r="C30" i="19"/>
  <c r="B30" i="19"/>
  <c r="K29" i="19"/>
  <c r="J29" i="19"/>
  <c r="I29" i="19"/>
  <c r="H29" i="19"/>
  <c r="G29" i="19"/>
  <c r="F29" i="19"/>
  <c r="E29" i="19"/>
  <c r="D29" i="19"/>
  <c r="C29" i="19"/>
  <c r="B29" i="19"/>
  <c r="K28" i="19"/>
  <c r="J28" i="19"/>
  <c r="I28" i="19"/>
  <c r="H28" i="19"/>
  <c r="G28" i="19"/>
  <c r="F28" i="19"/>
  <c r="E28" i="19"/>
  <c r="D28" i="19"/>
  <c r="C28" i="19"/>
  <c r="B28" i="19"/>
  <c r="K27" i="19"/>
  <c r="J27" i="19"/>
  <c r="I27" i="19"/>
  <c r="H27" i="19"/>
  <c r="G27" i="19"/>
  <c r="F27" i="19"/>
  <c r="E27" i="19"/>
  <c r="D27" i="19"/>
  <c r="C27" i="19"/>
  <c r="B27" i="19"/>
  <c r="K26" i="19"/>
  <c r="J26" i="19"/>
  <c r="I26" i="19"/>
  <c r="H26" i="19"/>
  <c r="G26" i="19"/>
  <c r="F26" i="19"/>
  <c r="E26" i="19"/>
  <c r="D26" i="19"/>
  <c r="C26" i="19"/>
  <c r="B26" i="19"/>
  <c r="K25" i="19"/>
  <c r="J25" i="19"/>
  <c r="I25" i="19"/>
  <c r="H25" i="19"/>
  <c r="G25" i="19"/>
  <c r="F25" i="19"/>
  <c r="E25" i="19"/>
  <c r="D25" i="19"/>
  <c r="C25" i="19"/>
  <c r="B25" i="19"/>
  <c r="K24" i="19"/>
  <c r="J24" i="19"/>
  <c r="I24" i="19"/>
  <c r="H24" i="19"/>
  <c r="G24" i="19"/>
  <c r="F24" i="19"/>
  <c r="E24" i="19"/>
  <c r="D24" i="19"/>
  <c r="C24" i="19"/>
  <c r="B24" i="19"/>
  <c r="K23" i="19"/>
  <c r="J23" i="19"/>
  <c r="I23" i="19"/>
  <c r="H23" i="19"/>
  <c r="G23" i="19"/>
  <c r="F23" i="19"/>
  <c r="E23" i="19"/>
  <c r="D23" i="19"/>
  <c r="C23" i="19"/>
  <c r="B23" i="19"/>
  <c r="K22" i="19"/>
  <c r="J22" i="19"/>
  <c r="I22" i="19"/>
  <c r="H22" i="19"/>
  <c r="G22" i="19"/>
  <c r="F22" i="19"/>
  <c r="E22" i="19"/>
  <c r="D22" i="19"/>
  <c r="C22" i="19"/>
  <c r="B22" i="19"/>
  <c r="K21" i="19"/>
  <c r="J21" i="19"/>
  <c r="I21" i="19"/>
  <c r="H21" i="19"/>
  <c r="G21" i="19"/>
  <c r="F21" i="19"/>
  <c r="E21" i="19"/>
  <c r="D21" i="19"/>
  <c r="C21" i="19"/>
  <c r="B21" i="19"/>
  <c r="K20" i="19"/>
  <c r="J20" i="19"/>
  <c r="I20" i="19"/>
  <c r="H20" i="19"/>
  <c r="G20" i="19"/>
  <c r="F20" i="19"/>
  <c r="E20" i="19"/>
  <c r="D20" i="19"/>
  <c r="C20" i="19"/>
  <c r="B20" i="19"/>
  <c r="K19" i="19"/>
  <c r="J19" i="19"/>
  <c r="I19" i="19"/>
  <c r="H19" i="19"/>
  <c r="G19" i="19"/>
  <c r="F19" i="19"/>
  <c r="E19" i="19"/>
  <c r="D19" i="19"/>
  <c r="C19" i="19"/>
  <c r="B19" i="19"/>
  <c r="K18" i="19"/>
  <c r="J18" i="19"/>
  <c r="I18" i="19"/>
  <c r="H18" i="19"/>
  <c r="G18" i="19"/>
  <c r="F18" i="19"/>
  <c r="E18" i="19"/>
  <c r="D18" i="19"/>
  <c r="C18" i="19"/>
  <c r="B18" i="19"/>
  <c r="K17" i="19"/>
  <c r="J17" i="19"/>
  <c r="I17" i="19"/>
  <c r="H17" i="19"/>
  <c r="G17" i="19"/>
  <c r="F17" i="19"/>
  <c r="E17" i="19"/>
  <c r="D17" i="19"/>
  <c r="C17" i="19"/>
  <c r="B17" i="19"/>
  <c r="K16" i="19"/>
  <c r="J16" i="19"/>
  <c r="I16" i="19"/>
  <c r="H16" i="19"/>
  <c r="G16" i="19"/>
  <c r="F16" i="19"/>
  <c r="E16" i="19"/>
  <c r="D16" i="19"/>
  <c r="C16" i="19"/>
  <c r="B16" i="19"/>
  <c r="K15" i="19"/>
  <c r="J15" i="19"/>
  <c r="I15" i="19"/>
  <c r="H15" i="19"/>
  <c r="G15" i="19"/>
  <c r="F15" i="19"/>
  <c r="E15" i="19"/>
  <c r="D15" i="19"/>
  <c r="C15" i="19"/>
  <c r="B15" i="19"/>
  <c r="K14" i="19"/>
  <c r="J14" i="19"/>
  <c r="I14" i="19"/>
  <c r="H14" i="19"/>
  <c r="G14" i="19"/>
  <c r="F14" i="19"/>
  <c r="E14" i="19"/>
  <c r="D14" i="19"/>
  <c r="C14" i="19"/>
  <c r="B14" i="19"/>
  <c r="K13" i="19"/>
  <c r="J13" i="19"/>
  <c r="I13" i="19"/>
  <c r="H13" i="19"/>
  <c r="G13" i="19"/>
  <c r="F13" i="19"/>
  <c r="E13" i="19"/>
  <c r="D13" i="19"/>
  <c r="C13" i="19"/>
  <c r="B13" i="19"/>
  <c r="K12" i="19"/>
  <c r="J12" i="19"/>
  <c r="I12" i="19"/>
  <c r="H12" i="19"/>
  <c r="G12" i="19"/>
  <c r="F12" i="19"/>
  <c r="E12" i="19"/>
  <c r="D12" i="19"/>
  <c r="C12" i="19"/>
  <c r="B12" i="19"/>
  <c r="K11" i="19"/>
  <c r="J11" i="19"/>
  <c r="I11" i="19"/>
  <c r="H11" i="19"/>
  <c r="G11" i="19"/>
  <c r="F11" i="19"/>
  <c r="E11" i="19"/>
  <c r="D11" i="19"/>
  <c r="C11" i="19"/>
  <c r="B11" i="19"/>
  <c r="K10" i="19"/>
  <c r="J10" i="19"/>
  <c r="I10" i="19"/>
  <c r="H10" i="19"/>
  <c r="G10" i="19"/>
  <c r="F10" i="19"/>
  <c r="E10" i="19"/>
  <c r="D10" i="19"/>
  <c r="C10" i="19"/>
  <c r="B10" i="19"/>
  <c r="K9" i="19"/>
  <c r="J9" i="19"/>
  <c r="I9" i="19"/>
  <c r="H9" i="19"/>
  <c r="G9" i="19"/>
  <c r="F9" i="19"/>
  <c r="E9" i="19"/>
  <c r="D9" i="19"/>
  <c r="C9" i="19"/>
  <c r="B9" i="19"/>
  <c r="K8" i="19"/>
  <c r="J8" i="19"/>
  <c r="I8" i="19"/>
  <c r="H8" i="19"/>
  <c r="G8" i="19"/>
  <c r="F8" i="19"/>
  <c r="E8" i="19"/>
  <c r="D8" i="19"/>
  <c r="C8" i="19"/>
  <c r="B8" i="19"/>
  <c r="K7" i="19"/>
  <c r="J7" i="19"/>
  <c r="I7" i="19"/>
  <c r="H7" i="19"/>
  <c r="G7" i="19"/>
  <c r="F7" i="19"/>
  <c r="E7" i="19"/>
  <c r="D7" i="19"/>
  <c r="C7" i="19"/>
  <c r="B7" i="19"/>
  <c r="K6" i="19"/>
  <c r="J6" i="19"/>
  <c r="I6" i="19"/>
  <c r="H6" i="19"/>
  <c r="G6" i="19"/>
  <c r="F6" i="19"/>
  <c r="E6" i="19"/>
  <c r="D6" i="19"/>
  <c r="C6" i="19"/>
  <c r="B6" i="19"/>
  <c r="K5" i="19"/>
  <c r="J5" i="19"/>
  <c r="I5" i="19"/>
  <c r="H5" i="19"/>
  <c r="G5" i="19"/>
  <c r="F5" i="19"/>
  <c r="E5" i="19"/>
  <c r="D5" i="19"/>
  <c r="C5" i="19"/>
  <c r="B5" i="19"/>
  <c r="K4" i="19"/>
  <c r="J4" i="19"/>
  <c r="I4" i="19"/>
  <c r="H4" i="19"/>
  <c r="G4" i="19"/>
  <c r="F4" i="19"/>
  <c r="E4" i="19"/>
  <c r="D4" i="19"/>
  <c r="C4" i="19"/>
  <c r="B4" i="19"/>
  <c r="K3" i="19"/>
  <c r="J3" i="19"/>
  <c r="I3" i="19"/>
  <c r="H3" i="19"/>
  <c r="G3" i="19"/>
  <c r="F3" i="19"/>
  <c r="E3" i="19"/>
  <c r="D3" i="19"/>
  <c r="C3" i="19"/>
  <c r="B3" i="19"/>
  <c r="K2" i="19"/>
  <c r="J2" i="19"/>
  <c r="I2" i="19"/>
  <c r="H2" i="19"/>
  <c r="G2" i="19"/>
  <c r="F2" i="19"/>
  <c r="E2" i="19"/>
  <c r="D2" i="19"/>
  <c r="C2" i="19"/>
  <c r="B2" i="19"/>
  <c r="B9" i="18"/>
  <c r="B8" i="18"/>
  <c r="B7" i="18"/>
  <c r="B6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F2" i="17"/>
  <c r="B17" i="17"/>
  <c r="B13" i="17"/>
  <c r="B12" i="17"/>
  <c r="B9" i="13"/>
  <c r="B12" i="13" s="1"/>
  <c r="F4" i="16"/>
  <c r="E4" i="16"/>
  <c r="F3" i="16"/>
  <c r="E3" i="16"/>
  <c r="F2" i="16"/>
  <c r="E2" i="16"/>
  <c r="B15" i="13"/>
  <c r="J2" i="16" l="1"/>
  <c r="J4" i="16" s="1"/>
  <c r="E6" i="16"/>
  <c r="E8" i="16"/>
  <c r="J6" i="16"/>
  <c r="J7" i="16" s="1"/>
  <c r="B11" i="13"/>
  <c r="C18" i="10" l="1"/>
  <c r="G9" i="10"/>
  <c r="D8" i="10"/>
  <c r="D7" i="10"/>
  <c r="D6" i="10"/>
  <c r="D5" i="10"/>
  <c r="D4" i="10"/>
  <c r="D3" i="10"/>
  <c r="D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8" i="10"/>
  <c r="G7" i="10"/>
  <c r="G6" i="10"/>
  <c r="G5" i="10"/>
  <c r="G4" i="10"/>
  <c r="G3" i="10"/>
  <c r="G2" i="10"/>
  <c r="B10" i="15"/>
  <c r="B8" i="15"/>
  <c r="B7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L17" i="6"/>
  <c r="D11" i="12"/>
  <c r="D10" i="12"/>
  <c r="D15" i="12"/>
  <c r="D2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B7" i="11"/>
  <c r="B6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D9" i="10" l="1"/>
  <c r="D10" i="10" s="1"/>
  <c r="G11" i="3"/>
  <c r="G10" i="3"/>
  <c r="G9" i="3"/>
  <c r="G8" i="3"/>
  <c r="G7" i="3"/>
  <c r="G6" i="3"/>
  <c r="G20" i="3"/>
  <c r="G19" i="3"/>
  <c r="G16" i="3"/>
  <c r="C17" i="9"/>
  <c r="C16" i="9"/>
  <c r="C15" i="9"/>
  <c r="C14" i="9"/>
  <c r="C10" i="9"/>
  <c r="B10" i="9"/>
  <c r="B9" i="9"/>
  <c r="B7" i="9"/>
  <c r="B8" i="9"/>
  <c r="I15" i="6"/>
  <c r="I14" i="6"/>
  <c r="I13" i="6"/>
  <c r="H15" i="6"/>
  <c r="H14" i="6"/>
  <c r="H13" i="6"/>
  <c r="I3" i="6"/>
  <c r="H3" i="6"/>
  <c r="G3" i="6"/>
  <c r="I2" i="6"/>
  <c r="H2" i="6"/>
  <c r="G2" i="6"/>
  <c r="G9" i="6"/>
  <c r="G21" i="6" s="1"/>
  <c r="G8" i="6"/>
  <c r="G20" i="6" s="1"/>
  <c r="G7" i="6"/>
  <c r="G19" i="6" s="1"/>
  <c r="G15" i="6" l="1"/>
  <c r="G14" i="6"/>
  <c r="G13" i="6"/>
  <c r="E8" i="5"/>
  <c r="D8" i="5"/>
  <c r="C8" i="5"/>
  <c r="F7" i="5"/>
  <c r="F6" i="5"/>
  <c r="F5" i="5"/>
  <c r="F8" i="5" l="1"/>
  <c r="D15" i="5" s="1"/>
  <c r="D24" i="5" s="1"/>
  <c r="E17" i="5" l="1"/>
  <c r="E26" i="5" s="1"/>
  <c r="E35" i="5" s="1"/>
  <c r="D16" i="5"/>
  <c r="D25" i="5" s="1"/>
  <c r="D34" i="5" s="1"/>
  <c r="C15" i="5"/>
  <c r="C24" i="5" s="1"/>
  <c r="C33" i="5" s="1"/>
  <c r="E15" i="5"/>
  <c r="E24" i="5" s="1"/>
  <c r="E33" i="5" s="1"/>
  <c r="D33" i="5"/>
  <c r="C16" i="5"/>
  <c r="C25" i="5" s="1"/>
  <c r="E16" i="5"/>
  <c r="E25" i="5" s="1"/>
  <c r="D17" i="5"/>
  <c r="D26" i="5" s="1"/>
  <c r="C17" i="5"/>
  <c r="C26" i="5" s="1"/>
  <c r="E34" i="5" l="1"/>
  <c r="D35" i="5"/>
  <c r="C34" i="5"/>
  <c r="C35" i="5"/>
  <c r="C37" i="5" l="1"/>
  <c r="C38" i="5" s="1"/>
  <c r="G13" i="3"/>
  <c r="G12" i="3"/>
  <c r="G15" i="3"/>
  <c r="G5" i="3"/>
  <c r="G4" i="3"/>
  <c r="G2" i="3"/>
  <c r="G3" i="3" s="1"/>
  <c r="F2" i="2"/>
  <c r="D100" i="3" l="1"/>
  <c r="D96" i="3"/>
  <c r="D92" i="3"/>
  <c r="D88" i="3"/>
  <c r="D84" i="3"/>
  <c r="D80" i="3"/>
  <c r="D76" i="3"/>
  <c r="D72" i="3"/>
  <c r="D68" i="3"/>
  <c r="D64" i="3"/>
  <c r="D60" i="3"/>
  <c r="D56" i="3"/>
  <c r="D52" i="3"/>
  <c r="D48" i="3"/>
  <c r="D44" i="3"/>
  <c r="D40" i="3"/>
  <c r="D36" i="3"/>
  <c r="D32" i="3"/>
  <c r="D28" i="3"/>
  <c r="D24" i="3"/>
  <c r="D20" i="3"/>
  <c r="D16" i="3"/>
  <c r="D12" i="3"/>
  <c r="D8" i="3"/>
  <c r="D4" i="3"/>
  <c r="C101" i="3"/>
  <c r="C97" i="3"/>
  <c r="C93" i="3"/>
  <c r="C89" i="3"/>
  <c r="C85" i="3"/>
  <c r="C81" i="3"/>
  <c r="C77" i="3"/>
  <c r="C73" i="3"/>
  <c r="C69" i="3"/>
  <c r="C65" i="3"/>
  <c r="C61" i="3"/>
  <c r="C57" i="3"/>
  <c r="C53" i="3"/>
  <c r="C49" i="3"/>
  <c r="C45" i="3"/>
  <c r="C41" i="3"/>
  <c r="C37" i="3"/>
  <c r="C33" i="3"/>
  <c r="C29" i="3"/>
  <c r="C25" i="3"/>
  <c r="C21" i="3"/>
  <c r="C17" i="3"/>
  <c r="C13" i="3"/>
  <c r="C9" i="3"/>
  <c r="C5" i="3"/>
  <c r="D99" i="3"/>
  <c r="D95" i="3"/>
  <c r="D91" i="3"/>
  <c r="D87" i="3"/>
  <c r="D83" i="3"/>
  <c r="D79" i="3"/>
  <c r="D75" i="3"/>
  <c r="D71" i="3"/>
  <c r="D67" i="3"/>
  <c r="D63" i="3"/>
  <c r="D59" i="3"/>
  <c r="D55" i="3"/>
  <c r="D51" i="3"/>
  <c r="D47" i="3"/>
  <c r="D43" i="3"/>
  <c r="D39" i="3"/>
  <c r="D35" i="3"/>
  <c r="D31" i="3"/>
  <c r="D27" i="3"/>
  <c r="D23" i="3"/>
  <c r="D19" i="3"/>
  <c r="D15" i="3"/>
  <c r="D11" i="3"/>
  <c r="D7" i="3"/>
  <c r="D3" i="3"/>
  <c r="C100" i="3"/>
  <c r="C96" i="3"/>
  <c r="C92" i="3"/>
  <c r="C88" i="3"/>
  <c r="C84" i="3"/>
  <c r="C80" i="3"/>
  <c r="C76" i="3"/>
  <c r="C72" i="3"/>
  <c r="C68" i="3"/>
  <c r="C64" i="3"/>
  <c r="C60" i="3"/>
  <c r="C56" i="3"/>
  <c r="C52" i="3"/>
  <c r="C48" i="3"/>
  <c r="C44" i="3"/>
  <c r="C40" i="3"/>
  <c r="C36" i="3"/>
  <c r="C32" i="3"/>
  <c r="C28" i="3"/>
  <c r="C24" i="3"/>
  <c r="C20" i="3"/>
  <c r="C16" i="3"/>
  <c r="C12" i="3"/>
  <c r="C8" i="3"/>
  <c r="C4" i="3"/>
  <c r="D98" i="3"/>
  <c r="D94" i="3"/>
  <c r="D90" i="3"/>
  <c r="D86" i="3"/>
  <c r="D82" i="3"/>
  <c r="D78" i="3"/>
  <c r="D74" i="3"/>
  <c r="D70" i="3"/>
  <c r="D66" i="3"/>
  <c r="D62" i="3"/>
  <c r="D58" i="3"/>
  <c r="D54" i="3"/>
  <c r="D50" i="3"/>
  <c r="D46" i="3"/>
  <c r="D42" i="3"/>
  <c r="D38" i="3"/>
  <c r="D34" i="3"/>
  <c r="D30" i="3"/>
  <c r="D26" i="3"/>
  <c r="D22" i="3"/>
  <c r="D18" i="3"/>
  <c r="D14" i="3"/>
  <c r="D10" i="3"/>
  <c r="D6" i="3"/>
  <c r="D2" i="3"/>
  <c r="C99" i="3"/>
  <c r="C95" i="3"/>
  <c r="C91" i="3"/>
  <c r="C87" i="3"/>
  <c r="C83" i="3"/>
  <c r="C79" i="3"/>
  <c r="C75" i="3"/>
  <c r="C71" i="3"/>
  <c r="C67" i="3"/>
  <c r="C63" i="3"/>
  <c r="C59" i="3"/>
  <c r="C55" i="3"/>
  <c r="C51" i="3"/>
  <c r="C47" i="3"/>
  <c r="C43" i="3"/>
  <c r="C39" i="3"/>
  <c r="C35" i="3"/>
  <c r="C31" i="3"/>
  <c r="C27" i="3"/>
  <c r="C23" i="3"/>
  <c r="C19" i="3"/>
  <c r="C15" i="3"/>
  <c r="C11" i="3"/>
  <c r="C7" i="3"/>
  <c r="C3" i="3"/>
  <c r="D101" i="3"/>
  <c r="D97" i="3"/>
  <c r="D93" i="3"/>
  <c r="D89" i="3"/>
  <c r="D85" i="3"/>
  <c r="D81" i="3"/>
  <c r="D77" i="3"/>
  <c r="D73" i="3"/>
  <c r="D69" i="3"/>
  <c r="D65" i="3"/>
  <c r="D61" i="3"/>
  <c r="D57" i="3"/>
  <c r="D53" i="3"/>
  <c r="D49" i="3"/>
  <c r="D45" i="3"/>
  <c r="D41" i="3"/>
  <c r="D37" i="3"/>
  <c r="D33" i="3"/>
  <c r="D29" i="3"/>
  <c r="D25" i="3"/>
  <c r="D21" i="3"/>
  <c r="D17" i="3"/>
  <c r="D13" i="3"/>
  <c r="D9" i="3"/>
  <c r="D5" i="3"/>
  <c r="C98" i="3"/>
  <c r="C94" i="3"/>
  <c r="C90" i="3"/>
  <c r="C86" i="3"/>
  <c r="C82" i="3"/>
  <c r="C78" i="3"/>
  <c r="C74" i="3"/>
  <c r="C70" i="3"/>
  <c r="C66" i="3"/>
  <c r="C50" i="3"/>
  <c r="C34" i="3"/>
  <c r="C18" i="3"/>
  <c r="C2" i="3"/>
  <c r="C14" i="3"/>
  <c r="C42" i="3"/>
  <c r="C10" i="3"/>
  <c r="C54" i="3"/>
  <c r="C6" i="3"/>
  <c r="C62" i="3"/>
  <c r="C46" i="3"/>
  <c r="C30" i="3"/>
  <c r="C58" i="3"/>
  <c r="C26" i="3"/>
  <c r="C38" i="3"/>
  <c r="C22" i="3"/>
  <c r="G18" i="3"/>
  <c r="G14" i="3"/>
  <c r="G17" i="3"/>
  <c r="E16" i="2"/>
  <c r="F3" i="2"/>
  <c r="E2" i="2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G2" i="1" s="1"/>
  <c r="C102" i="3" l="1"/>
  <c r="C104" i="3" s="1"/>
  <c r="D102" i="3"/>
  <c r="D104" i="3" s="1"/>
  <c r="E8" i="2"/>
  <c r="E9" i="2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E21" i="1"/>
  <c r="F7" i="1" s="1"/>
  <c r="F2" i="1" l="1"/>
  <c r="H2" i="1" s="1"/>
  <c r="F11" i="1"/>
  <c r="F18" i="1"/>
  <c r="F14" i="1"/>
  <c r="F6" i="1"/>
  <c r="F10" i="1"/>
  <c r="F3" i="1"/>
  <c r="F12" i="1"/>
  <c r="F5" i="1"/>
  <c r="F8" i="1"/>
  <c r="F15" i="1"/>
  <c r="F20" i="1"/>
  <c r="F4" i="1"/>
  <c r="F17" i="1"/>
  <c r="F16" i="1"/>
  <c r="F19" i="1"/>
  <c r="F13" i="1"/>
  <c r="F9" i="1"/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F21" i="1"/>
</calcChain>
</file>

<file path=xl/sharedStrings.xml><?xml version="1.0" encoding="utf-8"?>
<sst xmlns="http://schemas.openxmlformats.org/spreadsheetml/2006/main" count="712" uniqueCount="265">
  <si>
    <t>Indivíduo</t>
  </si>
  <si>
    <t>País de Origem</t>
  </si>
  <si>
    <t>Brasil</t>
  </si>
  <si>
    <t>Inglaterra</t>
  </si>
  <si>
    <t>Japão</t>
  </si>
  <si>
    <t>China</t>
  </si>
  <si>
    <t>EUA</t>
  </si>
  <si>
    <t>Argentina</t>
  </si>
  <si>
    <t>México</t>
  </si>
  <si>
    <t>Suiça</t>
  </si>
  <si>
    <t>Uruguai</t>
  </si>
  <si>
    <t>Canadá</t>
  </si>
  <si>
    <t>Austrália</t>
  </si>
  <si>
    <t>África do Sul</t>
  </si>
  <si>
    <t>Alemanha</t>
  </si>
  <si>
    <t>França</t>
  </si>
  <si>
    <t>Itália</t>
  </si>
  <si>
    <t>Egito</t>
  </si>
  <si>
    <t>Índia</t>
  </si>
  <si>
    <t>Rússia</t>
  </si>
  <si>
    <t>Chile</t>
  </si>
  <si>
    <t>Frequência Absoluta</t>
  </si>
  <si>
    <t>TOTAL</t>
  </si>
  <si>
    <t>Frequência Relativa</t>
  </si>
  <si>
    <t>Frequencia Acumulada</t>
  </si>
  <si>
    <t>Freq. Relativa Acumulada</t>
  </si>
  <si>
    <t>A</t>
  </si>
  <si>
    <t>B</t>
  </si>
  <si>
    <t>Alternativa</t>
  </si>
  <si>
    <t>Média</t>
  </si>
  <si>
    <t>Variância</t>
  </si>
  <si>
    <t>Estatística F</t>
  </si>
  <si>
    <t>Graus de Liberdade A</t>
  </si>
  <si>
    <t>Graus de Liberdade B</t>
  </si>
  <si>
    <t>Nível de Significância</t>
  </si>
  <si>
    <t>numerador</t>
  </si>
  <si>
    <t>denominador</t>
  </si>
  <si>
    <t>H0</t>
  </si>
  <si>
    <t>H1</t>
  </si>
  <si>
    <t>A variância de B é maior do que a variância de A</t>
  </si>
  <si>
    <t xml:space="preserve">Conclusão: como o valor calculado da estatísica F é maior do que o valor crítico para o nível de signifcância de 5%, a hipótese nula é rejeitada. </t>
  </si>
  <si>
    <t>Valor Crítico Distrib. F</t>
  </si>
  <si>
    <t>Rota A</t>
  </si>
  <si>
    <t>Rota B</t>
  </si>
  <si>
    <t>Nº Observação</t>
  </si>
  <si>
    <t>Preço ($)</t>
  </si>
  <si>
    <t>Mediana</t>
  </si>
  <si>
    <t>Moda</t>
  </si>
  <si>
    <t>Nº Observações</t>
  </si>
  <si>
    <t>1º Quartil</t>
  </si>
  <si>
    <t>3º Quartil</t>
  </si>
  <si>
    <t>85º Percentil</t>
  </si>
  <si>
    <t>Descritivas</t>
  </si>
  <si>
    <t>44º Percentil</t>
  </si>
  <si>
    <t>Desvio Padrão</t>
  </si>
  <si>
    <t>Erro Padrão</t>
  </si>
  <si>
    <t>Amplitude</t>
  </si>
  <si>
    <t>Valor Mínimo</t>
  </si>
  <si>
    <t>Valor Máximo</t>
  </si>
  <si>
    <t>Coeficiente de Variação</t>
  </si>
  <si>
    <t>2º Decil</t>
  </si>
  <si>
    <t>6º Decil</t>
  </si>
  <si>
    <t>Erro padrão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</si>
  <si>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</si>
  <si>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</si>
  <si>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</si>
  <si>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</si>
  <si>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</si>
  <si>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</si>
  <si>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</si>
  <si>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</si>
  <si>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</si>
  <si>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</si>
  <si>
    <t>Frequências absolutas observadas</t>
  </si>
  <si>
    <t>Exemplo do livro: Fávero, Luiz Paulo; Belfiore, Patrícia. (2017). Manual de análise de dados: estatística e modelagem multivariada com Excel®, SPSS® e Stata®. Rio de Janeiro: Elsevier</t>
  </si>
  <si>
    <t>Total</t>
  </si>
  <si>
    <t>Frequências absolutas esperadas</t>
  </si>
  <si>
    <t>Resíduos</t>
  </si>
  <si>
    <t>Valores χ²</t>
  </si>
  <si>
    <t>χ² Total</t>
  </si>
  <si>
    <t>p-valor</t>
  </si>
  <si>
    <t>nota: no exemplo, são 4 graus de liberdade (I-1)x(J-1).</t>
  </si>
  <si>
    <t>Valor Crítico</t>
  </si>
  <si>
    <t>Nota Matemática</t>
  </si>
  <si>
    <t>Nota Física</t>
  </si>
  <si>
    <t>Nota Literatura</t>
  </si>
  <si>
    <t>Par de Variáveis</t>
  </si>
  <si>
    <t>Matemática-Física</t>
  </si>
  <si>
    <t>Matemática-Literatura</t>
  </si>
  <si>
    <t>Física-Literatura</t>
  </si>
  <si>
    <t>Covarâncias</t>
  </si>
  <si>
    <t>Correlações - Excel</t>
  </si>
  <si>
    <t>Correlações - Fórmula</t>
  </si>
  <si>
    <t>Estatística t</t>
  </si>
  <si>
    <t>Parâmetros da distribuição binomial</t>
  </si>
  <si>
    <t>p (probabilidade de sucesso)</t>
  </si>
  <si>
    <t>n (número de repetições)</t>
  </si>
  <si>
    <t>a) P(k=2)</t>
  </si>
  <si>
    <t>b) P(k=4)</t>
  </si>
  <si>
    <t>c) P(k=0) + P(k=1) + P(k=2)</t>
  </si>
  <si>
    <t>Parâmetros da distribuição Poisson</t>
  </si>
  <si>
    <t>a) P(k=1)</t>
  </si>
  <si>
    <t>b) P(k=3)</t>
  </si>
  <si>
    <t>c) P(k=0)</t>
  </si>
  <si>
    <t>Parâmetros da distribuição Normal</t>
  </si>
  <si>
    <t>a) P(X&gt;4%)</t>
  </si>
  <si>
    <t>b) P(X&lt;3%)</t>
  </si>
  <si>
    <t>c) P(X&lt;0%)</t>
  </si>
  <si>
    <t>Z</t>
  </si>
  <si>
    <t>a) P(Z&gt;1,00)</t>
  </si>
  <si>
    <t>b) P(Z&lt;0,17)</t>
  </si>
  <si>
    <t>c) P(Z&lt;-2,33)</t>
  </si>
  <si>
    <t>Z Crítico Calculado</t>
  </si>
  <si>
    <t>Probabilidade</t>
  </si>
  <si>
    <t>Tabela Z</t>
  </si>
  <si>
    <t>Coeficiente de Curtose</t>
  </si>
  <si>
    <t>Coeficiente de Assimetria</t>
  </si>
  <si>
    <t>M3</t>
  </si>
  <si>
    <t>M4</t>
  </si>
  <si>
    <t>F</t>
  </si>
  <si>
    <t>Dist F</t>
  </si>
  <si>
    <t>Teste-F: duas amostras para variâncias</t>
  </si>
  <si>
    <t>Variável 1</t>
  </si>
  <si>
    <t>Variável 2</t>
  </si>
  <si>
    <t>Observações</t>
  </si>
  <si>
    <t>gl</t>
  </si>
  <si>
    <t>P(F&lt;=f) uni-caudal</t>
  </si>
  <si>
    <t>F crítico uni-caudal</t>
  </si>
  <si>
    <t>p-valor F</t>
  </si>
  <si>
    <t>Graus de liberdade</t>
  </si>
  <si>
    <t>Qui</t>
  </si>
  <si>
    <t>DistQui²</t>
  </si>
  <si>
    <t>Exercícios</t>
  </si>
  <si>
    <t>Resposta</t>
  </si>
  <si>
    <t>t</t>
  </si>
  <si>
    <t>Dist t</t>
  </si>
  <si>
    <t>Parâmetros da distribuição t</t>
  </si>
  <si>
    <t>P(T&gt;2,5)</t>
  </si>
  <si>
    <t>P(-1&lt;T&lt;2)</t>
  </si>
  <si>
    <t>P(T&gt;t) = 5%</t>
  </si>
  <si>
    <t>Quantidade (g)</t>
  </si>
  <si>
    <t>Dist Z</t>
  </si>
  <si>
    <t>Amostra</t>
  </si>
  <si>
    <t>As médias são iguais.</t>
  </si>
  <si>
    <t>Histórico</t>
  </si>
  <si>
    <t>A média atual é maior do que o histórico.</t>
  </si>
  <si>
    <t>Estatística Z</t>
  </si>
  <si>
    <t>Valor Crítico Distrib. Z</t>
  </si>
  <si>
    <t>p-valor Z</t>
  </si>
  <si>
    <t>A correlação = 0</t>
  </si>
  <si>
    <r>
      <t xml:space="preserve">A correlação </t>
    </r>
    <r>
      <rPr>
        <b/>
        <sz val="11"/>
        <color theme="1"/>
        <rFont val="Calibri"/>
        <family val="2"/>
      </rPr>
      <t>≠</t>
    </r>
    <r>
      <rPr>
        <b/>
        <sz val="9.9"/>
        <color theme="1"/>
        <rFont val="Calibri"/>
        <family val="2"/>
      </rPr>
      <t xml:space="preserve"> 0</t>
    </r>
  </si>
  <si>
    <t>Valor Crítico Tabela t</t>
  </si>
  <si>
    <t>3,995 &gt; 2,048</t>
  </si>
  <si>
    <t>Rejeita H0</t>
  </si>
  <si>
    <t>-1,718 &gt; -2,048</t>
  </si>
  <si>
    <t>-1,601 &gt; -2,048</t>
  </si>
  <si>
    <t>Não Rejeita H0</t>
  </si>
  <si>
    <t>Parâmetros da dist. binomial negativa</t>
  </si>
  <si>
    <t>a) P(X=10) e K=3</t>
  </si>
  <si>
    <t>b) P(X=20) e K=3</t>
  </si>
  <si>
    <t>Parâmetros da distribuição F</t>
  </si>
  <si>
    <t>Graus de liberdade Numerador</t>
  </si>
  <si>
    <t>Graus de liberdade Denominador</t>
  </si>
  <si>
    <t>P(X&gt;1,5)</t>
  </si>
  <si>
    <t>P(X&lt;1)</t>
  </si>
  <si>
    <t>P(2&lt;X&lt;3)</t>
  </si>
  <si>
    <t>O valor de x para P(X&gt;x) = 5%</t>
  </si>
  <si>
    <t>Dia</t>
  </si>
  <si>
    <t>Freq. Observada</t>
  </si>
  <si>
    <t>Freq. Esperada</t>
  </si>
  <si>
    <t>Dom</t>
  </si>
  <si>
    <t>Seg</t>
  </si>
  <si>
    <t>Ter</t>
  </si>
  <si>
    <t>Qua</t>
  </si>
  <si>
    <t>Sex</t>
  </si>
  <si>
    <t>Sab</t>
  </si>
  <si>
    <t>As frequências observadas e esperadas são iguais.</t>
  </si>
  <si>
    <t>As frequências observadas e esperadas são diferentes.</t>
  </si>
  <si>
    <t>Estatística Qui²</t>
  </si>
  <si>
    <t>Valor Crítico Distrib. Qui²</t>
  </si>
  <si>
    <t>Conclusão: como o valor calculado da estatísica qui² é menor do que o valor crítico para o nível de signifcância de 5%, a hipótese nula não é rejeitada.</t>
  </si>
  <si>
    <t>Valor calculado para o qui-quadrado</t>
  </si>
  <si>
    <t>N</t>
  </si>
  <si>
    <t>Tamanho (cm)</t>
  </si>
  <si>
    <t>Nível de Confiança</t>
  </si>
  <si>
    <t>Limite 1</t>
  </si>
  <si>
    <t>Limite 2</t>
  </si>
  <si>
    <t>Estimativa</t>
  </si>
  <si>
    <t>Estatística t (bicaudal)</t>
  </si>
  <si>
    <t>Teste T Duas Amostras</t>
  </si>
  <si>
    <t>Teste-t: duas amostras presumindo variâncias equivalentes</t>
  </si>
  <si>
    <t>Sp</t>
  </si>
  <si>
    <t>Estatística Teste F</t>
  </si>
  <si>
    <t>Graus de Liberdade (n1+n2-2)</t>
  </si>
  <si>
    <t>Valor Crítico t Bicaudal</t>
  </si>
  <si>
    <t>Variância agrupada</t>
  </si>
  <si>
    <t>Valor Crítico F</t>
  </si>
  <si>
    <t>Hipótese da diferença de média</t>
  </si>
  <si>
    <t>As variâncias são iguais.</t>
  </si>
  <si>
    <t>Stat t</t>
  </si>
  <si>
    <t>As variâncias são diferentes.</t>
  </si>
  <si>
    <t>As médias são diferentes.</t>
  </si>
  <si>
    <t>P(T&lt;=t) uni-caudal</t>
  </si>
  <si>
    <t>t crítico uni-caudal</t>
  </si>
  <si>
    <t>Como o valor calculado para a estatística F é menor do que o valor crítico para o nível de significância de 5%, a H0 não é rejeitada. Portanto, as variâncias são iguais.</t>
  </si>
  <si>
    <t>Como o valor calculado para a estatística t é maior do que o valor crítico para o nível de significância de 5%, a H0 é rejeitada. Portanto, as médias são diferentes.</t>
  </si>
  <si>
    <t>P(T&lt;=t) bi-caudal</t>
  </si>
  <si>
    <t>t crítico bi-caudal</t>
  </si>
  <si>
    <t>Forno A (T°C)</t>
  </si>
  <si>
    <t>Forno B (T°C)</t>
  </si>
  <si>
    <t>Forno A</t>
  </si>
  <si>
    <t>Forno B</t>
  </si>
  <si>
    <t>Tempo (minutos)</t>
  </si>
  <si>
    <t>Amostra Atual</t>
  </si>
  <si>
    <t>Tamanho</t>
  </si>
  <si>
    <t>Minutos</t>
  </si>
  <si>
    <t>A média atual é menor do que o histórico.</t>
  </si>
  <si>
    <t>p-valor t (unicaudal)</t>
  </si>
  <si>
    <t>Valor Crítico T (unicaudal)</t>
  </si>
  <si>
    <t>Dist T</t>
  </si>
  <si>
    <t>Conclusão: como o valor calculado da estatísica t não está na região crítica para o nível de significância de 1%, a hipótese nula não é rejeitada. (ATENÇÃO AO SINAL)</t>
  </si>
  <si>
    <t xml:space="preserve">Conclusão: como o valor calculado da estatísica Z é maior do que o valor crítico para o nível de significância de 5%, a hipótese nula é rejeitada. </t>
  </si>
  <si>
    <t>Parâmetros da distribuição Qui²</t>
  </si>
  <si>
    <t>P(X&gt;6)</t>
  </si>
  <si>
    <t>P(X&lt;8)</t>
  </si>
  <si>
    <t>Valor de X para que P(X&gt;x) = 5%</t>
  </si>
  <si>
    <t>Valor de X para que P(X&lt;x) = 90%</t>
  </si>
  <si>
    <t>k</t>
  </si>
  <si>
    <t>P(X=k)</t>
  </si>
  <si>
    <t>x</t>
  </si>
  <si>
    <t>p</t>
  </si>
  <si>
    <t>P(X=x)</t>
  </si>
  <si>
    <t>n</t>
  </si>
  <si>
    <t>Informação: Dado os valores críticos de Z, a tabela mostra a probabilidade na cauda superior.</t>
  </si>
  <si>
    <t>Qui²</t>
  </si>
  <si>
    <t>Informação: Dadas as probabilidades na cauda direita (nível de significância), a tabela traz o valor crítico de Qui² para cada grau de liberdade.</t>
  </si>
  <si>
    <t>Graus Lib.</t>
  </si>
  <si>
    <t>Informação: Dadas as probabilidades na cauda direita (nível de significância), a tabela traz o valor crítico de "t" para cada grau de liberdade.</t>
  </si>
  <si>
    <t>Graus Lib. Denominador</t>
  </si>
  <si>
    <t>Graus Lib. Numerador</t>
  </si>
  <si>
    <t>Informação: Dadas as probabilidades na cauda direita (nível de significância), a tabela traz o valor crítico de "F" para cada grau de liberdade no numerador e denominador.</t>
  </si>
  <si>
    <t>Operadora</t>
  </si>
  <si>
    <t>Nível de satisfação</t>
  </si>
  <si>
    <t>Total Health</t>
  </si>
  <si>
    <t>Viva Vida</t>
  </si>
  <si>
    <t>Mena Saúde</t>
  </si>
  <si>
    <t>Baixo</t>
  </si>
  <si>
    <t>Médio</t>
  </si>
  <si>
    <t>Alto</t>
  </si>
  <si>
    <t>As variáveis não são associadas.</t>
  </si>
  <si>
    <t>As variáveis são associadas significativamente.</t>
  </si>
  <si>
    <t>Conclusão: Como o valor calculado para a estatística qui² é maior do que o valor crítico ao nível de significância de 5%, rejeita-se H0. Portanto, as variáveis são associadas.</t>
  </si>
  <si>
    <r>
      <rPr>
        <b/>
        <sz val="11"/>
        <color theme="1"/>
        <rFont val="Calibri"/>
        <family val="2"/>
      </rPr>
      <t>λ</t>
    </r>
    <r>
      <rPr>
        <b/>
        <sz val="11"/>
        <color theme="1"/>
        <rFont val="Calibri"/>
        <family val="2"/>
        <scheme val="minor"/>
      </rPr>
      <t xml:space="preserve"> (taxa média de ocorrências)</t>
    </r>
  </si>
  <si>
    <t>d) P(1%&lt;X&lt;5%)</t>
  </si>
  <si>
    <t>d) P(-1,50&lt;Z&lt;1,83)</t>
  </si>
  <si>
    <t>P(T&lt;-2,5)</t>
  </si>
  <si>
    <t>T=-1</t>
  </si>
  <si>
    <t>T=2</t>
  </si>
  <si>
    <t>X=2</t>
  </si>
  <si>
    <t>X=3</t>
  </si>
  <si>
    <t>As variâncias são iguais</t>
  </si>
  <si>
    <t>d) P(k=5)</t>
  </si>
  <si>
    <t>c) P(X=5) e K=1</t>
  </si>
  <si>
    <t>λ</t>
  </si>
  <si>
    <t>Fávero, Luiz Paulo; Belfiore, Patrícia. (2024). Manual de análise de dados: estatística e machine learning com Excel®, SPSS®, Stata®, R® e Python®. 2 ed. Rio de Janeiro: LTC.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</si>
</sst>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%"/>
    <numFmt numFmtId="165" formatCode="0.000"/>
    <numFmt numFmtId="166" formatCode="0.0000"/>
    <numFmt numFmtId="167" formatCode="0.00000000000000000000000000000000000000000000000%"/>
    <numFmt numFmtId="168" formatCode="0.00000"/>
    <numFmt numFmtId="169" formatCode="0.0"/>
    <numFmt numFmtId="170" formatCode="0.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9.9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9" fontId="2" fillId="3" borderId="1" xfId="1" applyFont="1" applyFill="1" applyBorder="1" applyAlignment="1">
      <alignment horizontal="center"/>
    </xf>
    <xf numFmtId="0" fontId="2" fillId="0" borderId="1" xfId="1" applyNumberFormat="1" applyFont="1" applyBorder="1" applyAlignment="1">
      <alignment horizontal="center"/>
    </xf>
    <xf numFmtId="0" fontId="2" fillId="0" borderId="0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1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0" fontId="0" fillId="0" borderId="1" xfId="1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2" xfId="0" applyBorder="1"/>
    <xf numFmtId="0" fontId="3" fillId="0" borderId="3" xfId="0" applyFont="1" applyBorder="1" applyAlignment="1">
      <alignment horizontal="centerContinuous"/>
    </xf>
    <xf numFmtId="0" fontId="2" fillId="8" borderId="9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9" borderId="13" xfId="0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2" xfId="0" applyNumberFormat="1" applyBorder="1" applyAlignment="1">
      <alignment horizontal="center"/>
    </xf>
    <xf numFmtId="167" fontId="0" fillId="0" borderId="0" xfId="1" applyNumberFormat="1" applyFont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10" fontId="2" fillId="0" borderId="1" xfId="0" applyNumberFormat="1" applyFont="1" applyBorder="1" applyAlignment="1">
      <alignment horizontal="center"/>
    </xf>
    <xf numFmtId="10" fontId="2" fillId="0" borderId="1" xfId="1" applyNumberFormat="1" applyFont="1" applyBorder="1" applyAlignment="1">
      <alignment horizontal="center"/>
    </xf>
    <xf numFmtId="0" fontId="6" fillId="0" borderId="1" xfId="0" applyFont="1" applyBorder="1"/>
    <xf numFmtId="2" fontId="2" fillId="0" borderId="1" xfId="1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9" xfId="0" applyFont="1" applyBorder="1"/>
    <xf numFmtId="2" fontId="2" fillId="0" borderId="9" xfId="1" applyNumberFormat="1" applyFont="1" applyBorder="1" applyAlignment="1">
      <alignment horizontal="center"/>
    </xf>
    <xf numFmtId="0" fontId="2" fillId="0" borderId="0" xfId="0" applyFont="1"/>
    <xf numFmtId="10" fontId="2" fillId="0" borderId="0" xfId="0" applyNumberFormat="1" applyFont="1" applyAlignment="1">
      <alignment horizontal="center"/>
    </xf>
    <xf numFmtId="0" fontId="2" fillId="10" borderId="1" xfId="0" applyFont="1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6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2" fillId="4" borderId="1" xfId="0" applyNumberFormat="1" applyFont="1" applyFill="1" applyBorder="1" applyAlignment="1">
      <alignment horizontal="center" vertical="center"/>
    </xf>
    <xf numFmtId="168" fontId="2" fillId="4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0" fontId="2" fillId="0" borderId="9" xfId="1" applyNumberFormat="1" applyFont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9" fontId="2" fillId="0" borderId="1" xfId="1" applyFont="1" applyBorder="1" applyAlignment="1">
      <alignment horizontal="center"/>
    </xf>
    <xf numFmtId="10" fontId="2" fillId="0" borderId="0" xfId="1" applyNumberFormat="1" applyFont="1" applyBorder="1" applyAlignment="1">
      <alignment horizontal="center"/>
    </xf>
    <xf numFmtId="0" fontId="0" fillId="13" borderId="1" xfId="0" applyFill="1" applyBorder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vertical="top"/>
    </xf>
    <xf numFmtId="2" fontId="2" fillId="0" borderId="0" xfId="1" applyNumberFormat="1" applyFont="1" applyBorder="1" applyAlignment="1">
      <alignment horizontal="center"/>
    </xf>
    <xf numFmtId="2" fontId="2" fillId="0" borderId="0" xfId="1" applyNumberFormat="1" applyFont="1" applyFill="1" applyBorder="1" applyAlignment="1">
      <alignment horizontal="center"/>
    </xf>
    <xf numFmtId="10" fontId="1" fillId="0" borderId="0" xfId="1" applyNumberFormat="1" applyFont="1" applyBorder="1" applyAlignment="1">
      <alignment horizontal="center"/>
    </xf>
    <xf numFmtId="10" fontId="1" fillId="0" borderId="0" xfId="1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center"/>
    </xf>
    <xf numFmtId="169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165" fontId="2" fillId="4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6" fontId="2" fillId="11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2" fontId="2" fillId="10" borderId="1" xfId="0" applyNumberFormat="1" applyFont="1" applyFill="1" applyBorder="1" applyAlignment="1">
      <alignment horizontal="center" vertical="center"/>
    </xf>
    <xf numFmtId="17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0" fontId="2" fillId="0" borderId="0" xfId="0" applyNumberFormat="1" applyFont="1" applyAlignment="1">
      <alignment horizontal="left"/>
    </xf>
    <xf numFmtId="2" fontId="0" fillId="0" borderId="1" xfId="0" quotePrefix="1" applyNumberFormat="1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/>
    <xf numFmtId="2" fontId="0" fillId="0" borderId="0" xfId="0" applyNumberFormat="1" applyAlignment="1">
      <alignment horizontal="center"/>
    </xf>
    <xf numFmtId="2" fontId="0" fillId="0" borderId="0" xfId="0" quotePrefix="1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center"/>
    </xf>
    <xf numFmtId="0" fontId="2" fillId="4" borderId="1" xfId="0" applyFont="1" applyFill="1" applyBorder="1"/>
    <xf numFmtId="165" fontId="0" fillId="4" borderId="1" xfId="0" applyNumberForma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170" fontId="0" fillId="4" borderId="1" xfId="0" applyNumberFormat="1" applyFill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14" borderId="1" xfId="0" applyFill="1" applyBorder="1"/>
    <xf numFmtId="0" fontId="2" fillId="14" borderId="1" xfId="0" applyFont="1" applyFill="1" applyBorder="1"/>
    <xf numFmtId="0" fontId="2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2" fontId="2" fillId="16" borderId="1" xfId="0" applyNumberFormat="1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169" fontId="2" fillId="16" borderId="1" xfId="0" applyNumberFormat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" fontId="2" fillId="16" borderId="1" xfId="0" applyNumberFormat="1" applyFont="1" applyFill="1" applyBorder="1" applyAlignment="1">
      <alignment horizontal="center"/>
    </xf>
    <xf numFmtId="164" fontId="2" fillId="17" borderId="1" xfId="0" applyNumberFormat="1" applyFont="1" applyFill="1" applyBorder="1" applyAlignment="1">
      <alignment horizontal="center"/>
    </xf>
    <xf numFmtId="1" fontId="2" fillId="16" borderId="9" xfId="0" applyNumberFormat="1" applyFont="1" applyFill="1" applyBorder="1" applyAlignment="1">
      <alignment horizontal="center" vertical="center"/>
    </xf>
    <xf numFmtId="165" fontId="2" fillId="9" borderId="15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165" fontId="2" fillId="3" borderId="15" xfId="0" applyNumberFormat="1" applyFont="1" applyFill="1" applyBorder="1" applyAlignment="1">
      <alignment horizontal="center" vertical="center"/>
    </xf>
    <xf numFmtId="10" fontId="2" fillId="0" borderId="0" xfId="1" applyNumberFormat="1" applyFont="1" applyFill="1" applyBorder="1" applyAlignment="1">
      <alignment horizontal="center"/>
    </xf>
    <xf numFmtId="10" fontId="2" fillId="0" borderId="1" xfId="1" applyNumberFormat="1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2" fillId="6" borderId="4" xfId="0" applyFont="1" applyFill="1" applyBorder="1" applyAlignment="1">
      <alignment horizontal="left" vertical="top" wrapText="1"/>
    </xf>
    <xf numFmtId="0" fontId="2" fillId="6" borderId="5" xfId="0" applyFont="1" applyFill="1" applyBorder="1" applyAlignment="1">
      <alignment horizontal="left" vertical="top" wrapText="1"/>
    </xf>
    <xf numFmtId="0" fontId="2" fillId="6" borderId="6" xfId="0" applyFont="1" applyFill="1" applyBorder="1" applyAlignment="1">
      <alignment horizontal="left" vertical="top" wrapText="1"/>
    </xf>
    <xf numFmtId="0" fontId="2" fillId="6" borderId="7" xfId="0" applyFont="1" applyFill="1" applyBorder="1" applyAlignment="1">
      <alignment horizontal="left" vertical="top" wrapText="1"/>
    </xf>
    <xf numFmtId="0" fontId="2" fillId="6" borderId="0" xfId="0" applyFont="1" applyFill="1" applyAlignment="1">
      <alignment horizontal="left" vertical="top" wrapText="1"/>
    </xf>
    <xf numFmtId="0" fontId="2" fillId="6" borderId="8" xfId="0" applyFont="1" applyFill="1" applyBorder="1" applyAlignment="1">
      <alignment horizontal="left" vertical="top" wrapText="1"/>
    </xf>
    <xf numFmtId="0" fontId="2" fillId="6" borderId="10" xfId="0" applyFont="1" applyFill="1" applyBorder="1" applyAlignment="1">
      <alignment horizontal="left" vertical="top" wrapText="1"/>
    </xf>
    <xf numFmtId="0" fontId="2" fillId="6" borderId="11" xfId="0" applyFont="1" applyFill="1" applyBorder="1" applyAlignment="1">
      <alignment horizontal="left" vertical="top" wrapText="1"/>
    </xf>
    <xf numFmtId="0" fontId="2" fillId="6" borderId="12" xfId="0" applyFont="1" applyFill="1" applyBorder="1" applyAlignment="1">
      <alignment horizontal="left" vertical="top" wrapText="1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0" fillId="8" borderId="1" xfId="0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 vertical="top" wrapText="1"/>
    </xf>
    <xf numFmtId="165" fontId="2" fillId="4" borderId="13" xfId="0" applyNumberFormat="1" applyFont="1" applyFill="1" applyBorder="1" applyAlignment="1">
      <alignment horizontal="center"/>
    </xf>
    <xf numFmtId="165" fontId="2" fillId="4" borderId="14" xfId="0" applyNumberFormat="1" applyFont="1" applyFill="1" applyBorder="1" applyAlignment="1">
      <alignment horizontal="center"/>
    </xf>
    <xf numFmtId="165" fontId="2" fillId="4" borderId="15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top" wrapText="1"/>
    </xf>
    <xf numFmtId="0" fontId="0" fillId="6" borderId="5" xfId="0" applyFill="1" applyBorder="1" applyAlignment="1">
      <alignment horizontal="left" vertical="top" wrapText="1"/>
    </xf>
    <xf numFmtId="0" fontId="0" fillId="6" borderId="6" xfId="0" applyFill="1" applyBorder="1" applyAlignment="1">
      <alignment horizontal="left" vertical="top" wrapText="1"/>
    </xf>
    <xf numFmtId="0" fontId="0" fillId="6" borderId="7" xfId="0" applyFill="1" applyBorder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8" xfId="0" applyFill="1" applyBorder="1" applyAlignment="1">
      <alignment horizontal="left" vertical="top" wrapText="1"/>
    </xf>
    <xf numFmtId="0" fontId="0" fillId="6" borderId="10" xfId="0" applyFill="1" applyBorder="1" applyAlignment="1">
      <alignment horizontal="left" vertical="top" wrapText="1"/>
    </xf>
    <xf numFmtId="0" fontId="0" fillId="6" borderId="11" xfId="0" applyFill="1" applyBorder="1" applyAlignment="1">
      <alignment horizontal="left" vertical="top" wrapText="1"/>
    </xf>
    <xf numFmtId="0" fontId="0" fillId="6" borderId="12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2" fillId="15" borderId="4" xfId="0" applyFont="1" applyFill="1" applyBorder="1" applyAlignment="1">
      <alignment horizontal="left" vertical="top" wrapText="1"/>
    </xf>
    <xf numFmtId="0" fontId="2" fillId="15" borderId="5" xfId="0" applyFont="1" applyFill="1" applyBorder="1" applyAlignment="1">
      <alignment horizontal="left" vertical="top" wrapText="1"/>
    </xf>
    <xf numFmtId="0" fontId="2" fillId="15" borderId="6" xfId="0" applyFont="1" applyFill="1" applyBorder="1" applyAlignment="1">
      <alignment horizontal="left" vertical="top" wrapText="1"/>
    </xf>
    <xf numFmtId="0" fontId="2" fillId="15" borderId="7" xfId="0" applyFont="1" applyFill="1" applyBorder="1" applyAlignment="1">
      <alignment horizontal="left" vertical="top" wrapText="1"/>
    </xf>
    <xf numFmtId="0" fontId="2" fillId="15" borderId="0" xfId="0" applyFont="1" applyFill="1" applyAlignment="1">
      <alignment horizontal="left" vertical="top" wrapText="1"/>
    </xf>
    <xf numFmtId="0" fontId="2" fillId="15" borderId="8" xfId="0" applyFont="1" applyFill="1" applyBorder="1" applyAlignment="1">
      <alignment horizontal="left" vertical="top" wrapText="1"/>
    </xf>
    <xf numFmtId="0" fontId="2" fillId="15" borderId="10" xfId="0" applyFont="1" applyFill="1" applyBorder="1" applyAlignment="1">
      <alignment horizontal="left" vertical="top" wrapText="1"/>
    </xf>
    <xf numFmtId="0" fontId="2" fillId="15" borderId="11" xfId="0" applyFont="1" applyFill="1" applyBorder="1" applyAlignment="1">
      <alignment horizontal="left" vertical="top" wrapText="1"/>
    </xf>
    <xf numFmtId="0" fontId="2" fillId="15" borderId="12" xfId="0" applyFont="1" applyFill="1" applyBorder="1" applyAlignment="1">
      <alignment horizontal="left" vertical="top" wrapText="1"/>
    </xf>
    <xf numFmtId="2" fontId="2" fillId="16" borderId="16" xfId="0" applyNumberFormat="1" applyFont="1" applyFill="1" applyBorder="1" applyAlignment="1">
      <alignment horizontal="center" vertical="center"/>
    </xf>
    <xf numFmtId="2" fontId="2" fillId="16" borderId="9" xfId="0" applyNumberFormat="1" applyFont="1" applyFill="1" applyBorder="1" applyAlignment="1">
      <alignment horizontal="center" vertical="center"/>
    </xf>
    <xf numFmtId="165" fontId="2" fillId="16" borderId="16" xfId="0" applyNumberFormat="1" applyFont="1" applyFill="1" applyBorder="1" applyAlignment="1">
      <alignment horizontal="center" vertical="center"/>
    </xf>
    <xf numFmtId="165" fontId="2" fillId="16" borderId="9" xfId="0" applyNumberFormat="1" applyFont="1" applyFill="1" applyBorder="1" applyAlignment="1">
      <alignment horizontal="center" vertical="center"/>
    </xf>
    <xf numFmtId="9" fontId="2" fillId="17" borderId="13" xfId="0" applyNumberFormat="1" applyFont="1" applyFill="1" applyBorder="1" applyAlignment="1">
      <alignment horizontal="center"/>
    </xf>
    <xf numFmtId="9" fontId="2" fillId="17" borderId="14" xfId="0" applyNumberFormat="1" applyFont="1" applyFill="1" applyBorder="1" applyAlignment="1">
      <alignment horizontal="center"/>
    </xf>
    <xf numFmtId="0" fontId="9" fillId="15" borderId="16" xfId="0" applyFont="1" applyFill="1" applyBorder="1" applyAlignment="1">
      <alignment horizontal="center" wrapText="1"/>
    </xf>
    <xf numFmtId="0" fontId="9" fillId="15" borderId="9" xfId="0" applyFont="1" applyFill="1" applyBorder="1" applyAlignment="1">
      <alignment horizontal="center" wrapText="1"/>
    </xf>
    <xf numFmtId="2" fontId="9" fillId="15" borderId="13" xfId="0" applyNumberFormat="1" applyFont="1" applyFill="1" applyBorder="1" applyAlignment="1">
      <alignment horizontal="center" vertical="center"/>
    </xf>
    <xf numFmtId="2" fontId="9" fillId="15" borderId="14" xfId="0" applyNumberFormat="1" applyFont="1" applyFill="1" applyBorder="1" applyAlignment="1">
      <alignment horizontal="center" vertical="center"/>
    </xf>
    <xf numFmtId="2" fontId="9" fillId="15" borderId="15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99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'Tabela de Frequências'!$D$1</c:f>
              <c:strCache>
                <c:ptCount val="1"/>
                <c:pt idx="0">
                  <c:v>País de Origem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A5-49FD-82CA-6A37F7F9B18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A5-49FD-82CA-6A37F7F9B18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A5-49FD-82CA-6A37F7F9B18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A5-49FD-82CA-6A37F7F9B182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5A5-49FD-82CA-6A37F7F9B182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5A5-49FD-82CA-6A37F7F9B182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EC0-4EF6-A976-798839F86A2C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5A5-49FD-82CA-6A37F7F9B182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5A5-49FD-82CA-6A37F7F9B182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5A5-49FD-82CA-6A37F7F9B182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5A5-49FD-82CA-6A37F7F9B182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5A5-49FD-82CA-6A37F7F9B182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5A5-49FD-82CA-6A37F7F9B182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5A5-49FD-82CA-6A37F7F9B182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5A5-49FD-82CA-6A37F7F9B182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5A5-49FD-82CA-6A37F7F9B182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5A5-49FD-82CA-6A37F7F9B182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5A5-49FD-82CA-6A37F7F9B182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5A5-49FD-82CA-6A37F7F9B182}"/>
              </c:ext>
            </c:extLst>
          </c:dPt>
          <c:dLbls>
            <c:dLbl>
              <c:idx val="6"/>
              <c:layout>
                <c:manualLayout>
                  <c:x val="-3.9622974364845388E-2"/>
                  <c:y val="-5.71953811749175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EC0-4EF6-A976-798839F86A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de Frequências'!$D$2:$D$20</c:f>
              <c:strCache>
                <c:ptCount val="19"/>
                <c:pt idx="0">
                  <c:v>África do Sul</c:v>
                </c:pt>
                <c:pt idx="1">
                  <c:v>Alemanha</c:v>
                </c:pt>
                <c:pt idx="2">
                  <c:v>Argentina</c:v>
                </c:pt>
                <c:pt idx="3">
                  <c:v>Austrália</c:v>
                </c:pt>
                <c:pt idx="4">
                  <c:v>Brasil</c:v>
                </c:pt>
                <c:pt idx="5">
                  <c:v>Canadá</c:v>
                </c:pt>
                <c:pt idx="6">
                  <c:v>Chile</c:v>
                </c:pt>
                <c:pt idx="7">
                  <c:v>China</c:v>
                </c:pt>
                <c:pt idx="8">
                  <c:v>Egito</c:v>
                </c:pt>
                <c:pt idx="9">
                  <c:v>EUA</c:v>
                </c:pt>
                <c:pt idx="10">
                  <c:v>França</c:v>
                </c:pt>
                <c:pt idx="11">
                  <c:v>Índia</c:v>
                </c:pt>
                <c:pt idx="12">
                  <c:v>Inglaterra</c:v>
                </c:pt>
                <c:pt idx="13">
                  <c:v>Itália</c:v>
                </c:pt>
                <c:pt idx="14">
                  <c:v>Japão</c:v>
                </c:pt>
                <c:pt idx="15">
                  <c:v>México</c:v>
                </c:pt>
                <c:pt idx="16">
                  <c:v>Rússia</c:v>
                </c:pt>
                <c:pt idx="17">
                  <c:v>Suiça</c:v>
                </c:pt>
                <c:pt idx="18">
                  <c:v>Uruguai</c:v>
                </c:pt>
              </c:strCache>
            </c:strRef>
          </c:cat>
          <c:val>
            <c:numRef>
              <c:f>'Tabela de Frequências'!$F$2:$F$20</c:f>
              <c:numCache>
                <c:formatCode>0.0%</c:formatCode>
                <c:ptCount val="19"/>
                <c:pt idx="0">
                  <c:v>4.6666666666666669E-2</c:v>
                </c:pt>
                <c:pt idx="1">
                  <c:v>3.3333333333333333E-2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0.19666666666666666</c:v>
                </c:pt>
                <c:pt idx="5">
                  <c:v>0.03</c:v>
                </c:pt>
                <c:pt idx="6">
                  <c:v>2.3333333333333334E-2</c:v>
                </c:pt>
                <c:pt idx="7">
                  <c:v>0.06</c:v>
                </c:pt>
                <c:pt idx="8">
                  <c:v>2.6666666666666668E-2</c:v>
                </c:pt>
                <c:pt idx="9">
                  <c:v>0.11666666666666667</c:v>
                </c:pt>
                <c:pt idx="10">
                  <c:v>3.3333333333333333E-2</c:v>
                </c:pt>
                <c:pt idx="11">
                  <c:v>6.3333333333333339E-2</c:v>
                </c:pt>
                <c:pt idx="12">
                  <c:v>0.04</c:v>
                </c:pt>
                <c:pt idx="13">
                  <c:v>0.03</c:v>
                </c:pt>
                <c:pt idx="14">
                  <c:v>5.3333333333333337E-2</c:v>
                </c:pt>
                <c:pt idx="15">
                  <c:v>2.3333333333333334E-2</c:v>
                </c:pt>
                <c:pt idx="16">
                  <c:v>4.6666666666666669E-2</c:v>
                </c:pt>
                <c:pt idx="17">
                  <c:v>3.6666666666666667E-2</c:v>
                </c:pt>
                <c:pt idx="18">
                  <c:v>5.6666666666666664E-2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EC0-4EF6-A976-798839F86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'Teste t Médias'!$E$2:$E$102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'Teste t Médias'!$F$2:$F$102</c:f>
              <c:numCache>
                <c:formatCode>0.00</c:formatCode>
                <c:ptCount val="101"/>
                <c:pt idx="0">
                  <c:v>5.2671658362090631E-5</c:v>
                </c:pt>
                <c:pt idx="1">
                  <c:v>6.7980079483886916E-5</c:v>
                </c:pt>
                <c:pt idx="2">
                  <c:v>8.773776745425236E-5</c:v>
                </c:pt>
                <c:pt idx="3">
                  <c:v>1.1322547233945233E-4</c:v>
                </c:pt>
                <c:pt idx="4">
                  <c:v>1.4608439523534675E-4</c:v>
                </c:pt>
                <c:pt idx="5">
                  <c:v>1.8841351629347321E-4</c:v>
                </c:pt>
                <c:pt idx="6">
                  <c:v>2.4289136387486981E-4</c:v>
                </c:pt>
                <c:pt idx="7">
                  <c:v>3.1292758898924828E-4</c:v>
                </c:pt>
                <c:pt idx="8">
                  <c:v>4.0285056971879862E-4</c:v>
                </c:pt>
                <c:pt idx="9">
                  <c:v>5.1813813549870429E-4</c:v>
                </c:pt>
                <c:pt idx="10">
                  <c:v>6.6569930117954101E-4</c:v>
                </c:pt>
                <c:pt idx="11">
                  <c:v>8.5421553211713645E-4</c:v>
                </c:pt>
                <c:pt idx="12">
                  <c:v>1.0945503777529081E-3</c:v>
                </c:pt>
                <c:pt idx="13">
                  <c:v>1.4002361140689329E-3</c:v>
                </c:pt>
                <c:pt idx="14">
                  <c:v>1.7880450668853064E-3</c:v>
                </c:pt>
                <c:pt idx="15">
                  <c:v>2.278651225223945E-3</c:v>
                </c:pt>
                <c:pt idx="16">
                  <c:v>2.8973842094988079E-3</c:v>
                </c:pt>
                <c:pt idx="17">
                  <c:v>3.6750721911118066E-3</c:v>
                </c:pt>
                <c:pt idx="18">
                  <c:v>4.6489624951230879E-3</c:v>
                </c:pt>
                <c:pt idx="19">
                  <c:v>5.8636978944924213E-3</c:v>
                </c:pt>
                <c:pt idx="20">
                  <c:v>7.3723126395608537E-3</c:v>
                </c:pt>
                <c:pt idx="21">
                  <c:v>9.2371948497963364E-3</c:v>
                </c:pt>
                <c:pt idx="22">
                  <c:v>1.1530941114839786E-2</c:v>
                </c:pt>
                <c:pt idx="23">
                  <c:v>1.4337005548725856E-2</c:v>
                </c:pt>
                <c:pt idx="24">
                  <c:v>1.7750020277715928E-2</c:v>
                </c:pt>
                <c:pt idx="25">
                  <c:v>2.1875639373835187E-2</c:v>
                </c:pt>
                <c:pt idx="26">
                  <c:v>2.6829736458164076E-2</c:v>
                </c:pt>
                <c:pt idx="27">
                  <c:v>3.2736771466667973E-2</c:v>
                </c:pt>
                <c:pt idx="28">
                  <c:v>3.9727139195741924E-2</c:v>
                </c:pt>
                <c:pt idx="29">
                  <c:v>4.7933326687391524E-2</c:v>
                </c:pt>
                <c:pt idx="30">
                  <c:v>5.7484743899123496E-2</c:v>
                </c:pt>
                <c:pt idx="31">
                  <c:v>6.8501157437247717E-2</c:v>
                </c:pt>
                <c:pt idx="32">
                  <c:v>8.1084753753954561E-2</c:v>
                </c:pt>
                <c:pt idx="33">
                  <c:v>9.5310986543298615E-2</c:v>
                </c:pt>
                <c:pt idx="34">
                  <c:v>0.1112185193305458</c:v>
                </c:pt>
                <c:pt idx="35">
                  <c:v>0.12879874931359533</c:v>
                </c:pt>
                <c:pt idx="36">
                  <c:v>0.14798557730102335</c:v>
                </c:pt>
                <c:pt idx="37">
                  <c:v>0.16864625023800159</c:v>
                </c:pt>
                <c:pt idx="38">
                  <c:v>0.19057422198334129</c:v>
                </c:pt>
                <c:pt idx="39">
                  <c:v>0.21348502747727868</c:v>
                </c:pt>
                <c:pt idx="40">
                  <c:v>0.23701611993911284</c:v>
                </c:pt>
                <c:pt idx="41">
                  <c:v>0.26073146162557914</c:v>
                </c:pt>
                <c:pt idx="42">
                  <c:v>0.28413137890690265</c:v>
                </c:pt>
                <c:pt idx="43">
                  <c:v>0.30666780068205007</c:v>
                </c:pt>
                <c:pt idx="44">
                  <c:v>0.32776452231144204</c:v>
                </c:pt>
                <c:pt idx="45">
                  <c:v>0.34684161991748202</c:v>
                </c:pt>
                <c:pt idx="46">
                  <c:v>0.36334264074730077</c:v>
                </c:pt>
                <c:pt idx="47">
                  <c:v>0.37676277993616819</c:v>
                </c:pt>
                <c:pt idx="48">
                  <c:v>0.38667598545546827</c:v>
                </c:pt>
                <c:pt idx="49">
                  <c:v>0.3927588610289669</c:v>
                </c:pt>
                <c:pt idx="50">
                  <c:v>0.39480938821349071</c:v>
                </c:pt>
                <c:pt idx="51">
                  <c:v>0.3927588610289669</c:v>
                </c:pt>
                <c:pt idx="52">
                  <c:v>0.38667598545546827</c:v>
                </c:pt>
                <c:pt idx="53">
                  <c:v>0.37676277993616819</c:v>
                </c:pt>
                <c:pt idx="54">
                  <c:v>0.36334264074730077</c:v>
                </c:pt>
                <c:pt idx="55">
                  <c:v>0.34684161991748202</c:v>
                </c:pt>
                <c:pt idx="56">
                  <c:v>0.32776452231144204</c:v>
                </c:pt>
                <c:pt idx="57">
                  <c:v>0.30666780068205007</c:v>
                </c:pt>
                <c:pt idx="58">
                  <c:v>0.28413137890690265</c:v>
                </c:pt>
                <c:pt idx="59">
                  <c:v>0.26073146162557914</c:v>
                </c:pt>
                <c:pt idx="60">
                  <c:v>0.23701611993911284</c:v>
                </c:pt>
                <c:pt idx="61">
                  <c:v>0.21348502747727868</c:v>
                </c:pt>
                <c:pt idx="62">
                  <c:v>0.19057422198334129</c:v>
                </c:pt>
                <c:pt idx="63">
                  <c:v>0.16864625023800159</c:v>
                </c:pt>
                <c:pt idx="64">
                  <c:v>0.14798557730102335</c:v>
                </c:pt>
                <c:pt idx="65">
                  <c:v>0.12879874931359533</c:v>
                </c:pt>
                <c:pt idx="66">
                  <c:v>0.1112185193305458</c:v>
                </c:pt>
                <c:pt idx="67">
                  <c:v>9.5310986543298615E-2</c:v>
                </c:pt>
                <c:pt idx="68">
                  <c:v>8.1084753753954561E-2</c:v>
                </c:pt>
                <c:pt idx="69">
                  <c:v>6.8501157437247717E-2</c:v>
                </c:pt>
                <c:pt idx="70">
                  <c:v>5.7484743899123496E-2</c:v>
                </c:pt>
                <c:pt idx="71">
                  <c:v>4.7933326687391524E-2</c:v>
                </c:pt>
                <c:pt idx="72">
                  <c:v>3.9727139195741924E-2</c:v>
                </c:pt>
                <c:pt idx="73">
                  <c:v>3.2736771466667973E-2</c:v>
                </c:pt>
                <c:pt idx="74">
                  <c:v>2.6829736458164076E-2</c:v>
                </c:pt>
                <c:pt idx="75">
                  <c:v>2.1875639373835187E-2</c:v>
                </c:pt>
                <c:pt idx="76">
                  <c:v>1.7750020277715928E-2</c:v>
                </c:pt>
                <c:pt idx="77">
                  <c:v>1.4337005548725856E-2</c:v>
                </c:pt>
                <c:pt idx="78">
                  <c:v>1.1530941114839786E-2</c:v>
                </c:pt>
                <c:pt idx="79">
                  <c:v>9.2371948497963364E-3</c:v>
                </c:pt>
                <c:pt idx="80">
                  <c:v>7.3723126395608537E-3</c:v>
                </c:pt>
                <c:pt idx="81">
                  <c:v>5.8636978944924213E-3</c:v>
                </c:pt>
                <c:pt idx="82">
                  <c:v>4.6489624951230879E-3</c:v>
                </c:pt>
                <c:pt idx="83">
                  <c:v>3.6750721911118066E-3</c:v>
                </c:pt>
                <c:pt idx="84">
                  <c:v>2.8973842094988079E-3</c:v>
                </c:pt>
                <c:pt idx="85">
                  <c:v>2.278651225223945E-3</c:v>
                </c:pt>
                <c:pt idx="86">
                  <c:v>1.7880450668853064E-3</c:v>
                </c:pt>
                <c:pt idx="87">
                  <c:v>1.4002361140689329E-3</c:v>
                </c:pt>
                <c:pt idx="88">
                  <c:v>1.0945503777529081E-3</c:v>
                </c:pt>
                <c:pt idx="89">
                  <c:v>8.5421553211713645E-4</c:v>
                </c:pt>
                <c:pt idx="90">
                  <c:v>6.6569930117954101E-4</c:v>
                </c:pt>
                <c:pt idx="91">
                  <c:v>5.1813813549870429E-4</c:v>
                </c:pt>
                <c:pt idx="92">
                  <c:v>4.0285056971879862E-4</c:v>
                </c:pt>
                <c:pt idx="93">
                  <c:v>3.1292758898924828E-4</c:v>
                </c:pt>
                <c:pt idx="94">
                  <c:v>2.4289136387486981E-4</c:v>
                </c:pt>
                <c:pt idx="95">
                  <c:v>1.8841351629347321E-4</c:v>
                </c:pt>
                <c:pt idx="96">
                  <c:v>1.4608439523534675E-4</c:v>
                </c:pt>
                <c:pt idx="97">
                  <c:v>1.1322547233945233E-4</c:v>
                </c:pt>
                <c:pt idx="98">
                  <c:v>8.773776745425236E-5</c:v>
                </c:pt>
                <c:pt idx="99">
                  <c:v>6.7980079483886916E-5</c:v>
                </c:pt>
                <c:pt idx="100">
                  <c:v>5.2671658362090631E-5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6-4118-9F7B-82D182020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Qui²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'Teste Qui² Uma Amostra'!$F$2:$F$51</c:f>
              <c:numCache>
                <c:formatCode>0.0</c:formatCode>
                <c:ptCount val="5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</c:numCache>
            </c:numRef>
          </c:xVal>
          <c:yVal>
            <c:numRef>
              <c:f>'Teste Qui² Uma Amostra'!$G$2:$G$51</c:f>
              <c:numCache>
                <c:formatCode>0.00</c:formatCode>
                <c:ptCount val="50"/>
                <c:pt idx="0">
                  <c:v>3.7908166232039596E-2</c:v>
                </c:pt>
                <c:pt idx="1">
                  <c:v>6.6426546479205192E-2</c:v>
                </c:pt>
                <c:pt idx="2">
                  <c:v>9.1969860292860584E-2</c:v>
                </c:pt>
                <c:pt idx="3">
                  <c:v>0.1119159362735118</c:v>
                </c:pt>
                <c:pt idx="4">
                  <c:v>0.12551071508349182</c:v>
                </c:pt>
                <c:pt idx="5">
                  <c:v>0.13304567545424711</c:v>
                </c:pt>
                <c:pt idx="6">
                  <c:v>0.13533528323661273</c:v>
                </c:pt>
                <c:pt idx="7">
                  <c:v>0.13339589358610957</c:v>
                </c:pt>
                <c:pt idx="8">
                  <c:v>0.12825781034984188</c:v>
                </c:pt>
                <c:pt idx="9">
                  <c:v>0.12086361259393152</c:v>
                </c:pt>
                <c:pt idx="10">
                  <c:v>0.11202090382769389</c:v>
                </c:pt>
                <c:pt idx="11">
                  <c:v>0.10238814255564095</c:v>
                </c:pt>
                <c:pt idx="12">
                  <c:v>9.2479486730850408E-2</c:v>
                </c:pt>
                <c:pt idx="13">
                  <c:v>8.2679575275032044E-2</c:v>
                </c:pt>
                <c:pt idx="14">
                  <c:v>7.3262555554936729E-2</c:v>
                </c:pt>
                <c:pt idx="15">
                  <c:v>6.441193124532478E-2</c:v>
                </c:pt>
                <c:pt idx="16">
                  <c:v>5.6239294974851674E-2</c:v>
                </c:pt>
                <c:pt idx="17">
                  <c:v>4.8800968255102335E-2</c:v>
                </c:pt>
                <c:pt idx="18">
                  <c:v>4.2112168744284174E-2</c:v>
                </c:pt>
                <c:pt idx="19">
                  <c:v>3.6158681469359244E-2</c:v>
                </c:pt>
                <c:pt idx="20">
                  <c:v>3.0906209003384512E-2</c:v>
                </c:pt>
                <c:pt idx="21">
                  <c:v>2.6307672521150224E-2</c:v>
                </c:pt>
                <c:pt idx="22">
                  <c:v>2.2308769589997227E-2</c:v>
                </c:pt>
                <c:pt idx="23">
                  <c:v>1.8852091174098726E-2</c:v>
                </c:pt>
                <c:pt idx="24">
                  <c:v>1.5880076475825608E-2</c:v>
                </c:pt>
                <c:pt idx="25">
                  <c:v>1.333705068057447E-2</c:v>
                </c:pt>
                <c:pt idx="26">
                  <c:v>1.1170554078042828E-2</c:v>
                </c:pt>
                <c:pt idx="27">
                  <c:v>9.3321353283841203E-3</c:v>
                </c:pt>
                <c:pt idx="28">
                  <c:v>7.7777489552039092E-3</c:v>
                </c:pt>
                <c:pt idx="29">
                  <c:v>6.4678684608318084E-3</c:v>
                </c:pt>
                <c:pt idx="30">
                  <c:v>5.3674020464401905E-3</c:v>
                </c:pt>
                <c:pt idx="31">
                  <c:v>4.4454776390861874E-3</c:v>
                </c:pt>
                <c:pt idx="32">
                  <c:v>3.6751474152547613E-3</c:v>
                </c:pt>
                <c:pt idx="33">
                  <c:v>3.033048801043678E-3</c:v>
                </c:pt>
                <c:pt idx="34">
                  <c:v>2.4990485327552612E-3</c:v>
                </c:pt>
                <c:pt idx="35">
                  <c:v>2.0558883073757707E-3</c:v>
                </c:pt>
                <c:pt idx="36">
                  <c:v>1.6888444118412448E-3</c:v>
                </c:pt>
                <c:pt idx="37">
                  <c:v>1.3854091177289295E-3</c:v>
                </c:pt>
                <c:pt idx="38">
                  <c:v>1.1349982440621222E-3</c:v>
                </c:pt>
                <c:pt idx="39">
                  <c:v>9.286868582740501E-4</c:v>
                </c:pt>
                <c:pt idx="40">
                  <c:v>7.5897338520240635E-4</c:v>
                </c:pt>
                <c:pt idx="41">
                  <c:v>6.1957124964645885E-4</c:v>
                </c:pt>
                <c:pt idx="42">
                  <c:v>5.0522644890493124E-4</c:v>
                </c:pt>
                <c:pt idx="43">
                  <c:v>4.1155902733573321E-4</c:v>
                </c:pt>
                <c:pt idx="44">
                  <c:v>3.3492621960472772E-4</c:v>
                </c:pt>
                <c:pt idx="45">
                  <c:v>2.7230497723883257E-4</c:v>
                </c:pt>
                <c:pt idx="46">
                  <c:v>2.2119164471981543E-4</c:v>
                </c:pt>
                <c:pt idx="47">
                  <c:v>1.7951666966408989E-4</c:v>
                </c:pt>
                <c:pt idx="48">
                  <c:v>1.4557238953432313E-4</c:v>
                </c:pt>
                <c:pt idx="49">
                  <c:v>1.1795211535780776E-4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A-4B6E-82D3-A1FAA4C7E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022783"/>
        <c:axId val="699020287"/>
      </c:scatterChart>
      <c:valAx>
        <c:axId val="69902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020287"/>
        <c:crosses val="autoZero"/>
        <c:crossBetween val="midCat"/>
      </c:valAx>
      <c:valAx>
        <c:axId val="69902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02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'Teste F Variâncias'!$H$2:$H$101</c:f>
              <c:numCache>
                <c:formatCode>0.00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xVal>
          <c:yVal>
            <c:numRef>
              <c:f>'Teste F Variâncias'!$I$2:$I$101</c:f>
              <c:numCache>
                <c:formatCode>0.00</c:formatCode>
                <c:ptCount val="100"/>
                <c:pt idx="0">
                  <c:v>0</c:v>
                </c:pt>
                <c:pt idx="1">
                  <c:v>7.7641730056954206E-8</c:v>
                </c:pt>
                <c:pt idx="2">
                  <c:v>1.125071367543686E-5</c:v>
                </c:pt>
                <c:pt idx="3">
                  <c:v>2.6409736274788477E-4</c:v>
                </c:pt>
                <c:pt idx="4">
                  <c:v>2.3417805569781311E-3</c:v>
                </c:pt>
                <c:pt idx="5">
                  <c:v>1.1410708119939324E-2</c:v>
                </c:pt>
                <c:pt idx="6">
                  <c:v>3.7255215524757794E-2</c:v>
                </c:pt>
                <c:pt idx="7">
                  <c:v>9.1633262115155489E-2</c:v>
                </c:pt>
                <c:pt idx="8">
                  <c:v>0.18295093940461751</c:v>
                </c:pt>
                <c:pt idx="9">
                  <c:v>0.31179113351371812</c:v>
                </c:pt>
                <c:pt idx="10">
                  <c:v>0.46986359099498431</c:v>
                </c:pt>
                <c:pt idx="11">
                  <c:v>0.64237272887374564</c:v>
                </c:pt>
                <c:pt idx="12">
                  <c:v>0.81209362715962186</c:v>
                </c:pt>
                <c:pt idx="13">
                  <c:v>0.96327837946080908</c:v>
                </c:pt>
                <c:pt idx="14">
                  <c:v>1.0842590564028871</c:v>
                </c:pt>
                <c:pt idx="15">
                  <c:v>1.1684795546118549</c:v>
                </c:pt>
                <c:pt idx="16">
                  <c:v>1.2142568024225471</c:v>
                </c:pt>
                <c:pt idx="17">
                  <c:v>1.2237824422517205</c:v>
                </c:pt>
                <c:pt idx="18">
                  <c:v>1.2018420574016655</c:v>
                </c:pt>
                <c:pt idx="19">
                  <c:v>1.1545869562542066</c:v>
                </c:pt>
                <c:pt idx="20">
                  <c:v>1.0885390379323703</c:v>
                </c:pt>
                <c:pt idx="21">
                  <c:v>1.0098885330951271</c:v>
                </c:pt>
                <c:pt idx="22">
                  <c:v>0.92406880176977479</c:v>
                </c:pt>
                <c:pt idx="23">
                  <c:v>0.83555547292975096</c:v>
                </c:pt>
                <c:pt idx="24">
                  <c:v>0.74782691495158649</c:v>
                </c:pt>
                <c:pt idx="25">
                  <c:v>0.66342786973789802</c:v>
                </c:pt>
                <c:pt idx="26">
                  <c:v>0.58408960618201322</c:v>
                </c:pt>
                <c:pt idx="27">
                  <c:v>0.51087288417708587</c:v>
                </c:pt>
                <c:pt idx="28">
                  <c:v>0.44431161524438617</c:v>
                </c:pt>
                <c:pt idx="29">
                  <c:v>0.3845442744425287</c:v>
                </c:pt>
                <c:pt idx="30">
                  <c:v>0.33142673263626338</c:v>
                </c:pt>
                <c:pt idx="31">
                  <c:v>0.28462457221388043</c:v>
                </c:pt>
                <c:pt idx="32">
                  <c:v>0.24368561491947191</c:v>
                </c:pt>
                <c:pt idx="33">
                  <c:v>0.20809481538789493</c:v>
                </c:pt>
                <c:pt idx="34">
                  <c:v>0.1773142698946327</c:v>
                </c:pt>
                <c:pt idx="35">
                  <c:v>0.15081117214575718</c:v>
                </c:pt>
                <c:pt idx="36">
                  <c:v>0.12807634152627856</c:v>
                </c:pt>
                <c:pt idx="37">
                  <c:v>0.10863560468917201</c:v>
                </c:pt>
                <c:pt idx="38">
                  <c:v>9.2055923237559498E-2</c:v>
                </c:pt>
                <c:pt idx="39">
                  <c:v>7.794778337842953E-2</c:v>
                </c:pt>
                <c:pt idx="40">
                  <c:v>6.5965026083539102E-2</c:v>
                </c:pt>
                <c:pt idx="41">
                  <c:v>5.5803009932488414E-2</c:v>
                </c:pt>
                <c:pt idx="42">
                  <c:v>4.7195764913598032E-2</c:v>
                </c:pt>
                <c:pt idx="43">
                  <c:v>3.9912610110620313E-2</c:v>
                </c:pt>
                <c:pt idx="44">
                  <c:v>3.3754565027560988E-2</c:v>
                </c:pt>
                <c:pt idx="45">
                  <c:v>2.8550776205087822E-2</c:v>
                </c:pt>
                <c:pt idx="46">
                  <c:v>2.4155100930329285E-2</c:v>
                </c:pt>
                <c:pt idx="47">
                  <c:v>2.044293215613089E-2</c:v>
                </c:pt>
                <c:pt idx="48">
                  <c:v>1.7308308076050102E-2</c:v>
                </c:pt>
                <c:pt idx="49">
                  <c:v>1.4661321938424829E-2</c:v>
                </c:pt>
                <c:pt idx="50">
                  <c:v>1.2425829279329073E-2</c:v>
                </c:pt>
                <c:pt idx="51">
                  <c:v>1.0537438206206678E-2</c:v>
                </c:pt>
                <c:pt idx="52">
                  <c:v>8.9417616841305086E-3</c:v>
                </c:pt>
                <c:pt idx="53">
                  <c:v>7.5929074740096122E-3</c:v>
                </c:pt>
                <c:pt idx="54">
                  <c:v>6.4521803462189225E-3</c:v>
                </c:pt>
                <c:pt idx="55">
                  <c:v>5.4869716450374499E-3</c:v>
                </c:pt>
                <c:pt idx="56">
                  <c:v>4.6698126387861461E-3</c:v>
                </c:pt>
                <c:pt idx="57">
                  <c:v>3.9775699586390391E-3</c:v>
                </c:pt>
                <c:pt idx="58">
                  <c:v>3.3907635329383039E-3</c:v>
                </c:pt>
                <c:pt idx="59">
                  <c:v>2.8929895823887747E-3</c:v>
                </c:pt>
                <c:pt idx="60">
                  <c:v>2.4704333393497781E-3</c:v>
                </c:pt>
                <c:pt idx="61">
                  <c:v>2.111458122442757E-3</c:v>
                </c:pt>
                <c:pt idx="62">
                  <c:v>1.8062591986689632E-3</c:v>
                </c:pt>
                <c:pt idx="63">
                  <c:v>1.5465724835450126E-3</c:v>
                </c:pt>
                <c:pt idx="64">
                  <c:v>1.3254295638559651E-3</c:v>
                </c:pt>
                <c:pt idx="65">
                  <c:v>1.1369517847286993E-3</c:v>
                </c:pt>
                <c:pt idx="66">
                  <c:v>9.7617723518659888E-4</c:v>
                </c:pt>
                <c:pt idx="67">
                  <c:v>8.3891540910933449E-4</c:v>
                </c:pt>
                <c:pt idx="68">
                  <c:v>7.2162512746682935E-4</c:v>
                </c:pt>
                <c:pt idx="69">
                  <c:v>6.2131199856662494E-4</c:v>
                </c:pt>
                <c:pt idx="70">
                  <c:v>5.3544228079294696E-4</c:v>
                </c:pt>
                <c:pt idx="71">
                  <c:v>4.618705107092052E-4</c:v>
                </c:pt>
                <c:pt idx="72">
                  <c:v>3.9877868089420497E-4</c:v>
                </c:pt>
                <c:pt idx="73">
                  <c:v>3.4462510755710123E-4</c:v>
                </c:pt>
                <c:pt idx="74">
                  <c:v>2.9810142755508216E-4</c:v>
                </c:pt>
                <c:pt idx="75">
                  <c:v>2.5809641638550754E-4</c:v>
                </c:pt>
                <c:pt idx="76">
                  <c:v>2.2366553035266801E-4</c:v>
                </c:pt>
                <c:pt idx="77">
                  <c:v>1.9400525369337013E-4</c:v>
                </c:pt>
                <c:pt idx="78">
                  <c:v>1.6843148034489532E-4</c:v>
                </c:pt>
                <c:pt idx="79">
                  <c:v>1.4636128481113319E-4</c:v>
                </c:pt>
                <c:pt idx="80">
                  <c:v>1.2729754109047167E-4</c:v>
                </c:pt>
                <c:pt idx="81">
                  <c:v>1.1081593613665859E-4</c:v>
                </c:pt>
                <c:pt idx="82">
                  <c:v>9.6553997582929425E-5</c:v>
                </c:pt>
                <c:pt idx="83">
                  <c:v>8.420181678568427E-5</c:v>
                </c:pt>
                <c:pt idx="84">
                  <c:v>7.3494199581455812E-5</c:v>
                </c:pt>
                <c:pt idx="85">
                  <c:v>6.4204020131241262E-5</c:v>
                </c:pt>
                <c:pt idx="86">
                  <c:v>5.6136589216362434E-5</c:v>
                </c:pt>
                <c:pt idx="87">
                  <c:v>4.9124878494114489E-5</c:v>
                </c:pt>
                <c:pt idx="88">
                  <c:v>4.3025467476996541E-5</c:v>
                </c:pt>
                <c:pt idx="89">
                  <c:v>3.7715101166579346E-5</c:v>
                </c:pt>
                <c:pt idx="90">
                  <c:v>3.3087764021214557E-5</c:v>
                </c:pt>
                <c:pt idx="91">
                  <c:v>2.9052190824731612E-5</c:v>
                </c:pt>
                <c:pt idx="92">
                  <c:v>2.5529747518111361E-5</c:v>
                </c:pt>
                <c:pt idx="93">
                  <c:v>2.2452625548007224E-5</c:v>
                </c:pt>
                <c:pt idx="94">
                  <c:v>1.9762302100873927E-5</c:v>
                </c:pt>
                <c:pt idx="95">
                  <c:v>1.7408226001727576E-5</c:v>
                </c:pt>
                <c:pt idx="96">
                  <c:v>1.5346695289778699E-5</c:v>
                </c:pt>
                <c:pt idx="97">
                  <c:v>1.3539897729634468E-5</c:v>
                </c:pt>
                <c:pt idx="98">
                  <c:v>1.1955089935501129E-5</c:v>
                </c:pt>
                <c:pt idx="99">
                  <c:v>1.056389450991539E-5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C-4E18-890D-E9423AC83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</a:t>
            </a:r>
            <a:r>
              <a:rPr lang="pt-BR" baseline="0"/>
              <a:t> Binomial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Binomial'!$F$2:$F$14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'Distribuição Binomial'!$G$2:$G$14</c:f>
              <c:numCache>
                <c:formatCode>0.00</c:formatCode>
                <c:ptCount val="13"/>
                <c:pt idx="0">
                  <c:v>0.44641556695081935</c:v>
                </c:pt>
                <c:pt idx="1">
                  <c:v>0.37241084729587071</c:v>
                </c:pt>
                <c:pt idx="2">
                  <c:v>0.14239238278959765</c:v>
                </c:pt>
                <c:pt idx="3">
                  <c:v>3.2996452339835447E-2</c:v>
                </c:pt>
                <c:pt idx="4">
                  <c:v>5.1612097911239944E-3</c:v>
                </c:pt>
                <c:pt idx="5">
                  <c:v>5.7408108906619826E-4</c:v>
                </c:pt>
                <c:pt idx="6">
                  <c:v>4.6560943943871677E-5</c:v>
                </c:pt>
                <c:pt idx="7">
                  <c:v>2.7744489133857811E-6</c:v>
                </c:pt>
                <c:pt idx="8">
                  <c:v>1.2054757979283158E-7</c:v>
                </c:pt>
                <c:pt idx="9">
                  <c:v>3.7245835705450115E-9</c:v>
                </c:pt>
                <c:pt idx="10">
                  <c:v>7.7678480883023897E-11</c:v>
                </c:pt>
                <c:pt idx="11">
                  <c:v>9.8183787212378575E-13</c:v>
                </c:pt>
                <c:pt idx="12">
                  <c:v>5.6880090631057281E-15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E8-432D-9938-380A70019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33680"/>
        <c:axId val="193846992"/>
      </c:scatterChart>
      <c:valAx>
        <c:axId val="193833680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846992"/>
        <c:crosses val="autoZero"/>
        <c:crossBetween val="midCat"/>
      </c:valAx>
      <c:valAx>
        <c:axId val="1938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83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</a:t>
            </a:r>
            <a:r>
              <a:rPr lang="pt-BR" baseline="0"/>
              <a:t> Binomial Negativa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Binomial Negativa'!$F$3:$F$21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'Distribuição Binomial Negativa'!$G$3:$G$21</c:f>
              <c:numCache>
                <c:formatCode>0.000</c:formatCode>
                <c:ptCount val="19"/>
                <c:pt idx="0">
                  <c:v>0.16000000000000003</c:v>
                </c:pt>
                <c:pt idx="1">
                  <c:v>0.19200000000000003</c:v>
                </c:pt>
                <c:pt idx="2">
                  <c:v>0.17280000000000001</c:v>
                </c:pt>
                <c:pt idx="3">
                  <c:v>0.13823999999999997</c:v>
                </c:pt>
                <c:pt idx="4">
                  <c:v>0.10367999999999999</c:v>
                </c:pt>
                <c:pt idx="5">
                  <c:v>7.4649599999999983E-2</c:v>
                </c:pt>
                <c:pt idx="6">
                  <c:v>5.2254720000000004E-2</c:v>
                </c:pt>
                <c:pt idx="7">
                  <c:v>3.5831808000000014E-2</c:v>
                </c:pt>
                <c:pt idx="8">
                  <c:v>2.4186470399999997E-2</c:v>
                </c:pt>
                <c:pt idx="9">
                  <c:v>1.6124313599999999E-2</c:v>
                </c:pt>
                <c:pt idx="10">
                  <c:v>1.0642046976E-2</c:v>
                </c:pt>
                <c:pt idx="11">
                  <c:v>6.9657034751999924E-3</c:v>
                </c:pt>
                <c:pt idx="12">
                  <c:v>4.5277072588799979E-3</c:v>
                </c:pt>
                <c:pt idx="13">
                  <c:v>2.9255954595840024E-3</c:v>
                </c:pt>
                <c:pt idx="14">
                  <c:v>1.8807399383039996E-3</c:v>
                </c:pt>
                <c:pt idx="15">
                  <c:v>1.2036735605145601E-3</c:v>
                </c:pt>
                <c:pt idx="16">
                  <c:v>7.6734189482803019E-4</c:v>
                </c:pt>
                <c:pt idx="17">
                  <c:v>4.8748779200839657E-4</c:v>
                </c:pt>
                <c:pt idx="18">
                  <c:v>3.087422682719842E-4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F-4283-AAE2-8361E3BF2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524192"/>
        <c:axId val="1859525440"/>
      </c:scatterChart>
      <c:valAx>
        <c:axId val="185952419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9525440"/>
        <c:crosses val="autoZero"/>
        <c:crossBetween val="midCat"/>
      </c:valAx>
      <c:valAx>
        <c:axId val="18595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952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Distribuição Poisson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Poisson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Poisson'!$E$2:$E$12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'Distribuição Poisson'!$F$2:$F$12</c:f>
              <c:numCache>
                <c:formatCode>0%</c:formatCode>
                <c:ptCount val="11"/>
                <c:pt idx="0">
                  <c:v>0.1353352832366127</c:v>
                </c:pt>
                <c:pt idx="1">
                  <c:v>0.27067056647322535</c:v>
                </c:pt>
                <c:pt idx="2">
                  <c:v>0.27067056647322546</c:v>
                </c:pt>
                <c:pt idx="3">
                  <c:v>0.18044704431548364</c:v>
                </c:pt>
                <c:pt idx="4">
                  <c:v>9.022352215774182E-2</c:v>
                </c:pt>
                <c:pt idx="5">
                  <c:v>3.6089408863096716E-2</c:v>
                </c:pt>
                <c:pt idx="6">
                  <c:v>1.2029802954365572E-2</c:v>
                </c:pt>
                <c:pt idx="7">
                  <c:v>3.4370865583901629E-3</c:v>
                </c:pt>
                <c:pt idx="8">
                  <c:v>8.5927163959754148E-4</c:v>
                </c:pt>
                <c:pt idx="9">
                  <c:v>1.9094925324389769E-4</c:v>
                </c:pt>
                <c:pt idx="10">
                  <c:v>3.8189850648779602E-5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C-4EB0-8E43-63DD7139F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62320"/>
        <c:axId val="1056462720"/>
      </c:scatterChart>
      <c:valAx>
        <c:axId val="115766232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6462720"/>
        <c:crosses val="autoZero"/>
        <c:crossBetween val="midCat"/>
      </c:valAx>
      <c:valAx>
        <c:axId val="10564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766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Normal'!$F$2:$F$102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'Distribuição Normal'!$G$2:$G$102</c:f>
              <c:numCache>
                <c:formatCode>0.00</c:formatCode>
                <c:ptCount val="101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1.752830049356854E-2</c:v>
                </c:pt>
                <c:pt idx="26">
                  <c:v>2.2394530294842899E-2</c:v>
                </c:pt>
                <c:pt idx="27">
                  <c:v>2.8327037741601186E-2</c:v>
                </c:pt>
                <c:pt idx="28">
                  <c:v>3.5474592846231424E-2</c:v>
                </c:pt>
                <c:pt idx="29">
                  <c:v>4.3983595980427191E-2</c:v>
                </c:pt>
                <c:pt idx="30">
                  <c:v>5.3990966513188063E-2</c:v>
                </c:pt>
                <c:pt idx="31">
                  <c:v>6.5615814774676595E-2</c:v>
                </c:pt>
                <c:pt idx="32">
                  <c:v>7.8950158300894149E-2</c:v>
                </c:pt>
                <c:pt idx="33">
                  <c:v>9.4049077376886947E-2</c:v>
                </c:pt>
                <c:pt idx="34">
                  <c:v>0.11092083467945554</c:v>
                </c:pt>
                <c:pt idx="35">
                  <c:v>0.12951759566589174</c:v>
                </c:pt>
                <c:pt idx="36">
                  <c:v>0.14972746563574488</c:v>
                </c:pt>
                <c:pt idx="37">
                  <c:v>0.17136859204780736</c:v>
                </c:pt>
                <c:pt idx="38">
                  <c:v>0.19418605498321295</c:v>
                </c:pt>
                <c:pt idx="39">
                  <c:v>0.21785217703255053</c:v>
                </c:pt>
                <c:pt idx="40">
                  <c:v>0.24197072451914337</c:v>
                </c:pt>
                <c:pt idx="41">
                  <c:v>0.26608524989875482</c:v>
                </c:pt>
                <c:pt idx="42">
                  <c:v>0.28969155276148273</c:v>
                </c:pt>
                <c:pt idx="43">
                  <c:v>0.31225393336676127</c:v>
                </c:pt>
                <c:pt idx="44">
                  <c:v>0.33322460289179967</c:v>
                </c:pt>
                <c:pt idx="45">
                  <c:v>0.35206532676429952</c:v>
                </c:pt>
                <c:pt idx="46">
                  <c:v>0.36827014030332333</c:v>
                </c:pt>
                <c:pt idx="47">
                  <c:v>0.38138781546052414</c:v>
                </c:pt>
                <c:pt idx="48">
                  <c:v>0.39104269397545588</c:v>
                </c:pt>
                <c:pt idx="49">
                  <c:v>0.39695254747701181</c:v>
                </c:pt>
                <c:pt idx="50">
                  <c:v>0.3989422804014327</c:v>
                </c:pt>
                <c:pt idx="51">
                  <c:v>0.39695254747701181</c:v>
                </c:pt>
                <c:pt idx="52">
                  <c:v>0.39104269397545588</c:v>
                </c:pt>
                <c:pt idx="53">
                  <c:v>0.38138781546052414</c:v>
                </c:pt>
                <c:pt idx="54">
                  <c:v>0.36827014030332333</c:v>
                </c:pt>
                <c:pt idx="55">
                  <c:v>0.35206532676429952</c:v>
                </c:pt>
                <c:pt idx="56">
                  <c:v>0.33322460289179967</c:v>
                </c:pt>
                <c:pt idx="57">
                  <c:v>0.31225393336676127</c:v>
                </c:pt>
                <c:pt idx="58">
                  <c:v>0.28969155276148273</c:v>
                </c:pt>
                <c:pt idx="59">
                  <c:v>0.26608524989875482</c:v>
                </c:pt>
                <c:pt idx="60">
                  <c:v>0.24197072451914337</c:v>
                </c:pt>
                <c:pt idx="61">
                  <c:v>0.21785217703255053</c:v>
                </c:pt>
                <c:pt idx="62">
                  <c:v>0.19418605498321295</c:v>
                </c:pt>
                <c:pt idx="63">
                  <c:v>0.17136859204780736</c:v>
                </c:pt>
                <c:pt idx="64">
                  <c:v>0.14972746563574488</c:v>
                </c:pt>
                <c:pt idx="65">
                  <c:v>0.12951759566589174</c:v>
                </c:pt>
                <c:pt idx="66">
                  <c:v>0.11092083467945554</c:v>
                </c:pt>
                <c:pt idx="67">
                  <c:v>9.4049077376886947E-2</c:v>
                </c:pt>
                <c:pt idx="68">
                  <c:v>7.8950158300894149E-2</c:v>
                </c:pt>
                <c:pt idx="69">
                  <c:v>6.5615814774676595E-2</c:v>
                </c:pt>
                <c:pt idx="70">
                  <c:v>5.3990966513188063E-2</c:v>
                </c:pt>
                <c:pt idx="71">
                  <c:v>4.3983595980427191E-2</c:v>
                </c:pt>
                <c:pt idx="72">
                  <c:v>3.5474592846231424E-2</c:v>
                </c:pt>
                <c:pt idx="73">
                  <c:v>2.8327037741601186E-2</c:v>
                </c:pt>
                <c:pt idx="74">
                  <c:v>2.2394530294842899E-2</c:v>
                </c:pt>
                <c:pt idx="75">
                  <c:v>1.752830049356854E-2</c:v>
                </c:pt>
                <c:pt idx="76">
                  <c:v>1.3582969233685613E-2</c:v>
                </c:pt>
                <c:pt idx="77">
                  <c:v>1.0420934814422592E-2</c:v>
                </c:pt>
                <c:pt idx="78">
                  <c:v>7.9154515829799686E-3</c:v>
                </c:pt>
                <c:pt idx="79">
                  <c:v>5.9525324197758538E-3</c:v>
                </c:pt>
                <c:pt idx="80">
                  <c:v>4.4318484119380075E-3</c:v>
                </c:pt>
                <c:pt idx="81">
                  <c:v>3.2668190561999182E-3</c:v>
                </c:pt>
                <c:pt idx="82">
                  <c:v>2.3840882014648404E-3</c:v>
                </c:pt>
                <c:pt idx="83">
                  <c:v>1.7225689390536812E-3</c:v>
                </c:pt>
                <c:pt idx="84">
                  <c:v>1.2322191684730199E-3</c:v>
                </c:pt>
                <c:pt idx="85">
                  <c:v>8.7268269504576015E-4</c:v>
                </c:pt>
                <c:pt idx="86">
                  <c:v>6.119019301137719E-4</c:v>
                </c:pt>
                <c:pt idx="87">
                  <c:v>4.2478027055075143E-4</c:v>
                </c:pt>
                <c:pt idx="88">
                  <c:v>2.9194692579146027E-4</c:v>
                </c:pt>
                <c:pt idx="89">
                  <c:v>1.9865547139277272E-4</c:v>
                </c:pt>
                <c:pt idx="90">
                  <c:v>1.3383022576488537E-4</c:v>
                </c:pt>
                <c:pt idx="91">
                  <c:v>8.9261657177132928E-5</c:v>
                </c:pt>
                <c:pt idx="92">
                  <c:v>5.8943067756539855E-5</c:v>
                </c:pt>
                <c:pt idx="93">
                  <c:v>3.8535196742087129E-5</c:v>
                </c:pt>
                <c:pt idx="94">
                  <c:v>2.4942471290053535E-5</c:v>
                </c:pt>
                <c:pt idx="95">
                  <c:v>1.5983741106905475E-5</c:v>
                </c:pt>
                <c:pt idx="96">
                  <c:v>1.0140852065486758E-5</c:v>
                </c:pt>
                <c:pt idx="97">
                  <c:v>6.3698251788670899E-6</c:v>
                </c:pt>
                <c:pt idx="98">
                  <c:v>3.9612990910320753E-6</c:v>
                </c:pt>
                <c:pt idx="99">
                  <c:v>2.4389607458933522E-6</c:v>
                </c:pt>
                <c:pt idx="100">
                  <c:v>1.4867195147342977E-6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9-4C23-A55E-EFF8DB318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561695"/>
        <c:axId val="1557558783"/>
      </c:scatterChart>
      <c:valAx>
        <c:axId val="155756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7558783"/>
        <c:crosses val="autoZero"/>
        <c:crossBetween val="midCat"/>
      </c:valAx>
      <c:valAx>
        <c:axId val="155755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756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Qui²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Qui-Quadrado'!$D$2:$D$42</c:f>
              <c:numCache>
                <c:formatCode>0.0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xVal>
          <c:yVal>
            <c:numRef>
              <c:f>'Distribuição Qui-Quadrado'!$E$2:$E$42</c:f>
              <c:numCache>
                <c:formatCode>0.00</c:formatCode>
                <c:ptCount val="41"/>
                <c:pt idx="0">
                  <c:v>0</c:v>
                </c:pt>
                <c:pt idx="1">
                  <c:v>3.6615940788976876E-3</c:v>
                </c:pt>
                <c:pt idx="2">
                  <c:v>1.6131381634609556E-2</c:v>
                </c:pt>
                <c:pt idx="3">
                  <c:v>3.4619922631227436E-2</c:v>
                </c:pt>
                <c:pt idx="4">
                  <c:v>5.5347666322745959E-2</c:v>
                </c:pt>
                <c:pt idx="5">
                  <c:v>7.5300996945075568E-2</c:v>
                </c:pt>
                <c:pt idx="6">
                  <c:v>9.2508197882261556E-2</c:v>
                </c:pt>
                <c:pt idx="7">
                  <c:v>0.10591892743038006</c:v>
                </c:pt>
                <c:pt idx="8">
                  <c:v>0.11518072856146787</c:v>
                </c:pt>
                <c:pt idx="9">
                  <c:v>0.12041691783892475</c:v>
                </c:pt>
                <c:pt idx="10">
                  <c:v>0.12204152134938739</c:v>
                </c:pt>
                <c:pt idx="11">
                  <c:v>0.12061899490769887</c:v>
                </c:pt>
                <c:pt idx="12">
                  <c:v>0.11676521599113954</c:v>
                </c:pt>
                <c:pt idx="13">
                  <c:v>0.11108236874967573</c:v>
                </c:pt>
                <c:pt idx="14">
                  <c:v>0.10411977480817197</c:v>
                </c:pt>
                <c:pt idx="15">
                  <c:v>9.6353536222672967E-2</c:v>
                </c:pt>
                <c:pt idx="16">
                  <c:v>8.8179137510792774E-2</c:v>
                </c:pt>
                <c:pt idx="17">
                  <c:v>7.9912473414960522E-2</c:v>
                </c:pt>
                <c:pt idx="18">
                  <c:v>7.1795944273395709E-2</c:v>
                </c:pt>
                <c:pt idx="19">
                  <c:v>6.4007229709554969E-2</c:v>
                </c:pt>
                <c:pt idx="20">
                  <c:v>5.6669110683468943E-2</c:v>
                </c:pt>
                <c:pt idx="21">
                  <c:v>4.9859282494261081E-2</c:v>
                </c:pt>
                <c:pt idx="22">
                  <c:v>4.3619518695112963E-2</c:v>
                </c:pt>
                <c:pt idx="23">
                  <c:v>3.7963840203407165E-2</c:v>
                </c:pt>
                <c:pt idx="24">
                  <c:v>3.2885544001058489E-2</c:v>
                </c:pt>
                <c:pt idx="25">
                  <c:v>2.83630759160509E-2</c:v>
                </c:pt>
                <c:pt idx="26">
                  <c:v>2.4364811465178757E-2</c:v>
                </c:pt>
                <c:pt idx="27">
                  <c:v>2.0852852684496753E-2</c:v>
                </c:pt>
                <c:pt idx="28">
                  <c:v>1.7785968656399267E-2</c:v>
                </c:pt>
                <c:pt idx="29">
                  <c:v>1.5121811446552865E-2</c:v>
                </c:pt>
                <c:pt idx="30">
                  <c:v>1.2818533423821167E-2</c:v>
                </c:pt>
                <c:pt idx="31">
                  <c:v>1.083592068364625E-2</c:v>
                </c:pt>
                <c:pt idx="32">
                  <c:v>9.136143412216172E-3</c:v>
                </c:pt>
                <c:pt idx="33">
                  <c:v>7.6842094074924781E-3</c:v>
                </c:pt>
                <c:pt idx="34">
                  <c:v>6.4481927955769855E-3</c:v>
                </c:pt>
                <c:pt idx="35">
                  <c:v>5.3992969302881014E-3</c:v>
                </c:pt>
                <c:pt idx="36">
                  <c:v>4.5117988830746317E-3</c:v>
                </c:pt>
                <c:pt idx="37">
                  <c:v>3.7629129375096899E-3</c:v>
                </c:pt>
                <c:pt idx="38">
                  <c:v>3.1326020735592563E-3</c:v>
                </c:pt>
                <c:pt idx="39">
                  <c:v>2.6033594537907497E-3</c:v>
                </c:pt>
                <c:pt idx="40">
                  <c:v>2.1599762549570989E-3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20-4DE7-BAB6-F5F5D10C8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656863"/>
        <c:axId val="824658527"/>
      </c:scatterChart>
      <c:valAx>
        <c:axId val="82465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658527"/>
        <c:crosses val="autoZero"/>
        <c:crossBetween val="midCat"/>
      </c:valAx>
      <c:valAx>
        <c:axId val="8246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65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t Student'!$F$2:$F$102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'Distribuição t Student'!$G$2:$G$102</c:f>
              <c:numCache>
                <c:formatCode>0.00</c:formatCode>
                <c:ptCount val="101"/>
                <c:pt idx="0">
                  <c:v>8.8154265732600637E-4</c:v>
                </c:pt>
                <c:pt idx="1">
                  <c:v>9.9962286331650783E-4</c:v>
                </c:pt>
                <c:pt idx="2">
                  <c:v>1.1351245913782556E-3</c:v>
                </c:pt>
                <c:pt idx="3">
                  <c:v>1.2908279505215324E-3</c:v>
                </c:pt>
                <c:pt idx="4">
                  <c:v>1.4699841221482964E-3</c:v>
                </c:pt>
                <c:pt idx="5">
                  <c:v>1.6763983288416314E-3</c:v>
                </c:pt>
                <c:pt idx="6">
                  <c:v>1.9145275578168436E-3</c:v>
                </c:pt>
                <c:pt idx="7">
                  <c:v>2.1895955602305008E-3</c:v>
                </c:pt>
                <c:pt idx="8">
                  <c:v>2.5077280151267886E-3</c:v>
                </c:pt>
                <c:pt idx="9">
                  <c:v>2.8761111387772408E-3</c:v>
                </c:pt>
                <c:pt idx="10">
                  <c:v>3.3031774237809093E-3</c:v>
                </c:pt>
                <c:pt idx="11">
                  <c:v>3.7988225862884395E-3</c:v>
                </c:pt>
                <c:pt idx="12">
                  <c:v>4.3746581509088557E-3</c:v>
                </c:pt>
                <c:pt idx="13">
                  <c:v>5.0443043616180726E-3</c:v>
                </c:pt>
                <c:pt idx="14">
                  <c:v>5.8237282014526204E-3</c:v>
                </c:pt>
                <c:pt idx="15">
                  <c:v>6.731631132645341E-3</c:v>
                </c:pt>
                <c:pt idx="16">
                  <c:v>7.7898905926888128E-3</c:v>
                </c:pt>
                <c:pt idx="17">
                  <c:v>9.0240581128863701E-3</c:v>
                </c:pt>
                <c:pt idx="18">
                  <c:v>1.0463914917300124E-2</c:v>
                </c:pt>
                <c:pt idx="19">
                  <c:v>1.2144082694581494E-2</c:v>
                </c:pt>
                <c:pt idx="20">
                  <c:v>1.4104682517216093E-2</c:v>
                </c:pt>
                <c:pt idx="21">
                  <c:v>1.6392028134717216E-2</c:v>
                </c:pt>
                <c:pt idx="22">
                  <c:v>1.905933053781568E-2</c:v>
                </c:pt>
                <c:pt idx="23">
                  <c:v>2.2167378180897482E-2</c:v>
                </c:pt>
                <c:pt idx="24">
                  <c:v>2.5785140969772902E-2</c:v>
                </c:pt>
                <c:pt idx="25">
                  <c:v>2.9990225589892186E-2</c:v>
                </c:pt>
                <c:pt idx="26">
                  <c:v>3.4869084753941258E-2</c:v>
                </c:pt>
                <c:pt idx="27">
                  <c:v>4.0516853782231008E-2</c:v>
                </c:pt>
                <c:pt idx="28">
                  <c:v>4.7036655726269291E-2</c:v>
                </c:pt>
                <c:pt idx="29">
                  <c:v>5.4538183396588481E-2</c:v>
                </c:pt>
                <c:pt idx="30">
                  <c:v>6.3135337302661979E-2</c:v>
                </c:pt>
                <c:pt idx="31">
                  <c:v>7.2942679044071451E-2</c:v>
                </c:pt>
                <c:pt idx="32">
                  <c:v>8.4070459110832774E-2</c:v>
                </c:pt>
                <c:pt idx="33">
                  <c:v>9.6618008002832392E-2</c:v>
                </c:pt>
                <c:pt idx="34">
                  <c:v>0.11066535373955198</c:v>
                </c:pt>
                <c:pt idx="35">
                  <c:v>0.1262630612859611</c:v>
                </c:pt>
                <c:pt idx="36">
                  <c:v>0.14342049167762227</c:v>
                </c:pt>
                <c:pt idx="37">
                  <c:v>0.16209295508952079</c:v>
                </c:pt>
                <c:pt idx="38">
                  <c:v>0.18216857418973872</c:v>
                </c:pt>
                <c:pt idx="39">
                  <c:v>0.20345605401479377</c:v>
                </c:pt>
                <c:pt idx="40">
                  <c:v>0.22567492027545749</c:v>
                </c:pt>
                <c:pt idx="41">
                  <c:v>0.24845006240500964</c:v>
                </c:pt>
                <c:pt idx="42">
                  <c:v>0.27131250511654287</c:v>
                </c:pt>
                <c:pt idx="43">
                  <c:v>0.293708134519167</c:v>
                </c:pt>
                <c:pt idx="44">
                  <c:v>0.31501554715928187</c:v>
                </c:pt>
                <c:pt idx="45">
                  <c:v>0.33457325335016508</c:v>
                </c:pt>
                <c:pt idx="46">
                  <c:v>0.35171521531491085</c:v>
                </c:pt>
                <c:pt idx="47">
                  <c:v>0.36581230078018739</c:v>
                </c:pt>
                <c:pt idx="48">
                  <c:v>0.3763159352699636</c:v>
                </c:pt>
                <c:pt idx="49">
                  <c:v>0.38279933426055085</c:v>
                </c:pt>
                <c:pt idx="50">
                  <c:v>0.38499145083226738</c:v>
                </c:pt>
                <c:pt idx="51">
                  <c:v>0.38279933426055085</c:v>
                </c:pt>
                <c:pt idx="52">
                  <c:v>0.3763159352699636</c:v>
                </c:pt>
                <c:pt idx="53">
                  <c:v>0.36581230078018739</c:v>
                </c:pt>
                <c:pt idx="54">
                  <c:v>0.35171521531491085</c:v>
                </c:pt>
                <c:pt idx="55">
                  <c:v>0.33457325335016508</c:v>
                </c:pt>
                <c:pt idx="56">
                  <c:v>0.31501554715928187</c:v>
                </c:pt>
                <c:pt idx="57">
                  <c:v>0.293708134519167</c:v>
                </c:pt>
                <c:pt idx="58">
                  <c:v>0.27131250511654287</c:v>
                </c:pt>
                <c:pt idx="59">
                  <c:v>0.24845006240500964</c:v>
                </c:pt>
                <c:pt idx="60">
                  <c:v>0.22567492027545749</c:v>
                </c:pt>
                <c:pt idx="61">
                  <c:v>0.20345605401479377</c:v>
                </c:pt>
                <c:pt idx="62">
                  <c:v>0.18216857418973872</c:v>
                </c:pt>
                <c:pt idx="63">
                  <c:v>0.16209295508952079</c:v>
                </c:pt>
                <c:pt idx="64">
                  <c:v>0.14342049167762227</c:v>
                </c:pt>
                <c:pt idx="65">
                  <c:v>0.1262630612859611</c:v>
                </c:pt>
                <c:pt idx="66">
                  <c:v>0.11066535373955198</c:v>
                </c:pt>
                <c:pt idx="67">
                  <c:v>9.6618008002832392E-2</c:v>
                </c:pt>
                <c:pt idx="68">
                  <c:v>8.4070459110832774E-2</c:v>
                </c:pt>
                <c:pt idx="69">
                  <c:v>7.2942679044071451E-2</c:v>
                </c:pt>
                <c:pt idx="70">
                  <c:v>6.3135337302661979E-2</c:v>
                </c:pt>
                <c:pt idx="71">
                  <c:v>5.4538183396588481E-2</c:v>
                </c:pt>
                <c:pt idx="72">
                  <c:v>4.7036655726269291E-2</c:v>
                </c:pt>
                <c:pt idx="73">
                  <c:v>4.0516853782231008E-2</c:v>
                </c:pt>
                <c:pt idx="74">
                  <c:v>3.4869084753941258E-2</c:v>
                </c:pt>
                <c:pt idx="75">
                  <c:v>2.9990225589892186E-2</c:v>
                </c:pt>
                <c:pt idx="76">
                  <c:v>2.5785140969772902E-2</c:v>
                </c:pt>
                <c:pt idx="77">
                  <c:v>2.2167378180897482E-2</c:v>
                </c:pt>
                <c:pt idx="78">
                  <c:v>1.905933053781568E-2</c:v>
                </c:pt>
                <c:pt idx="79">
                  <c:v>1.6392028134717216E-2</c:v>
                </c:pt>
                <c:pt idx="80">
                  <c:v>1.4104682517216093E-2</c:v>
                </c:pt>
                <c:pt idx="81">
                  <c:v>1.2144082694581494E-2</c:v>
                </c:pt>
                <c:pt idx="82">
                  <c:v>1.0463914917300124E-2</c:v>
                </c:pt>
                <c:pt idx="83">
                  <c:v>9.0240581128863701E-3</c:v>
                </c:pt>
                <c:pt idx="84">
                  <c:v>7.7898905926888128E-3</c:v>
                </c:pt>
                <c:pt idx="85">
                  <c:v>6.731631132645341E-3</c:v>
                </c:pt>
                <c:pt idx="86">
                  <c:v>5.8237282014526204E-3</c:v>
                </c:pt>
                <c:pt idx="87">
                  <c:v>5.0443043616180726E-3</c:v>
                </c:pt>
                <c:pt idx="88">
                  <c:v>4.3746581509088557E-3</c:v>
                </c:pt>
                <c:pt idx="89">
                  <c:v>3.7988225862884395E-3</c:v>
                </c:pt>
                <c:pt idx="90">
                  <c:v>3.3031774237809093E-3</c:v>
                </c:pt>
                <c:pt idx="91">
                  <c:v>2.8761111387772408E-3</c:v>
                </c:pt>
                <c:pt idx="92">
                  <c:v>2.5077280151267886E-3</c:v>
                </c:pt>
                <c:pt idx="93">
                  <c:v>2.1895955602305008E-3</c:v>
                </c:pt>
                <c:pt idx="94">
                  <c:v>1.9145275578168436E-3</c:v>
                </c:pt>
                <c:pt idx="95">
                  <c:v>1.6763983288416314E-3</c:v>
                </c:pt>
                <c:pt idx="96">
                  <c:v>1.4699841221482964E-3</c:v>
                </c:pt>
                <c:pt idx="97">
                  <c:v>1.2908279505215324E-3</c:v>
                </c:pt>
                <c:pt idx="98">
                  <c:v>1.1351245913782556E-3</c:v>
                </c:pt>
                <c:pt idx="99">
                  <c:v>9.9962286331650783E-4</c:v>
                </c:pt>
                <c:pt idx="100">
                  <c:v>8.8154265732600637E-4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5-44EC-8305-2DE9906F0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656863"/>
        <c:axId val="824658527"/>
      </c:scatterChart>
      <c:valAx>
        <c:axId val="82465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658527"/>
        <c:crosses val="autoZero"/>
        <c:crossBetween val="midCat"/>
      </c:valAx>
      <c:valAx>
        <c:axId val="8246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65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F Snedecor'!$F$2:$F$101</c:f>
              <c:numCache>
                <c:formatCode>0.00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xVal>
          <c:yVal>
            <c:numRef>
              <c:f>'Distribuição F Snedecor'!$G$2:$G$101</c:f>
              <c:numCache>
                <c:formatCode>0.00</c:formatCode>
                <c:ptCount val="100"/>
                <c:pt idx="0">
                  <c:v>0</c:v>
                </c:pt>
                <c:pt idx="1">
                  <c:v>3.2932268716305264E-4</c:v>
                </c:pt>
                <c:pt idx="2">
                  <c:v>3.652362499164312E-3</c:v>
                </c:pt>
                <c:pt idx="3">
                  <c:v>1.703921747421137E-2</c:v>
                </c:pt>
                <c:pt idx="4">
                  <c:v>4.9805023376519951E-2</c:v>
                </c:pt>
                <c:pt idx="5">
                  <c:v>0.10887328088408475</c:v>
                </c:pt>
                <c:pt idx="6">
                  <c:v>0.19554966389867023</c:v>
                </c:pt>
                <c:pt idx="7">
                  <c:v>0.30518185343023335</c:v>
                </c:pt>
                <c:pt idx="8">
                  <c:v>0.42893955231565079</c:v>
                </c:pt>
                <c:pt idx="9">
                  <c:v>0.55632341892959303</c:v>
                </c:pt>
                <c:pt idx="10">
                  <c:v>0.67736584277840484</c:v>
                </c:pt>
                <c:pt idx="11">
                  <c:v>0.78406211989412022</c:v>
                </c:pt>
                <c:pt idx="12">
                  <c:v>0.87100084253886101</c:v>
                </c:pt>
                <c:pt idx="13">
                  <c:v>0.93537747472516708</c:v>
                </c:pt>
                <c:pt idx="14">
                  <c:v>0.97662973140537335</c:v>
                </c:pt>
                <c:pt idx="15">
                  <c:v>0.99590227263705544</c:v>
                </c:pt>
                <c:pt idx="16">
                  <c:v>0.99548695855669556</c:v>
                </c:pt>
                <c:pt idx="17">
                  <c:v>0.9783244624137386</c:v>
                </c:pt>
                <c:pt idx="18">
                  <c:v>0.94760615229555967</c:v>
                </c:pt>
                <c:pt idx="19">
                  <c:v>0.90648411941043694</c:v>
                </c:pt>
                <c:pt idx="20">
                  <c:v>0.8578796244163599</c:v>
                </c:pt>
                <c:pt idx="21">
                  <c:v>0.80437226214950597</c:v>
                </c:pt>
                <c:pt idx="22">
                  <c:v>0.7481502649760472</c:v>
                </c:pt>
                <c:pt idx="23">
                  <c:v>0.69100385214639692</c:v>
                </c:pt>
                <c:pt idx="24">
                  <c:v>0.6343465378286135</c:v>
                </c:pt>
                <c:pt idx="25">
                  <c:v>0.5792527047837529</c:v>
                </c:pt>
                <c:pt idx="26">
                  <c:v>0.52650292237488716</c:v>
                </c:pt>
                <c:pt idx="27">
                  <c:v>0.47663116247041354</c:v>
                </c:pt>
                <c:pt idx="28">
                  <c:v>0.42997017099019097</c:v>
                </c:pt>
                <c:pt idx="29">
                  <c:v>0.38669281931876626</c:v>
                </c:pt>
                <c:pt idx="30">
                  <c:v>0.34684836918003836</c:v>
                </c:pt>
                <c:pt idx="31">
                  <c:v>0.31039333065041824</c:v>
                </c:pt>
                <c:pt idx="32">
                  <c:v>0.27721706472613994</c:v>
                </c:pt>
                <c:pt idx="33">
                  <c:v>0.24716255530016767</c:v>
                </c:pt>
                <c:pt idx="34">
                  <c:v>0.22004291142632371</c:v>
                </c:pt>
                <c:pt idx="35">
                  <c:v>0.1956542057943233</c:v>
                </c:pt>
                <c:pt idx="36">
                  <c:v>0.17378524345356144</c:v>
                </c:pt>
                <c:pt idx="37">
                  <c:v>0.15422481007184383</c:v>
                </c:pt>
                <c:pt idx="38">
                  <c:v>0.13676688779638763</c:v>
                </c:pt>
                <c:pt idx="39">
                  <c:v>0.12121425981846241</c:v>
                </c:pt>
                <c:pt idx="40">
                  <c:v>0.10738085867988394</c:v>
                </c:pt>
                <c:pt idx="41">
                  <c:v>9.5093152020297833E-2</c:v>
                </c:pt>
                <c:pt idx="42">
                  <c:v>8.4190804768457056E-2</c:v>
                </c:pt>
                <c:pt idx="43">
                  <c:v>7.4526809417729392E-2</c:v>
                </c:pt>
                <c:pt idx="44">
                  <c:v>6.5967235927600898E-2</c:v>
                </c:pt>
                <c:pt idx="45">
                  <c:v>5.8390719457880561E-2</c:v>
                </c:pt>
                <c:pt idx="46">
                  <c:v>5.1687776851801981E-2</c:v>
                </c:pt>
                <c:pt idx="47">
                  <c:v>4.5760020740527547E-2</c:v>
                </c:pt>
                <c:pt idx="48">
                  <c:v>4.0519322552214278E-2</c:v>
                </c:pt>
                <c:pt idx="49">
                  <c:v>3.5886961834947023E-2</c:v>
                </c:pt>
                <c:pt idx="50">
                  <c:v>3.1792788483208184E-2</c:v>
                </c:pt>
                <c:pt idx="51">
                  <c:v>2.8174416117339771E-2</c:v>
                </c:pt>
                <c:pt idx="52">
                  <c:v>2.4976458515718489E-2</c:v>
                </c:pt>
                <c:pt idx="53">
                  <c:v>2.2149816231396901E-2</c:v>
                </c:pt>
                <c:pt idx="54">
                  <c:v>1.9651017001801999E-2</c:v>
                </c:pt>
                <c:pt idx="55">
                  <c:v>1.7441611007230694E-2</c:v>
                </c:pt>
                <c:pt idx="56">
                  <c:v>1.548762023003784E-2</c:v>
                </c:pt>
                <c:pt idx="57">
                  <c:v>1.375903993478156E-2</c:v>
                </c:pt>
                <c:pt idx="58">
                  <c:v>1.2229389490185328E-2</c:v>
                </c:pt>
                <c:pt idx="59">
                  <c:v>1.0875309276622586E-2</c:v>
                </c:pt>
                <c:pt idx="60">
                  <c:v>9.6762001822678686E-3</c:v>
                </c:pt>
                <c:pt idx="61">
                  <c:v>8.6139021208861011E-3</c:v>
                </c:pt>
                <c:pt idx="62">
                  <c:v>7.6724080537634532E-3</c:v>
                </c:pt>
                <c:pt idx="63">
                  <c:v>6.837610129043774E-3</c:v>
                </c:pt>
                <c:pt idx="64">
                  <c:v>6.0970747348708821E-3</c:v>
                </c:pt>
                <c:pt idx="65">
                  <c:v>5.4398434768451074E-3</c:v>
                </c:pt>
                <c:pt idx="66">
                  <c:v>4.8562573197680255E-3</c:v>
                </c:pt>
                <c:pt idx="67">
                  <c:v>4.337801367290223E-3</c:v>
                </c:pt>
                <c:pt idx="68">
                  <c:v>3.8769679830774947E-3</c:v>
                </c:pt>
                <c:pt idx="69">
                  <c:v>3.4671361782150061E-3</c:v>
                </c:pt>
                <c:pt idx="70">
                  <c:v>3.1024653984048451E-3</c:v>
                </c:pt>
                <c:pt idx="71">
                  <c:v>2.7778020391240202E-3</c:v>
                </c:pt>
                <c:pt idx="72">
                  <c:v>2.4885971963487471E-3</c:v>
                </c:pt>
                <c:pt idx="73">
                  <c:v>2.2308343244973067E-3</c:v>
                </c:pt>
                <c:pt idx="74">
                  <c:v>2.0009656221802309E-3</c:v>
                </c:pt>
                <c:pt idx="75">
                  <c:v>1.7958561007922083E-3</c:v>
                </c:pt>
                <c:pt idx="76">
                  <c:v>1.6127344117649253E-3</c:v>
                </c:pt>
                <c:pt idx="77">
                  <c:v>1.4491496163780702E-3</c:v>
                </c:pt>
                <c:pt idx="78">
                  <c:v>1.3029331784056009E-3</c:v>
                </c:pt>
                <c:pt idx="79">
                  <c:v>1.1721655455744517E-3</c:v>
                </c:pt>
                <c:pt idx="80">
                  <c:v>1.0551467618306E-3</c:v>
                </c:pt>
                <c:pt idx="81">
                  <c:v>9.5037061969475425E-4</c:v>
                </c:pt>
                <c:pt idx="82">
                  <c:v>8.5650192144281329E-4</c:v>
                </c:pt>
                <c:pt idx="83">
                  <c:v>7.7235647029816302E-4</c:v>
                </c:pt>
                <c:pt idx="84">
                  <c:v>6.9688345903578337E-4</c:v>
                </c:pt>
                <c:pt idx="85">
                  <c:v>6.2914996407122115E-4</c:v>
                </c:pt>
                <c:pt idx="86">
                  <c:v>5.6832728886984827E-4</c:v>
                </c:pt>
                <c:pt idx="87">
                  <c:v>5.1367893193258129E-4</c:v>
                </c:pt>
                <c:pt idx="88">
                  <c:v>4.6454998220210228E-4</c:v>
                </c:pt>
                <c:pt idx="89">
                  <c:v>4.2035776894291059E-4</c:v>
                </c:pt>
                <c:pt idx="90">
                  <c:v>3.8058361438445183E-4</c:v>
                </c:pt>
                <c:pt idx="91">
                  <c:v>3.4476555603717824E-4</c:v>
                </c:pt>
                <c:pt idx="92">
                  <c:v>3.1249192191512624E-4</c:v>
                </c:pt>
                <c:pt idx="93">
                  <c:v>2.8339565620585721E-4</c:v>
                </c:pt>
                <c:pt idx="94">
                  <c:v>2.571493054669887E-4</c:v>
                </c:pt>
                <c:pt idx="95">
                  <c:v>2.334605864161997E-4</c:v>
                </c:pt>
                <c:pt idx="96">
                  <c:v>2.1206846601012897E-4</c:v>
                </c:pt>
                <c:pt idx="97">
                  <c:v>1.9273969294553479E-4</c:v>
                </c:pt>
                <c:pt idx="98">
                  <c:v>1.752657271112506E-4</c:v>
                </c:pt>
                <c:pt idx="99">
                  <c:v>1.5946002000155759E-4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2-4E73-9393-C1D27825D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'Teste Z Médias'!$G$2:$G$102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'Teste Z Médias'!$H$2:$H$102</c:f>
              <c:numCache>
                <c:formatCode>0.00</c:formatCode>
                <c:ptCount val="101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1.752830049356854E-2</c:v>
                </c:pt>
                <c:pt idx="26">
                  <c:v>2.2394530294842899E-2</c:v>
                </c:pt>
                <c:pt idx="27">
                  <c:v>2.8327037741601186E-2</c:v>
                </c:pt>
                <c:pt idx="28">
                  <c:v>3.5474592846231424E-2</c:v>
                </c:pt>
                <c:pt idx="29">
                  <c:v>4.3983595980427191E-2</c:v>
                </c:pt>
                <c:pt idx="30">
                  <c:v>5.3990966513188063E-2</c:v>
                </c:pt>
                <c:pt idx="31">
                  <c:v>6.5615814774676595E-2</c:v>
                </c:pt>
                <c:pt idx="32">
                  <c:v>7.8950158300894149E-2</c:v>
                </c:pt>
                <c:pt idx="33">
                  <c:v>9.4049077376886947E-2</c:v>
                </c:pt>
                <c:pt idx="34">
                  <c:v>0.11092083467945554</c:v>
                </c:pt>
                <c:pt idx="35">
                  <c:v>0.12951759566589174</c:v>
                </c:pt>
                <c:pt idx="36">
                  <c:v>0.14972746563574488</c:v>
                </c:pt>
                <c:pt idx="37">
                  <c:v>0.17136859204780736</c:v>
                </c:pt>
                <c:pt idx="38">
                  <c:v>0.19418605498321295</c:v>
                </c:pt>
                <c:pt idx="39">
                  <c:v>0.21785217703255053</c:v>
                </c:pt>
                <c:pt idx="40">
                  <c:v>0.24197072451914337</c:v>
                </c:pt>
                <c:pt idx="41">
                  <c:v>0.26608524989875482</c:v>
                </c:pt>
                <c:pt idx="42">
                  <c:v>0.28969155276148273</c:v>
                </c:pt>
                <c:pt idx="43">
                  <c:v>0.31225393336676127</c:v>
                </c:pt>
                <c:pt idx="44">
                  <c:v>0.33322460289179967</c:v>
                </c:pt>
                <c:pt idx="45">
                  <c:v>0.35206532676429952</c:v>
                </c:pt>
                <c:pt idx="46">
                  <c:v>0.36827014030332333</c:v>
                </c:pt>
                <c:pt idx="47">
                  <c:v>0.38138781546052414</c:v>
                </c:pt>
                <c:pt idx="48">
                  <c:v>0.39104269397545588</c:v>
                </c:pt>
                <c:pt idx="49">
                  <c:v>0.39695254747701181</c:v>
                </c:pt>
                <c:pt idx="50">
                  <c:v>0.3989422804014327</c:v>
                </c:pt>
                <c:pt idx="51">
                  <c:v>0.39695254747701181</c:v>
                </c:pt>
                <c:pt idx="52">
                  <c:v>0.39104269397545588</c:v>
                </c:pt>
                <c:pt idx="53">
                  <c:v>0.38138781546052414</c:v>
                </c:pt>
                <c:pt idx="54">
                  <c:v>0.36827014030332333</c:v>
                </c:pt>
                <c:pt idx="55">
                  <c:v>0.35206532676429952</c:v>
                </c:pt>
                <c:pt idx="56">
                  <c:v>0.33322460289179967</c:v>
                </c:pt>
                <c:pt idx="57">
                  <c:v>0.31225393336676127</c:v>
                </c:pt>
                <c:pt idx="58">
                  <c:v>0.28969155276148273</c:v>
                </c:pt>
                <c:pt idx="59">
                  <c:v>0.26608524989875482</c:v>
                </c:pt>
                <c:pt idx="60">
                  <c:v>0.24197072451914337</c:v>
                </c:pt>
                <c:pt idx="61">
                  <c:v>0.21785217703255053</c:v>
                </c:pt>
                <c:pt idx="62">
                  <c:v>0.19418605498321295</c:v>
                </c:pt>
                <c:pt idx="63">
                  <c:v>0.17136859204780736</c:v>
                </c:pt>
                <c:pt idx="64">
                  <c:v>0.14972746563574488</c:v>
                </c:pt>
                <c:pt idx="65">
                  <c:v>0.12951759566589174</c:v>
                </c:pt>
                <c:pt idx="66">
                  <c:v>0.11092083467945554</c:v>
                </c:pt>
                <c:pt idx="67">
                  <c:v>9.4049077376886947E-2</c:v>
                </c:pt>
                <c:pt idx="68">
                  <c:v>7.8950158300894149E-2</c:v>
                </c:pt>
                <c:pt idx="69">
                  <c:v>6.5615814774676595E-2</c:v>
                </c:pt>
                <c:pt idx="70">
                  <c:v>5.3990966513188063E-2</c:v>
                </c:pt>
                <c:pt idx="71">
                  <c:v>4.3983595980427191E-2</c:v>
                </c:pt>
                <c:pt idx="72">
                  <c:v>3.5474592846231424E-2</c:v>
                </c:pt>
                <c:pt idx="73">
                  <c:v>2.8327037741601186E-2</c:v>
                </c:pt>
                <c:pt idx="74">
                  <c:v>2.2394530294842899E-2</c:v>
                </c:pt>
                <c:pt idx="75">
                  <c:v>1.752830049356854E-2</c:v>
                </c:pt>
                <c:pt idx="76">
                  <c:v>1.3582969233685613E-2</c:v>
                </c:pt>
                <c:pt idx="77">
                  <c:v>1.0420934814422592E-2</c:v>
                </c:pt>
                <c:pt idx="78">
                  <c:v>7.9154515829799686E-3</c:v>
                </c:pt>
                <c:pt idx="79">
                  <c:v>5.9525324197758538E-3</c:v>
                </c:pt>
                <c:pt idx="80">
                  <c:v>4.4318484119380075E-3</c:v>
                </c:pt>
                <c:pt idx="81">
                  <c:v>3.2668190561999182E-3</c:v>
                </c:pt>
                <c:pt idx="82">
                  <c:v>2.3840882014648404E-3</c:v>
                </c:pt>
                <c:pt idx="83">
                  <c:v>1.7225689390536812E-3</c:v>
                </c:pt>
                <c:pt idx="84">
                  <c:v>1.2322191684730199E-3</c:v>
                </c:pt>
                <c:pt idx="85">
                  <c:v>8.7268269504576015E-4</c:v>
                </c:pt>
                <c:pt idx="86">
                  <c:v>6.119019301137719E-4</c:v>
                </c:pt>
                <c:pt idx="87">
                  <c:v>4.2478027055075143E-4</c:v>
                </c:pt>
                <c:pt idx="88">
                  <c:v>2.9194692579146027E-4</c:v>
                </c:pt>
                <c:pt idx="89">
                  <c:v>1.9865547139277272E-4</c:v>
                </c:pt>
                <c:pt idx="90">
                  <c:v>1.3383022576488537E-4</c:v>
                </c:pt>
                <c:pt idx="91">
                  <c:v>8.9261657177132928E-5</c:v>
                </c:pt>
                <c:pt idx="92">
                  <c:v>5.8943067756539855E-5</c:v>
                </c:pt>
                <c:pt idx="93">
                  <c:v>3.8535196742087129E-5</c:v>
                </c:pt>
                <c:pt idx="94">
                  <c:v>2.4942471290053535E-5</c:v>
                </c:pt>
                <c:pt idx="95">
                  <c:v>1.5983741106905475E-5</c:v>
                </c:pt>
                <c:pt idx="96">
                  <c:v>1.0140852065486758E-5</c:v>
                </c:pt>
                <c:pt idx="97">
                  <c:v>6.3698251788670899E-6</c:v>
                </c:pt>
                <c:pt idx="98">
                  <c:v>3.9612990910320753E-6</c:v>
                </c:pt>
                <c:pt idx="99">
                  <c:v>2.4389607458933522E-6</c:v>
                </c:pt>
                <c:pt idx="100">
                  <c:v>1.4867195147342977E-6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B-4D2F-8143-1968DA239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9523</xdr:colOff>
      <xdr:row>21</xdr:row>
      <xdr:rowOff>147636</xdr:rowOff>
    </xdr:from>
    <xdr:to>
      <xdr:col>8</xdr:col>
      <xdr:colOff>0</xdr:colOff>
      <xdr:row>49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F0A578-6E01-4FB5-8194-E0A71C41B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63499</xdr:colOff>
      <xdr:row>0</xdr:row>
      <xdr:rowOff>184150</xdr:rowOff>
    </xdr:from>
    <xdr:to>
      <xdr:col>14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EE5942-55DF-4F42-B61F-B84885E84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529166</xdr:colOff>
      <xdr:row>7</xdr:row>
      <xdr:rowOff>42335</xdr:rowOff>
    </xdr:from>
    <xdr:to>
      <xdr:col>8</xdr:col>
      <xdr:colOff>529166</xdr:colOff>
      <xdr:row>13</xdr:row>
      <xdr:rowOff>148168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CB1CA3C6-A50E-404A-A9EA-33AF3FF92575}"/>
            </a:ext>
          </a:extLst>
        </xdr:cNvPr>
        <xdr:cNvCxnSpPr/>
      </xdr:nvCxnSpPr>
      <xdr:spPr>
        <a:xfrm>
          <a:off x="7238999" y="137583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21170</xdr:colOff>
      <xdr:row>7</xdr:row>
      <xdr:rowOff>169333</xdr:rowOff>
    </xdr:from>
    <xdr:to>
      <xdr:col>10</xdr:col>
      <xdr:colOff>158750</xdr:colOff>
      <xdr:row>13</xdr:row>
      <xdr:rowOff>127002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E5E2FCDA-ADF6-40C6-9524-13CD2F368BD5}"/>
            </a:ext>
          </a:extLst>
        </xdr:cNvPr>
        <xdr:cNvCxnSpPr/>
      </xdr:nvCxnSpPr>
      <xdr:spPr>
        <a:xfrm flipH="1">
          <a:off x="7344837" y="1502833"/>
          <a:ext cx="751413" cy="1100669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128867</xdr:colOff>
      <xdr:row>0</xdr:row>
      <xdr:rowOff>124384</xdr:rowOff>
    </xdr:from>
    <xdr:to>
      <xdr:col>16</xdr:col>
      <xdr:colOff>11206</xdr:colOff>
      <xdr:row>16</xdr:row>
      <xdr:rowOff>168087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D5510E-7C1B-4BCB-8736-278BDF89A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526675</xdr:colOff>
      <xdr:row>5</xdr:row>
      <xdr:rowOff>134471</xdr:rowOff>
    </xdr:from>
    <xdr:to>
      <xdr:col>10</xdr:col>
      <xdr:colOff>526676</xdr:colOff>
      <xdr:row>15</xdr:row>
      <xdr:rowOff>60388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EDD29537-A321-4D56-BF68-EDD2A511FD3D}"/>
            </a:ext>
          </a:extLst>
        </xdr:cNvPr>
        <xdr:cNvCxnSpPr/>
      </xdr:nvCxnSpPr>
      <xdr:spPr>
        <a:xfrm flipH="1">
          <a:off x="9468969" y="1086971"/>
          <a:ext cx="1" cy="1830917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  <xdr:twoCellAnchor>
    <xdr:from>
      <xdr:col>8</xdr:col>
      <xdr:colOff>280148</xdr:colOff>
      <xdr:row>9</xdr:row>
      <xdr:rowOff>22413</xdr:rowOff>
    </xdr:from>
    <xdr:to>
      <xdr:col>8</xdr:col>
      <xdr:colOff>582708</xdr:colOff>
      <xdr:row>15</xdr:row>
      <xdr:rowOff>31754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1EDBEBF0-77D7-4981-96E4-ACCDA900BE46}"/>
            </a:ext>
          </a:extLst>
        </xdr:cNvPr>
        <xdr:cNvCxnSpPr/>
      </xdr:nvCxnSpPr>
      <xdr:spPr>
        <a:xfrm>
          <a:off x="8012207" y="1736913"/>
          <a:ext cx="302560" cy="1152341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63499</xdr:colOff>
      <xdr:row>0</xdr:row>
      <xdr:rowOff>184150</xdr:rowOff>
    </xdr:from>
    <xdr:to>
      <xdr:col>17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B6D275-879E-4F9B-A7CA-C8CBC2514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529166</xdr:colOff>
      <xdr:row>8</xdr:row>
      <xdr:rowOff>179918</xdr:rowOff>
    </xdr:from>
    <xdr:to>
      <xdr:col>11</xdr:col>
      <xdr:colOff>529166</xdr:colOff>
      <xdr:row>15</xdr:row>
      <xdr:rowOff>95251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0B45B07E-7B82-4794-A296-D35A08878ED4}"/>
            </a:ext>
          </a:extLst>
        </xdr:cNvPr>
        <xdr:cNvCxnSpPr/>
      </xdr:nvCxnSpPr>
      <xdr:spPr>
        <a:xfrm>
          <a:off x="11123083" y="1714501"/>
          <a:ext cx="0" cy="1259417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508001</xdr:colOff>
      <xdr:row>6</xdr:row>
      <xdr:rowOff>74084</xdr:rowOff>
    </xdr:from>
    <xdr:to>
      <xdr:col>13</xdr:col>
      <xdr:colOff>222251</xdr:colOff>
      <xdr:row>13</xdr:row>
      <xdr:rowOff>95251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4260C5CD-0C57-4E1F-9608-4BBE6ED045EC}"/>
            </a:ext>
          </a:extLst>
        </xdr:cNvPr>
        <xdr:cNvCxnSpPr/>
      </xdr:nvCxnSpPr>
      <xdr:spPr>
        <a:xfrm flipH="1">
          <a:off x="11715751" y="1227667"/>
          <a:ext cx="328083" cy="1365251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330571</xdr:colOff>
      <xdr:row>0</xdr:row>
      <xdr:rowOff>101973</xdr:rowOff>
    </xdr:from>
    <xdr:to>
      <xdr:col>16</xdr:col>
      <xdr:colOff>33618</xdr:colOff>
      <xdr:row>16</xdr:row>
      <xdr:rowOff>145676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E2F537-EDFB-4402-A735-1F9F70452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352984</xdr:colOff>
      <xdr:row>0</xdr:row>
      <xdr:rowOff>101973</xdr:rowOff>
    </xdr:from>
    <xdr:to>
      <xdr:col>16</xdr:col>
      <xdr:colOff>22410</xdr:colOff>
      <xdr:row>16</xdr:row>
      <xdr:rowOff>145676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8A77E7-4013-4E73-A68A-60EF6EBDD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274546</xdr:colOff>
      <xdr:row>0</xdr:row>
      <xdr:rowOff>101974</xdr:rowOff>
    </xdr:from>
    <xdr:to>
      <xdr:col>14</xdr:col>
      <xdr:colOff>571501</xdr:colOff>
      <xdr:row>16</xdr:row>
      <xdr:rowOff>112059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30120B-1691-41DB-BF55-1402590D5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207307</xdr:colOff>
      <xdr:row>0</xdr:row>
      <xdr:rowOff>90767</xdr:rowOff>
    </xdr:from>
    <xdr:to>
      <xdr:col>15</xdr:col>
      <xdr:colOff>593911</xdr:colOff>
      <xdr:row>19</xdr:row>
      <xdr:rowOff>56028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A8DA19-8DE9-4CE8-AAB8-8CFD72D39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448227</xdr:colOff>
      <xdr:row>11</xdr:row>
      <xdr:rowOff>89643</xdr:rowOff>
    </xdr:from>
    <xdr:to>
      <xdr:col>10</xdr:col>
      <xdr:colOff>448227</xdr:colOff>
      <xdr:row>18</xdr:row>
      <xdr:rowOff>4976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EB937DA7-6A1E-43FB-8FDA-75B22BEA8EF1}"/>
            </a:ext>
          </a:extLst>
        </xdr:cNvPr>
        <xdr:cNvCxnSpPr/>
      </xdr:nvCxnSpPr>
      <xdr:spPr>
        <a:xfrm>
          <a:off x="9513786" y="2185143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499775</xdr:colOff>
      <xdr:row>11</xdr:row>
      <xdr:rowOff>96365</xdr:rowOff>
    </xdr:from>
    <xdr:to>
      <xdr:col>12</xdr:col>
      <xdr:colOff>499775</xdr:colOff>
      <xdr:row>18</xdr:row>
      <xdr:rowOff>11698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9FC7D3CA-836C-4AE3-AD10-590723B4760C}"/>
            </a:ext>
          </a:extLst>
        </xdr:cNvPr>
        <xdr:cNvCxnSpPr/>
      </xdr:nvCxnSpPr>
      <xdr:spPr>
        <a:xfrm>
          <a:off x="10775569" y="219186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218513</xdr:colOff>
      <xdr:row>0</xdr:row>
      <xdr:rowOff>79560</xdr:rowOff>
    </xdr:from>
    <xdr:to>
      <xdr:col>13</xdr:col>
      <xdr:colOff>605117</xdr:colOff>
      <xdr:row>17</xdr:row>
      <xdr:rowOff>145676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6C136D-C4F5-46EA-9652-EA2BBDCB8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504265</xdr:colOff>
      <xdr:row>5</xdr:row>
      <xdr:rowOff>67235</xdr:rowOff>
    </xdr:from>
    <xdr:to>
      <xdr:col>7</xdr:col>
      <xdr:colOff>504265</xdr:colOff>
      <xdr:row>16</xdr:row>
      <xdr:rowOff>39874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13E27D7D-67AB-4B5F-926F-8B31FA63BB8D}"/>
            </a:ext>
          </a:extLst>
        </xdr:cNvPr>
        <xdr:cNvCxnSpPr/>
      </xdr:nvCxnSpPr>
      <xdr:spPr>
        <a:xfrm>
          <a:off x="9536206" y="1019735"/>
          <a:ext cx="0" cy="2068139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218513</xdr:colOff>
      <xdr:row>0</xdr:row>
      <xdr:rowOff>79560</xdr:rowOff>
    </xdr:from>
    <xdr:to>
      <xdr:col>15</xdr:col>
      <xdr:colOff>605117</xdr:colOff>
      <xdr:row>17</xdr:row>
      <xdr:rowOff>145676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F8B9F7B-51E2-4C38-991D-5B37E8FB8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560294</xdr:colOff>
      <xdr:row>10</xdr:row>
      <xdr:rowOff>22413</xdr:rowOff>
    </xdr:from>
    <xdr:to>
      <xdr:col>10</xdr:col>
      <xdr:colOff>560294</xdr:colOff>
      <xdr:row>16</xdr:row>
      <xdr:rowOff>138830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A77988EA-C4A4-46DF-B318-A4BA5D3D2607}"/>
            </a:ext>
          </a:extLst>
        </xdr:cNvPr>
        <xdr:cNvCxnSpPr/>
      </xdr:nvCxnSpPr>
      <xdr:spPr>
        <a:xfrm>
          <a:off x="10197353" y="1927413"/>
          <a:ext cx="0" cy="1259417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  <xdr:twoCellAnchor>
    <xdr:from>
      <xdr:col>12</xdr:col>
      <xdr:colOff>600633</xdr:colOff>
      <xdr:row>14</xdr:row>
      <xdr:rowOff>67235</xdr:rowOff>
    </xdr:from>
    <xdr:to>
      <xdr:col>13</xdr:col>
      <xdr:colOff>0</xdr:colOff>
      <xdr:row>16</xdr:row>
      <xdr:rowOff>123140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93A90417-C13C-49E3-88A9-DEF325F7369A}"/>
            </a:ext>
          </a:extLst>
        </xdr:cNvPr>
        <xdr:cNvCxnSpPr/>
      </xdr:nvCxnSpPr>
      <xdr:spPr>
        <a:xfrm flipH="1">
          <a:off x="11447927" y="2734235"/>
          <a:ext cx="4485" cy="436905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63498</xdr:colOff>
      <xdr:row>0</xdr:row>
      <xdr:rowOff>184149</xdr:rowOff>
    </xdr:from>
    <xdr:to>
      <xdr:col>15</xdr:col>
      <xdr:colOff>582082</xdr:colOff>
      <xdr:row>17</xdr:row>
      <xdr:rowOff>105832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565FF2-F297-44F5-998E-73C92CC12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425835</xdr:colOff>
      <xdr:row>9</xdr:row>
      <xdr:rowOff>78443</xdr:rowOff>
    </xdr:from>
    <xdr:to>
      <xdr:col>9</xdr:col>
      <xdr:colOff>425835</xdr:colOff>
      <xdr:row>16</xdr:row>
      <xdr:rowOff>4360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33ADA847-8B7E-44FC-B68F-9C87D842095B}"/>
            </a:ext>
          </a:extLst>
        </xdr:cNvPr>
        <xdr:cNvCxnSpPr/>
      </xdr:nvCxnSpPr>
      <xdr:spPr>
        <a:xfrm>
          <a:off x="7037306" y="1792943"/>
          <a:ext cx="0" cy="1259417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63499</xdr:colOff>
      <xdr:row>0</xdr:row>
      <xdr:rowOff>184150</xdr:rowOff>
    </xdr:from>
    <xdr:to>
      <xdr:col>16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950836-457D-491C-A796-EF4E4A4D5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74082</xdr:colOff>
      <xdr:row>8</xdr:row>
      <xdr:rowOff>21169</xdr:rowOff>
    </xdr:from>
    <xdr:to>
      <xdr:col>13</xdr:col>
      <xdr:colOff>74082</xdr:colOff>
      <xdr:row>14</xdr:row>
      <xdr:rowOff>127002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B97AE113-C15E-4207-AFF8-6E0154D88645}"/>
            </a:ext>
          </a:extLst>
        </xdr:cNvPr>
        <xdr:cNvCxnSpPr/>
      </xdr:nvCxnSpPr>
      <xdr:spPr>
        <a:xfrm>
          <a:off x="11324165" y="1545169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433919</xdr:colOff>
      <xdr:row>7</xdr:row>
      <xdr:rowOff>63501</xdr:rowOff>
    </xdr:from>
    <xdr:to>
      <xdr:col>14</xdr:col>
      <xdr:colOff>433916</xdr:colOff>
      <xdr:row>13</xdr:row>
      <xdr:rowOff>127002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36FFA4A7-B36E-4687-A75D-EEA771710ECE}"/>
            </a:ext>
          </a:extLst>
        </xdr:cNvPr>
        <xdr:cNvCxnSpPr/>
      </xdr:nvCxnSpPr>
      <xdr:spPr>
        <a:xfrm flipH="1">
          <a:off x="11684002" y="1397001"/>
          <a:ext cx="613831" cy="1206501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903B-1A40-4220-A13D-951E27017FBF}">
  <dimension ref="A1:H301"/>
  <sheetViews>
    <sheetView showGridLines="0" tabSelected="1" zoomScale="85" zoomScaleNormal="85" workbookViewId="0"/>
  </sheetViews>
  <sheetFormatPr defaultRowHeight="15" x14ac:dyDescent="0.25"/>
  <cols>
    <col min="1" max="2" width="20.7109375" style="1" customWidth="1"/>
    <col min="4" max="8" width="23.7109375" style="1" customWidth="1"/>
  </cols>
  <sheetData>
    <row r="1" spans="1:8" x14ac:dyDescent="0.25">
      <c r="A1" s="4" t="s">
        <v>0</v>
      </c>
      <c r="B1" s="4" t="s">
        <v>1</v>
      </c>
      <c r="D1" s="4" t="s">
        <v>1</v>
      </c>
      <c r="E1" s="4" t="s">
        <v>21</v>
      </c>
      <c r="F1" s="4" t="s">
        <v>23</v>
      </c>
      <c r="G1" s="4" t="s">
        <v>24</v>
      </c>
      <c r="H1" s="4" t="s">
        <v>25</v>
      </c>
    </row>
    <row r="2" spans="1:8" x14ac:dyDescent="0.25">
      <c r="A2" s="3">
        <v>1</v>
      </c>
      <c r="B2" s="3" t="s">
        <v>2</v>
      </c>
      <c r="D2" s="2" t="s">
        <v>13</v>
      </c>
      <c r="E2" s="2">
        <f t="shared" ref="E2:E20" si="0">+COUNTIF($B:$B,$D2)</f>
        <v>14</v>
      </c>
      <c r="F2" s="6">
        <f>+E2/$E$21</f>
        <v>4.6666666666666669E-2</v>
      </c>
      <c r="G2" s="8">
        <f>+E2</f>
        <v>14</v>
      </c>
      <c r="H2" s="6">
        <f>+F2</f>
        <v>4.6666666666666669E-2</v>
      </c>
    </row>
    <row r="3" spans="1:8" x14ac:dyDescent="0.25">
      <c r="A3" s="3">
        <v>2</v>
      </c>
      <c r="B3" s="3" t="s">
        <v>3</v>
      </c>
      <c r="D3" s="2" t="s">
        <v>14</v>
      </c>
      <c r="E3" s="2">
        <f t="shared" si="0"/>
        <v>10</v>
      </c>
      <c r="F3" s="6">
        <f t="shared" ref="F3:F20" si="1">+E3/$E$21</f>
        <v>3.3333333333333333E-2</v>
      </c>
      <c r="G3" s="8">
        <f>+E3+G2</f>
        <v>24</v>
      </c>
      <c r="H3" s="6">
        <f>+F3+H2</f>
        <v>0.08</v>
      </c>
    </row>
    <row r="4" spans="1:8" x14ac:dyDescent="0.25">
      <c r="A4" s="3">
        <v>3</v>
      </c>
      <c r="B4" s="3" t="s">
        <v>4</v>
      </c>
      <c r="D4" s="2" t="s">
        <v>7</v>
      </c>
      <c r="E4" s="2">
        <f t="shared" si="0"/>
        <v>10</v>
      </c>
      <c r="F4" s="6">
        <f t="shared" si="1"/>
        <v>3.3333333333333333E-2</v>
      </c>
      <c r="G4" s="8">
        <f t="shared" ref="G4:H20" si="2">+E4+G3</f>
        <v>34</v>
      </c>
      <c r="H4" s="6">
        <f t="shared" si="2"/>
        <v>0.11333333333333334</v>
      </c>
    </row>
    <row r="5" spans="1:8" x14ac:dyDescent="0.25">
      <c r="A5" s="3">
        <v>4</v>
      </c>
      <c r="B5" s="3" t="s">
        <v>6</v>
      </c>
      <c r="D5" s="2" t="s">
        <v>12</v>
      </c>
      <c r="E5" s="2">
        <f t="shared" si="0"/>
        <v>15</v>
      </c>
      <c r="F5" s="6">
        <f t="shared" si="1"/>
        <v>0.05</v>
      </c>
      <c r="G5" s="8">
        <f t="shared" si="2"/>
        <v>49</v>
      </c>
      <c r="H5" s="6">
        <f t="shared" si="2"/>
        <v>0.16333333333333333</v>
      </c>
    </row>
    <row r="6" spans="1:8" x14ac:dyDescent="0.25">
      <c r="A6" s="3">
        <v>5</v>
      </c>
      <c r="B6" s="3" t="s">
        <v>2</v>
      </c>
      <c r="D6" s="2" t="s">
        <v>2</v>
      </c>
      <c r="E6" s="2">
        <f t="shared" si="0"/>
        <v>59</v>
      </c>
      <c r="F6" s="6">
        <f t="shared" si="1"/>
        <v>0.19666666666666666</v>
      </c>
      <c r="G6" s="8">
        <f t="shared" si="2"/>
        <v>108</v>
      </c>
      <c r="H6" s="6">
        <f t="shared" si="2"/>
        <v>0.36</v>
      </c>
    </row>
    <row r="7" spans="1:8" x14ac:dyDescent="0.25">
      <c r="A7" s="3">
        <v>6</v>
      </c>
      <c r="B7" s="3" t="s">
        <v>5</v>
      </c>
      <c r="D7" s="2" t="s">
        <v>11</v>
      </c>
      <c r="E7" s="2">
        <f t="shared" si="0"/>
        <v>9</v>
      </c>
      <c r="F7" s="6">
        <f t="shared" si="1"/>
        <v>0.03</v>
      </c>
      <c r="G7" s="8">
        <f t="shared" si="2"/>
        <v>117</v>
      </c>
      <c r="H7" s="6">
        <f t="shared" si="2"/>
        <v>0.39</v>
      </c>
    </row>
    <row r="8" spans="1:8" x14ac:dyDescent="0.25">
      <c r="A8" s="3">
        <v>7</v>
      </c>
      <c r="B8" s="3" t="s">
        <v>2</v>
      </c>
      <c r="D8" s="2" t="s">
        <v>20</v>
      </c>
      <c r="E8" s="2">
        <f t="shared" si="0"/>
        <v>7</v>
      </c>
      <c r="F8" s="6">
        <f t="shared" si="1"/>
        <v>2.3333333333333334E-2</v>
      </c>
      <c r="G8" s="8">
        <f t="shared" si="2"/>
        <v>124</v>
      </c>
      <c r="H8" s="6">
        <f t="shared" si="2"/>
        <v>0.41333333333333333</v>
      </c>
    </row>
    <row r="9" spans="1:8" x14ac:dyDescent="0.25">
      <c r="A9" s="3">
        <v>8</v>
      </c>
      <c r="B9" s="3" t="s">
        <v>2</v>
      </c>
      <c r="D9" s="2" t="s">
        <v>5</v>
      </c>
      <c r="E9" s="2">
        <f t="shared" si="0"/>
        <v>18</v>
      </c>
      <c r="F9" s="6">
        <f t="shared" si="1"/>
        <v>0.06</v>
      </c>
      <c r="G9" s="8">
        <f t="shared" si="2"/>
        <v>142</v>
      </c>
      <c r="H9" s="6">
        <f t="shared" si="2"/>
        <v>0.47333333333333333</v>
      </c>
    </row>
    <row r="10" spans="1:8" x14ac:dyDescent="0.25">
      <c r="A10" s="3">
        <v>9</v>
      </c>
      <c r="B10" s="3" t="s">
        <v>2</v>
      </c>
      <c r="D10" s="2" t="s">
        <v>17</v>
      </c>
      <c r="E10" s="2">
        <f t="shared" si="0"/>
        <v>8</v>
      </c>
      <c r="F10" s="6">
        <f t="shared" si="1"/>
        <v>2.6666666666666668E-2</v>
      </c>
      <c r="G10" s="8">
        <f t="shared" si="2"/>
        <v>150</v>
      </c>
      <c r="H10" s="6">
        <f t="shared" si="2"/>
        <v>0.5</v>
      </c>
    </row>
    <row r="11" spans="1:8" x14ac:dyDescent="0.25">
      <c r="A11" s="3">
        <v>10</v>
      </c>
      <c r="B11" s="3" t="s">
        <v>6</v>
      </c>
      <c r="D11" s="2" t="s">
        <v>6</v>
      </c>
      <c r="E11" s="2">
        <f t="shared" si="0"/>
        <v>35</v>
      </c>
      <c r="F11" s="6">
        <f t="shared" si="1"/>
        <v>0.11666666666666667</v>
      </c>
      <c r="G11" s="8">
        <f t="shared" si="2"/>
        <v>185</v>
      </c>
      <c r="H11" s="6">
        <f t="shared" si="2"/>
        <v>0.6166666666666667</v>
      </c>
    </row>
    <row r="12" spans="1:8" x14ac:dyDescent="0.25">
      <c r="A12" s="3">
        <v>11</v>
      </c>
      <c r="B12" s="3" t="s">
        <v>6</v>
      </c>
      <c r="D12" s="2" t="s">
        <v>15</v>
      </c>
      <c r="E12" s="2">
        <f t="shared" si="0"/>
        <v>10</v>
      </c>
      <c r="F12" s="6">
        <f t="shared" si="1"/>
        <v>3.3333333333333333E-2</v>
      </c>
      <c r="G12" s="8">
        <f t="shared" si="2"/>
        <v>195</v>
      </c>
      <c r="H12" s="6">
        <f t="shared" si="2"/>
        <v>0.65</v>
      </c>
    </row>
    <row r="13" spans="1:8" x14ac:dyDescent="0.25">
      <c r="A13" s="3">
        <v>12</v>
      </c>
      <c r="B13" s="3" t="s">
        <v>7</v>
      </c>
      <c r="D13" s="2" t="s">
        <v>18</v>
      </c>
      <c r="E13" s="2">
        <f t="shared" si="0"/>
        <v>19</v>
      </c>
      <c r="F13" s="6">
        <f t="shared" si="1"/>
        <v>6.3333333333333339E-2</v>
      </c>
      <c r="G13" s="8">
        <f t="shared" si="2"/>
        <v>214</v>
      </c>
      <c r="H13" s="6">
        <f t="shared" si="2"/>
        <v>0.71333333333333337</v>
      </c>
    </row>
    <row r="14" spans="1:8" x14ac:dyDescent="0.25">
      <c r="A14" s="3">
        <v>13</v>
      </c>
      <c r="B14" s="3" t="s">
        <v>2</v>
      </c>
      <c r="D14" s="2" t="s">
        <v>3</v>
      </c>
      <c r="E14" s="2">
        <f t="shared" si="0"/>
        <v>12</v>
      </c>
      <c r="F14" s="6">
        <f t="shared" si="1"/>
        <v>0.04</v>
      </c>
      <c r="G14" s="8">
        <f t="shared" si="2"/>
        <v>226</v>
      </c>
      <c r="H14" s="6">
        <f t="shared" si="2"/>
        <v>0.75333333333333341</v>
      </c>
    </row>
    <row r="15" spans="1:8" x14ac:dyDescent="0.25">
      <c r="A15" s="3">
        <v>14</v>
      </c>
      <c r="B15" s="3" t="s">
        <v>4</v>
      </c>
      <c r="D15" s="2" t="s">
        <v>16</v>
      </c>
      <c r="E15" s="2">
        <f t="shared" si="0"/>
        <v>9</v>
      </c>
      <c r="F15" s="6">
        <f t="shared" si="1"/>
        <v>0.03</v>
      </c>
      <c r="G15" s="8">
        <f t="shared" si="2"/>
        <v>235</v>
      </c>
      <c r="H15" s="6">
        <f t="shared" si="2"/>
        <v>0.78333333333333344</v>
      </c>
    </row>
    <row r="16" spans="1:8" x14ac:dyDescent="0.25">
      <c r="A16" s="3">
        <v>15</v>
      </c>
      <c r="B16" s="3" t="s">
        <v>12</v>
      </c>
      <c r="D16" s="2" t="s">
        <v>4</v>
      </c>
      <c r="E16" s="2">
        <f t="shared" si="0"/>
        <v>16</v>
      </c>
      <c r="F16" s="6">
        <f t="shared" si="1"/>
        <v>5.3333333333333337E-2</v>
      </c>
      <c r="G16" s="8">
        <f t="shared" si="2"/>
        <v>251</v>
      </c>
      <c r="H16" s="6">
        <f t="shared" si="2"/>
        <v>0.83666666666666678</v>
      </c>
    </row>
    <row r="17" spans="1:8" x14ac:dyDescent="0.25">
      <c r="A17" s="3">
        <v>16</v>
      </c>
      <c r="B17" s="3" t="s">
        <v>9</v>
      </c>
      <c r="D17" s="2" t="s">
        <v>8</v>
      </c>
      <c r="E17" s="2">
        <f t="shared" si="0"/>
        <v>7</v>
      </c>
      <c r="F17" s="6">
        <f t="shared" si="1"/>
        <v>2.3333333333333334E-2</v>
      </c>
      <c r="G17" s="8">
        <f t="shared" si="2"/>
        <v>258</v>
      </c>
      <c r="H17" s="6">
        <f t="shared" si="2"/>
        <v>0.8600000000000001</v>
      </c>
    </row>
    <row r="18" spans="1:8" x14ac:dyDescent="0.25">
      <c r="A18" s="3">
        <v>17</v>
      </c>
      <c r="B18" s="3" t="s">
        <v>12</v>
      </c>
      <c r="D18" s="2" t="s">
        <v>19</v>
      </c>
      <c r="E18" s="2">
        <f t="shared" si="0"/>
        <v>14</v>
      </c>
      <c r="F18" s="6">
        <f t="shared" si="1"/>
        <v>4.6666666666666669E-2</v>
      </c>
      <c r="G18" s="8">
        <f t="shared" si="2"/>
        <v>272</v>
      </c>
      <c r="H18" s="6">
        <f t="shared" si="2"/>
        <v>0.90666666666666673</v>
      </c>
    </row>
    <row r="19" spans="1:8" x14ac:dyDescent="0.25">
      <c r="A19" s="3">
        <v>18</v>
      </c>
      <c r="B19" s="3" t="s">
        <v>2</v>
      </c>
      <c r="D19" s="2" t="s">
        <v>9</v>
      </c>
      <c r="E19" s="2">
        <f t="shared" si="0"/>
        <v>11</v>
      </c>
      <c r="F19" s="6">
        <f t="shared" si="1"/>
        <v>3.6666666666666667E-2</v>
      </c>
      <c r="G19" s="8">
        <f t="shared" si="2"/>
        <v>283</v>
      </c>
      <c r="H19" s="6">
        <f t="shared" si="2"/>
        <v>0.94333333333333336</v>
      </c>
    </row>
    <row r="20" spans="1:8" x14ac:dyDescent="0.25">
      <c r="A20" s="3">
        <v>19</v>
      </c>
      <c r="B20" s="3" t="s">
        <v>6</v>
      </c>
      <c r="D20" s="2" t="s">
        <v>10</v>
      </c>
      <c r="E20" s="2">
        <f t="shared" si="0"/>
        <v>17</v>
      </c>
      <c r="F20" s="6">
        <f t="shared" si="1"/>
        <v>5.6666666666666664E-2</v>
      </c>
      <c r="G20" s="8">
        <f t="shared" si="2"/>
        <v>300</v>
      </c>
      <c r="H20" s="6">
        <f t="shared" si="2"/>
        <v>1</v>
      </c>
    </row>
    <row r="21" spans="1:8" x14ac:dyDescent="0.25">
      <c r="A21" s="3">
        <v>20</v>
      </c>
      <c r="B21" s="3" t="s">
        <v>2</v>
      </c>
      <c r="D21" s="5" t="s">
        <v>22</v>
      </c>
      <c r="E21" s="5">
        <f>+SUM(E2:E20)</f>
        <v>300</v>
      </c>
      <c r="F21" s="7">
        <f>+SUM(F2:F20)</f>
        <v>1</v>
      </c>
      <c r="G21" s="9"/>
      <c r="H21" s="9"/>
    </row>
    <row r="22" spans="1:8" x14ac:dyDescent="0.25">
      <c r="A22" s="3">
        <v>21</v>
      </c>
      <c r="B22" s="3" t="s">
        <v>2</v>
      </c>
      <c r="D22"/>
      <c r="E22"/>
      <c r="F22"/>
      <c r="G22"/>
      <c r="H22"/>
    </row>
    <row r="23" spans="1:8" x14ac:dyDescent="0.25">
      <c r="A23" s="3">
        <v>22</v>
      </c>
      <c r="B23" s="3" t="s">
        <v>13</v>
      </c>
      <c r="D23"/>
      <c r="E23"/>
      <c r="F23"/>
      <c r="G23"/>
      <c r="H23"/>
    </row>
    <row r="24" spans="1:8" x14ac:dyDescent="0.25">
      <c r="A24" s="3">
        <v>23</v>
      </c>
      <c r="B24" s="3" t="s">
        <v>13</v>
      </c>
      <c r="D24"/>
      <c r="E24"/>
      <c r="F24"/>
      <c r="G24"/>
      <c r="H24"/>
    </row>
    <row r="25" spans="1:8" x14ac:dyDescent="0.25">
      <c r="A25" s="3">
        <v>24</v>
      </c>
      <c r="B25" s="3" t="s">
        <v>13</v>
      </c>
      <c r="D25"/>
      <c r="E25"/>
      <c r="F25"/>
      <c r="G25"/>
      <c r="H25"/>
    </row>
    <row r="26" spans="1:8" x14ac:dyDescent="0.25">
      <c r="A26" s="3">
        <v>25</v>
      </c>
      <c r="B26" s="3" t="s">
        <v>6</v>
      </c>
      <c r="D26"/>
      <c r="E26"/>
      <c r="F26"/>
      <c r="G26"/>
      <c r="H26"/>
    </row>
    <row r="27" spans="1:8" x14ac:dyDescent="0.25">
      <c r="A27" s="3">
        <v>26</v>
      </c>
      <c r="B27" s="3" t="s">
        <v>6</v>
      </c>
      <c r="D27"/>
      <c r="E27"/>
      <c r="F27"/>
      <c r="G27"/>
      <c r="H27"/>
    </row>
    <row r="28" spans="1:8" x14ac:dyDescent="0.25">
      <c r="A28" s="3">
        <v>27</v>
      </c>
      <c r="B28" s="3" t="s">
        <v>5</v>
      </c>
      <c r="D28"/>
      <c r="E28"/>
      <c r="F28"/>
      <c r="G28"/>
      <c r="H28"/>
    </row>
    <row r="29" spans="1:8" x14ac:dyDescent="0.25">
      <c r="A29" s="3">
        <v>28</v>
      </c>
      <c r="B29" s="3" t="s">
        <v>2</v>
      </c>
      <c r="D29"/>
      <c r="E29"/>
      <c r="F29"/>
      <c r="G29"/>
      <c r="H29"/>
    </row>
    <row r="30" spans="1:8" x14ac:dyDescent="0.25">
      <c r="A30" s="3">
        <v>29</v>
      </c>
      <c r="B30" s="3" t="s">
        <v>2</v>
      </c>
      <c r="D30"/>
      <c r="E30"/>
      <c r="F30"/>
      <c r="G30"/>
      <c r="H30"/>
    </row>
    <row r="31" spans="1:8" x14ac:dyDescent="0.25">
      <c r="A31" s="3">
        <v>30</v>
      </c>
      <c r="B31" s="3" t="s">
        <v>9</v>
      </c>
      <c r="D31"/>
      <c r="E31"/>
      <c r="F31"/>
      <c r="G31"/>
      <c r="H31"/>
    </row>
    <row r="32" spans="1:8" x14ac:dyDescent="0.25">
      <c r="A32" s="3">
        <v>31</v>
      </c>
      <c r="B32" s="3" t="s">
        <v>10</v>
      </c>
      <c r="D32"/>
      <c r="E32"/>
      <c r="F32"/>
      <c r="G32"/>
      <c r="H32"/>
    </row>
    <row r="33" spans="1:8" x14ac:dyDescent="0.25">
      <c r="A33" s="3">
        <v>32</v>
      </c>
      <c r="B33" s="3" t="s">
        <v>6</v>
      </c>
      <c r="D33"/>
      <c r="E33"/>
      <c r="F33"/>
      <c r="G33"/>
      <c r="H33"/>
    </row>
    <row r="34" spans="1:8" x14ac:dyDescent="0.25">
      <c r="A34" s="3">
        <v>33</v>
      </c>
      <c r="B34" s="3" t="s">
        <v>6</v>
      </c>
      <c r="D34"/>
      <c r="E34"/>
      <c r="F34"/>
      <c r="G34"/>
      <c r="H34"/>
    </row>
    <row r="35" spans="1:8" x14ac:dyDescent="0.25">
      <c r="A35" s="3">
        <v>34</v>
      </c>
      <c r="B35" s="3" t="s">
        <v>10</v>
      </c>
      <c r="D35"/>
      <c r="E35"/>
      <c r="F35"/>
      <c r="G35"/>
      <c r="H35"/>
    </row>
    <row r="36" spans="1:8" x14ac:dyDescent="0.25">
      <c r="A36" s="3">
        <v>35</v>
      </c>
      <c r="B36" s="3" t="s">
        <v>4</v>
      </c>
      <c r="D36"/>
      <c r="E36"/>
      <c r="F36"/>
      <c r="G36"/>
      <c r="H36"/>
    </row>
    <row r="37" spans="1:8" x14ac:dyDescent="0.25">
      <c r="A37" s="3">
        <v>36</v>
      </c>
      <c r="B37" s="3" t="s">
        <v>5</v>
      </c>
      <c r="D37"/>
      <c r="E37"/>
      <c r="F37"/>
      <c r="G37"/>
      <c r="H37"/>
    </row>
    <row r="38" spans="1:8" x14ac:dyDescent="0.25">
      <c r="A38" s="3">
        <v>37</v>
      </c>
      <c r="B38" s="3" t="s">
        <v>14</v>
      </c>
      <c r="D38"/>
      <c r="E38"/>
      <c r="F38"/>
      <c r="G38"/>
      <c r="H38"/>
    </row>
    <row r="39" spans="1:8" x14ac:dyDescent="0.25">
      <c r="A39" s="3">
        <v>38</v>
      </c>
      <c r="B39" s="3" t="s">
        <v>4</v>
      </c>
      <c r="D39"/>
      <c r="E39"/>
      <c r="F39"/>
      <c r="G39"/>
      <c r="H39"/>
    </row>
    <row r="40" spans="1:8" x14ac:dyDescent="0.25">
      <c r="A40" s="3">
        <v>39</v>
      </c>
      <c r="B40" s="3" t="s">
        <v>4</v>
      </c>
      <c r="D40"/>
      <c r="E40"/>
      <c r="F40"/>
      <c r="G40"/>
      <c r="H40"/>
    </row>
    <row r="41" spans="1:8" x14ac:dyDescent="0.25">
      <c r="A41" s="3">
        <v>40</v>
      </c>
      <c r="B41" s="3" t="s">
        <v>14</v>
      </c>
      <c r="D41"/>
      <c r="E41"/>
      <c r="F41"/>
      <c r="G41"/>
      <c r="H41"/>
    </row>
    <row r="42" spans="1:8" x14ac:dyDescent="0.25">
      <c r="A42" s="3">
        <v>41</v>
      </c>
      <c r="B42" s="3" t="s">
        <v>14</v>
      </c>
      <c r="D42"/>
      <c r="E42"/>
      <c r="F42"/>
      <c r="G42"/>
      <c r="H42"/>
    </row>
    <row r="43" spans="1:8" x14ac:dyDescent="0.25">
      <c r="A43" s="3">
        <v>42</v>
      </c>
      <c r="B43" s="3" t="s">
        <v>8</v>
      </c>
      <c r="D43"/>
      <c r="E43"/>
      <c r="F43"/>
      <c r="G43"/>
      <c r="H43"/>
    </row>
    <row r="44" spans="1:8" x14ac:dyDescent="0.25">
      <c r="A44" s="3">
        <v>43</v>
      </c>
      <c r="B44" s="3" t="s">
        <v>3</v>
      </c>
      <c r="D44"/>
      <c r="E44"/>
      <c r="F44"/>
      <c r="G44"/>
      <c r="H44"/>
    </row>
    <row r="45" spans="1:8" x14ac:dyDescent="0.25">
      <c r="A45" s="3">
        <v>44</v>
      </c>
      <c r="B45" s="3" t="s">
        <v>3</v>
      </c>
      <c r="D45"/>
      <c r="E45"/>
      <c r="F45"/>
      <c r="G45"/>
      <c r="H45"/>
    </row>
    <row r="46" spans="1:8" x14ac:dyDescent="0.25">
      <c r="A46" s="3">
        <v>45</v>
      </c>
      <c r="B46" s="3" t="s">
        <v>8</v>
      </c>
      <c r="D46"/>
      <c r="E46"/>
      <c r="F46"/>
      <c r="G46"/>
      <c r="H46"/>
    </row>
    <row r="47" spans="1:8" x14ac:dyDescent="0.25">
      <c r="A47" s="3">
        <v>46</v>
      </c>
      <c r="B47" s="3" t="s">
        <v>10</v>
      </c>
      <c r="D47"/>
      <c r="E47"/>
      <c r="F47"/>
      <c r="G47"/>
      <c r="H47"/>
    </row>
    <row r="48" spans="1:8" x14ac:dyDescent="0.25">
      <c r="A48" s="3">
        <v>47</v>
      </c>
      <c r="B48" s="3" t="s">
        <v>10</v>
      </c>
      <c r="D48"/>
      <c r="E48"/>
      <c r="F48"/>
      <c r="G48"/>
      <c r="H48"/>
    </row>
    <row r="49" spans="1:8" x14ac:dyDescent="0.25">
      <c r="A49" s="3">
        <v>48</v>
      </c>
      <c r="B49" s="3" t="s">
        <v>2</v>
      </c>
      <c r="D49"/>
      <c r="E49"/>
      <c r="F49"/>
      <c r="G49"/>
      <c r="H49"/>
    </row>
    <row r="50" spans="1:8" x14ac:dyDescent="0.25">
      <c r="A50" s="3">
        <v>49</v>
      </c>
      <c r="B50" s="3" t="s">
        <v>2</v>
      </c>
      <c r="D50"/>
      <c r="E50"/>
      <c r="F50"/>
      <c r="G50"/>
      <c r="H50"/>
    </row>
    <row r="51" spans="1:8" x14ac:dyDescent="0.25">
      <c r="A51" s="3">
        <v>50</v>
      </c>
      <c r="B51" s="3" t="s">
        <v>5</v>
      </c>
      <c r="D51"/>
      <c r="E51"/>
      <c r="F51"/>
      <c r="G51"/>
      <c r="H51"/>
    </row>
    <row r="52" spans="1:8" x14ac:dyDescent="0.25">
      <c r="A52" s="3">
        <v>51</v>
      </c>
      <c r="B52" s="3" t="s">
        <v>7</v>
      </c>
      <c r="D52"/>
      <c r="E52"/>
      <c r="F52"/>
      <c r="G52"/>
      <c r="H52"/>
    </row>
    <row r="53" spans="1:8" x14ac:dyDescent="0.25">
      <c r="A53" s="3">
        <v>52</v>
      </c>
      <c r="B53" s="3" t="s">
        <v>7</v>
      </c>
      <c r="D53"/>
      <c r="E53"/>
      <c r="F53"/>
      <c r="G53"/>
      <c r="H53"/>
    </row>
    <row r="54" spans="1:8" x14ac:dyDescent="0.25">
      <c r="A54" s="3">
        <v>53</v>
      </c>
      <c r="B54" s="3" t="s">
        <v>6</v>
      </c>
      <c r="D54"/>
      <c r="E54"/>
      <c r="F54"/>
      <c r="G54"/>
      <c r="H54"/>
    </row>
    <row r="55" spans="1:8" x14ac:dyDescent="0.25">
      <c r="A55" s="3">
        <v>54</v>
      </c>
      <c r="B55" s="3" t="s">
        <v>6</v>
      </c>
      <c r="D55"/>
      <c r="E55"/>
      <c r="F55"/>
      <c r="G55"/>
      <c r="H55"/>
    </row>
    <row r="56" spans="1:8" x14ac:dyDescent="0.25">
      <c r="A56" s="3">
        <v>55</v>
      </c>
      <c r="B56" s="3" t="s">
        <v>2</v>
      </c>
      <c r="D56"/>
      <c r="E56"/>
      <c r="F56"/>
      <c r="G56"/>
      <c r="H56"/>
    </row>
    <row r="57" spans="1:8" x14ac:dyDescent="0.25">
      <c r="A57" s="3">
        <v>56</v>
      </c>
      <c r="B57" s="3" t="s">
        <v>18</v>
      </c>
      <c r="D57"/>
      <c r="E57"/>
      <c r="F57"/>
      <c r="G57"/>
      <c r="H57"/>
    </row>
    <row r="58" spans="1:8" x14ac:dyDescent="0.25">
      <c r="A58" s="3">
        <v>57</v>
      </c>
      <c r="B58" s="3" t="s">
        <v>2</v>
      </c>
      <c r="D58"/>
      <c r="E58"/>
      <c r="F58"/>
      <c r="G58"/>
      <c r="H58"/>
    </row>
    <row r="59" spans="1:8" x14ac:dyDescent="0.25">
      <c r="A59" s="3">
        <v>58</v>
      </c>
      <c r="B59" s="3" t="s">
        <v>2</v>
      </c>
      <c r="D59"/>
      <c r="E59"/>
      <c r="F59"/>
      <c r="G59"/>
      <c r="H59"/>
    </row>
    <row r="60" spans="1:8" x14ac:dyDescent="0.25">
      <c r="A60" s="3">
        <v>59</v>
      </c>
      <c r="B60" s="3" t="s">
        <v>5</v>
      </c>
      <c r="D60"/>
      <c r="E60"/>
      <c r="F60"/>
      <c r="G60"/>
      <c r="H60"/>
    </row>
    <row r="61" spans="1:8" x14ac:dyDescent="0.25">
      <c r="A61" s="3">
        <v>60</v>
      </c>
      <c r="B61" s="3" t="s">
        <v>2</v>
      </c>
      <c r="D61"/>
      <c r="E61"/>
      <c r="F61"/>
      <c r="G61"/>
      <c r="H61"/>
    </row>
    <row r="62" spans="1:8" x14ac:dyDescent="0.25">
      <c r="A62" s="3">
        <v>61</v>
      </c>
      <c r="B62" s="3" t="s">
        <v>7</v>
      </c>
      <c r="D62"/>
      <c r="E62"/>
      <c r="F62"/>
      <c r="G62"/>
      <c r="H62"/>
    </row>
    <row r="63" spans="1:8" x14ac:dyDescent="0.25">
      <c r="A63" s="3">
        <v>62</v>
      </c>
      <c r="B63" s="3" t="s">
        <v>4</v>
      </c>
      <c r="D63"/>
      <c r="E63"/>
      <c r="F63"/>
      <c r="G63"/>
      <c r="H63"/>
    </row>
    <row r="64" spans="1:8" x14ac:dyDescent="0.25">
      <c r="A64" s="3">
        <v>63</v>
      </c>
      <c r="B64" s="3" t="s">
        <v>19</v>
      </c>
      <c r="D64"/>
      <c r="E64"/>
      <c r="F64"/>
      <c r="G64"/>
      <c r="H64"/>
    </row>
    <row r="65" spans="1:8" x14ac:dyDescent="0.25">
      <c r="A65" s="3">
        <v>64</v>
      </c>
      <c r="B65" s="3" t="s">
        <v>19</v>
      </c>
      <c r="D65"/>
      <c r="E65"/>
      <c r="F65"/>
      <c r="G65"/>
      <c r="H65"/>
    </row>
    <row r="66" spans="1:8" x14ac:dyDescent="0.25">
      <c r="A66" s="3">
        <v>65</v>
      </c>
      <c r="B66" s="3" t="s">
        <v>19</v>
      </c>
      <c r="D66"/>
      <c r="E66"/>
      <c r="F66"/>
      <c r="G66"/>
      <c r="H66"/>
    </row>
    <row r="67" spans="1:8" x14ac:dyDescent="0.25">
      <c r="A67" s="3">
        <v>66</v>
      </c>
      <c r="B67" s="3" t="s">
        <v>8</v>
      </c>
      <c r="D67"/>
      <c r="E67"/>
      <c r="F67"/>
      <c r="G67"/>
      <c r="H67"/>
    </row>
    <row r="68" spans="1:8" x14ac:dyDescent="0.25">
      <c r="A68" s="3">
        <v>67</v>
      </c>
      <c r="B68" s="3" t="s">
        <v>8</v>
      </c>
      <c r="D68"/>
      <c r="E68"/>
      <c r="F68"/>
      <c r="G68"/>
      <c r="H68"/>
    </row>
    <row r="69" spans="1:8" x14ac:dyDescent="0.25">
      <c r="A69" s="3">
        <v>68</v>
      </c>
      <c r="B69" s="3" t="s">
        <v>2</v>
      </c>
      <c r="D69"/>
      <c r="E69"/>
      <c r="F69"/>
      <c r="G69"/>
      <c r="H69"/>
    </row>
    <row r="70" spans="1:8" x14ac:dyDescent="0.25">
      <c r="A70" s="3">
        <v>69</v>
      </c>
      <c r="B70" s="3" t="s">
        <v>2</v>
      </c>
      <c r="D70"/>
      <c r="E70"/>
      <c r="F70"/>
      <c r="G70"/>
      <c r="H70"/>
    </row>
    <row r="71" spans="1:8" x14ac:dyDescent="0.25">
      <c r="A71" s="3">
        <v>70</v>
      </c>
      <c r="B71" s="3" t="s">
        <v>2</v>
      </c>
      <c r="D71"/>
      <c r="E71"/>
      <c r="F71"/>
      <c r="G71"/>
      <c r="H71"/>
    </row>
    <row r="72" spans="1:8" x14ac:dyDescent="0.25">
      <c r="A72" s="3">
        <v>71</v>
      </c>
      <c r="B72" s="3" t="s">
        <v>2</v>
      </c>
      <c r="D72"/>
      <c r="E72"/>
      <c r="F72"/>
      <c r="G72"/>
      <c r="H72"/>
    </row>
    <row r="73" spans="1:8" x14ac:dyDescent="0.25">
      <c r="A73" s="3">
        <v>72</v>
      </c>
      <c r="B73" s="3" t="s">
        <v>14</v>
      </c>
      <c r="D73"/>
      <c r="E73"/>
      <c r="F73"/>
      <c r="G73"/>
      <c r="H73"/>
    </row>
    <row r="74" spans="1:8" x14ac:dyDescent="0.25">
      <c r="A74" s="3">
        <v>73</v>
      </c>
      <c r="B74" s="3" t="s">
        <v>14</v>
      </c>
      <c r="D74"/>
      <c r="E74"/>
      <c r="F74"/>
      <c r="G74"/>
      <c r="H74"/>
    </row>
    <row r="75" spans="1:8" x14ac:dyDescent="0.25">
      <c r="A75" s="3">
        <v>74</v>
      </c>
      <c r="B75" s="3" t="s">
        <v>13</v>
      </c>
      <c r="D75"/>
      <c r="E75"/>
      <c r="F75"/>
      <c r="G75"/>
      <c r="H75"/>
    </row>
    <row r="76" spans="1:8" x14ac:dyDescent="0.25">
      <c r="A76" s="3">
        <v>75</v>
      </c>
      <c r="B76" s="3" t="s">
        <v>13</v>
      </c>
      <c r="D76"/>
      <c r="E76"/>
      <c r="F76"/>
      <c r="G76"/>
      <c r="H76"/>
    </row>
    <row r="77" spans="1:8" x14ac:dyDescent="0.25">
      <c r="A77" s="3">
        <v>76</v>
      </c>
      <c r="B77" s="3" t="s">
        <v>4</v>
      </c>
      <c r="D77"/>
      <c r="E77"/>
      <c r="F77"/>
      <c r="G77"/>
      <c r="H77"/>
    </row>
    <row r="78" spans="1:8" x14ac:dyDescent="0.25">
      <c r="A78" s="3">
        <v>77</v>
      </c>
      <c r="B78" s="3" t="s">
        <v>4</v>
      </c>
      <c r="D78"/>
      <c r="E78"/>
      <c r="F78"/>
      <c r="G78"/>
      <c r="H78"/>
    </row>
    <row r="79" spans="1:8" x14ac:dyDescent="0.25">
      <c r="A79" s="3">
        <v>78</v>
      </c>
      <c r="B79" s="3" t="s">
        <v>4</v>
      </c>
      <c r="D79"/>
      <c r="E79"/>
      <c r="F79"/>
      <c r="G79"/>
      <c r="H79"/>
    </row>
    <row r="80" spans="1:8" x14ac:dyDescent="0.25">
      <c r="A80" s="3">
        <v>79</v>
      </c>
      <c r="B80" s="3" t="s">
        <v>19</v>
      </c>
      <c r="D80"/>
      <c r="E80"/>
      <c r="F80"/>
      <c r="G80"/>
      <c r="H80"/>
    </row>
    <row r="81" spans="1:8" x14ac:dyDescent="0.25">
      <c r="A81" s="3">
        <v>80</v>
      </c>
      <c r="B81" s="3" t="s">
        <v>14</v>
      </c>
      <c r="D81"/>
      <c r="E81"/>
      <c r="F81"/>
      <c r="G81"/>
      <c r="H81"/>
    </row>
    <row r="82" spans="1:8" x14ac:dyDescent="0.25">
      <c r="A82" s="3">
        <v>81</v>
      </c>
      <c r="B82" s="3" t="s">
        <v>14</v>
      </c>
      <c r="D82"/>
      <c r="E82"/>
      <c r="F82"/>
      <c r="G82"/>
      <c r="H82"/>
    </row>
    <row r="83" spans="1:8" x14ac:dyDescent="0.25">
      <c r="A83" s="3">
        <v>82</v>
      </c>
      <c r="B83" s="3" t="s">
        <v>6</v>
      </c>
      <c r="D83"/>
      <c r="E83"/>
      <c r="F83"/>
      <c r="G83"/>
      <c r="H83"/>
    </row>
    <row r="84" spans="1:8" x14ac:dyDescent="0.25">
      <c r="A84" s="3">
        <v>83</v>
      </c>
      <c r="B84" s="3" t="s">
        <v>6</v>
      </c>
      <c r="D84"/>
      <c r="E84"/>
      <c r="F84"/>
      <c r="G84"/>
      <c r="H84"/>
    </row>
    <row r="85" spans="1:8" x14ac:dyDescent="0.25">
      <c r="A85" s="3">
        <v>84</v>
      </c>
      <c r="B85" s="3" t="s">
        <v>2</v>
      </c>
      <c r="D85"/>
      <c r="E85"/>
      <c r="F85"/>
      <c r="G85"/>
      <c r="H85"/>
    </row>
    <row r="86" spans="1:8" x14ac:dyDescent="0.25">
      <c r="A86" s="3">
        <v>85</v>
      </c>
      <c r="B86" s="3" t="s">
        <v>2</v>
      </c>
      <c r="D86"/>
      <c r="E86"/>
      <c r="F86"/>
      <c r="G86"/>
      <c r="H86"/>
    </row>
    <row r="87" spans="1:8" x14ac:dyDescent="0.25">
      <c r="A87" s="3">
        <v>86</v>
      </c>
      <c r="B87" s="3" t="s">
        <v>2</v>
      </c>
      <c r="D87"/>
      <c r="E87"/>
      <c r="F87"/>
      <c r="G87"/>
      <c r="H87"/>
    </row>
    <row r="88" spans="1:8" x14ac:dyDescent="0.25">
      <c r="A88" s="3">
        <v>87</v>
      </c>
      <c r="B88" s="3" t="s">
        <v>7</v>
      </c>
      <c r="D88"/>
      <c r="E88"/>
      <c r="F88"/>
      <c r="G88"/>
      <c r="H88"/>
    </row>
    <row r="89" spans="1:8" x14ac:dyDescent="0.25">
      <c r="A89" s="3">
        <v>88</v>
      </c>
      <c r="B89" s="3" t="s">
        <v>7</v>
      </c>
      <c r="D89"/>
      <c r="E89"/>
      <c r="F89"/>
      <c r="G89"/>
      <c r="H89"/>
    </row>
    <row r="90" spans="1:8" x14ac:dyDescent="0.25">
      <c r="A90" s="3">
        <v>89</v>
      </c>
      <c r="B90" s="3" t="s">
        <v>19</v>
      </c>
      <c r="D90"/>
      <c r="E90"/>
      <c r="F90"/>
      <c r="G90"/>
      <c r="H90"/>
    </row>
    <row r="91" spans="1:8" x14ac:dyDescent="0.25">
      <c r="A91" s="3">
        <v>90</v>
      </c>
      <c r="B91" s="3" t="s">
        <v>19</v>
      </c>
      <c r="D91"/>
      <c r="E91"/>
      <c r="F91"/>
      <c r="G91"/>
      <c r="H91"/>
    </row>
    <row r="92" spans="1:8" x14ac:dyDescent="0.25">
      <c r="A92" s="3">
        <v>91</v>
      </c>
      <c r="B92" s="3" t="s">
        <v>17</v>
      </c>
      <c r="D92"/>
      <c r="E92"/>
      <c r="F92"/>
      <c r="G92"/>
      <c r="H92"/>
    </row>
    <row r="93" spans="1:8" x14ac:dyDescent="0.25">
      <c r="A93" s="3">
        <v>92</v>
      </c>
      <c r="B93" s="3" t="s">
        <v>17</v>
      </c>
      <c r="D93"/>
      <c r="E93"/>
      <c r="F93"/>
      <c r="G93"/>
      <c r="H93"/>
    </row>
    <row r="94" spans="1:8" x14ac:dyDescent="0.25">
      <c r="A94" s="3">
        <v>93</v>
      </c>
      <c r="B94" s="3" t="s">
        <v>17</v>
      </c>
      <c r="D94"/>
      <c r="E94"/>
      <c r="F94"/>
      <c r="G94"/>
      <c r="H94"/>
    </row>
    <row r="95" spans="1:8" x14ac:dyDescent="0.25">
      <c r="A95" s="3">
        <v>94</v>
      </c>
      <c r="B95" s="3" t="s">
        <v>17</v>
      </c>
      <c r="D95"/>
      <c r="E95"/>
      <c r="F95"/>
      <c r="G95"/>
      <c r="H95"/>
    </row>
    <row r="96" spans="1:8" x14ac:dyDescent="0.25">
      <c r="A96" s="3">
        <v>95</v>
      </c>
      <c r="B96" s="3" t="s">
        <v>5</v>
      </c>
      <c r="D96"/>
      <c r="E96"/>
      <c r="F96"/>
      <c r="G96"/>
      <c r="H96"/>
    </row>
    <row r="97" spans="1:8" x14ac:dyDescent="0.25">
      <c r="A97" s="3">
        <v>96</v>
      </c>
      <c r="B97" s="3" t="s">
        <v>5</v>
      </c>
      <c r="D97"/>
      <c r="E97"/>
      <c r="F97"/>
      <c r="G97"/>
      <c r="H97"/>
    </row>
    <row r="98" spans="1:8" x14ac:dyDescent="0.25">
      <c r="A98" s="3">
        <v>97</v>
      </c>
      <c r="B98" s="3" t="s">
        <v>5</v>
      </c>
      <c r="D98"/>
      <c r="E98"/>
      <c r="F98"/>
      <c r="G98"/>
      <c r="H98"/>
    </row>
    <row r="99" spans="1:8" x14ac:dyDescent="0.25">
      <c r="A99" s="3">
        <v>98</v>
      </c>
      <c r="B99" s="3" t="s">
        <v>18</v>
      </c>
      <c r="D99"/>
      <c r="E99"/>
      <c r="F99"/>
      <c r="G99"/>
      <c r="H99"/>
    </row>
    <row r="100" spans="1:8" x14ac:dyDescent="0.25">
      <c r="A100" s="3">
        <v>99</v>
      </c>
      <c r="B100" s="3" t="s">
        <v>18</v>
      </c>
      <c r="D100"/>
      <c r="E100"/>
      <c r="F100"/>
      <c r="G100"/>
      <c r="H100"/>
    </row>
    <row r="101" spans="1:8" x14ac:dyDescent="0.25">
      <c r="A101" s="3">
        <v>100</v>
      </c>
      <c r="B101" s="3" t="s">
        <v>18</v>
      </c>
      <c r="D101"/>
      <c r="E101"/>
      <c r="F101"/>
      <c r="G101"/>
      <c r="H101"/>
    </row>
    <row r="102" spans="1:8" x14ac:dyDescent="0.25">
      <c r="A102" s="3">
        <v>101</v>
      </c>
      <c r="B102" s="3" t="s">
        <v>18</v>
      </c>
      <c r="D102"/>
      <c r="E102"/>
      <c r="F102"/>
      <c r="G102"/>
      <c r="H102"/>
    </row>
    <row r="103" spans="1:8" x14ac:dyDescent="0.25">
      <c r="A103" s="3">
        <v>102</v>
      </c>
      <c r="B103" s="3" t="s">
        <v>18</v>
      </c>
      <c r="D103"/>
      <c r="E103"/>
      <c r="F103"/>
      <c r="G103"/>
      <c r="H103"/>
    </row>
    <row r="104" spans="1:8" x14ac:dyDescent="0.25">
      <c r="A104" s="3">
        <v>103</v>
      </c>
      <c r="B104" s="3" t="s">
        <v>15</v>
      </c>
      <c r="D104"/>
      <c r="E104"/>
      <c r="F104"/>
      <c r="G104"/>
      <c r="H104"/>
    </row>
    <row r="105" spans="1:8" x14ac:dyDescent="0.25">
      <c r="A105" s="3">
        <v>104</v>
      </c>
      <c r="B105" s="3" t="s">
        <v>18</v>
      </c>
      <c r="D105"/>
      <c r="E105"/>
      <c r="F105"/>
      <c r="G105"/>
      <c r="H105"/>
    </row>
    <row r="106" spans="1:8" x14ac:dyDescent="0.25">
      <c r="A106" s="3">
        <v>105</v>
      </c>
      <c r="B106" s="3" t="s">
        <v>18</v>
      </c>
      <c r="D106"/>
      <c r="E106"/>
      <c r="F106"/>
      <c r="G106"/>
      <c r="H106"/>
    </row>
    <row r="107" spans="1:8" x14ac:dyDescent="0.25">
      <c r="A107" s="3">
        <v>106</v>
      </c>
      <c r="B107" s="3" t="s">
        <v>2</v>
      </c>
      <c r="D107"/>
      <c r="E107"/>
      <c r="F107"/>
      <c r="G107"/>
      <c r="H107"/>
    </row>
    <row r="108" spans="1:8" x14ac:dyDescent="0.25">
      <c r="A108" s="3">
        <v>107</v>
      </c>
      <c r="B108" s="3" t="s">
        <v>6</v>
      </c>
      <c r="D108"/>
      <c r="E108"/>
      <c r="F108"/>
      <c r="G108"/>
      <c r="H108"/>
    </row>
    <row r="109" spans="1:8" x14ac:dyDescent="0.25">
      <c r="A109" s="3">
        <v>108</v>
      </c>
      <c r="B109" s="3" t="s">
        <v>6</v>
      </c>
      <c r="D109"/>
      <c r="E109"/>
      <c r="F109"/>
      <c r="G109"/>
      <c r="H109"/>
    </row>
    <row r="110" spans="1:8" x14ac:dyDescent="0.25">
      <c r="A110" s="3">
        <v>109</v>
      </c>
      <c r="B110" s="3" t="s">
        <v>16</v>
      </c>
      <c r="D110"/>
      <c r="E110"/>
      <c r="F110"/>
      <c r="G110"/>
      <c r="H110"/>
    </row>
    <row r="111" spans="1:8" x14ac:dyDescent="0.25">
      <c r="A111" s="3">
        <v>110</v>
      </c>
      <c r="B111" s="3" t="s">
        <v>16</v>
      </c>
      <c r="D111"/>
      <c r="E111"/>
      <c r="F111"/>
      <c r="G111"/>
      <c r="H111"/>
    </row>
    <row r="112" spans="1:8" x14ac:dyDescent="0.25">
      <c r="A112" s="3">
        <v>111</v>
      </c>
      <c r="B112" s="3" t="s">
        <v>3</v>
      </c>
      <c r="D112"/>
      <c r="E112"/>
      <c r="F112"/>
      <c r="G112"/>
      <c r="H112"/>
    </row>
    <row r="113" spans="1:8" x14ac:dyDescent="0.25">
      <c r="A113" s="3">
        <v>112</v>
      </c>
      <c r="B113" s="3" t="s">
        <v>3</v>
      </c>
      <c r="D113"/>
      <c r="E113"/>
      <c r="F113"/>
      <c r="G113"/>
      <c r="H113"/>
    </row>
    <row r="114" spans="1:8" x14ac:dyDescent="0.25">
      <c r="A114" s="3">
        <v>113</v>
      </c>
      <c r="B114" s="3" t="s">
        <v>11</v>
      </c>
      <c r="D114"/>
      <c r="E114"/>
      <c r="F114"/>
      <c r="G114"/>
      <c r="H114"/>
    </row>
    <row r="115" spans="1:8" x14ac:dyDescent="0.25">
      <c r="A115" s="3">
        <v>114</v>
      </c>
      <c r="B115" s="3" t="s">
        <v>8</v>
      </c>
      <c r="D115"/>
      <c r="E115"/>
      <c r="F115"/>
      <c r="G115"/>
      <c r="H115"/>
    </row>
    <row r="116" spans="1:8" x14ac:dyDescent="0.25">
      <c r="A116" s="3">
        <v>115</v>
      </c>
      <c r="B116" s="3" t="s">
        <v>8</v>
      </c>
      <c r="D116"/>
      <c r="E116"/>
      <c r="F116"/>
      <c r="G116"/>
      <c r="H116"/>
    </row>
    <row r="117" spans="1:8" x14ac:dyDescent="0.25">
      <c r="A117" s="3">
        <v>116</v>
      </c>
      <c r="B117" s="3" t="s">
        <v>8</v>
      </c>
      <c r="D117"/>
      <c r="E117"/>
      <c r="F117"/>
      <c r="G117"/>
      <c r="H117"/>
    </row>
    <row r="118" spans="1:8" x14ac:dyDescent="0.25">
      <c r="A118" s="3">
        <v>117</v>
      </c>
      <c r="B118" s="3" t="s">
        <v>2</v>
      </c>
      <c r="D118"/>
      <c r="E118"/>
      <c r="F118"/>
      <c r="G118"/>
      <c r="H118"/>
    </row>
    <row r="119" spans="1:8" x14ac:dyDescent="0.25">
      <c r="A119" s="3">
        <v>118</v>
      </c>
      <c r="B119" s="3" t="s">
        <v>2</v>
      </c>
      <c r="D119"/>
      <c r="E119"/>
      <c r="F119"/>
      <c r="G119"/>
      <c r="H119"/>
    </row>
    <row r="120" spans="1:8" x14ac:dyDescent="0.25">
      <c r="A120" s="3">
        <v>119</v>
      </c>
      <c r="B120" s="3" t="s">
        <v>19</v>
      </c>
      <c r="D120"/>
      <c r="E120"/>
      <c r="F120"/>
      <c r="G120"/>
      <c r="H120"/>
    </row>
    <row r="121" spans="1:8" x14ac:dyDescent="0.25">
      <c r="A121" s="3">
        <v>120</v>
      </c>
      <c r="B121" s="3" t="s">
        <v>2</v>
      </c>
      <c r="D121"/>
      <c r="E121"/>
      <c r="F121"/>
      <c r="G121"/>
      <c r="H121"/>
    </row>
    <row r="122" spans="1:8" x14ac:dyDescent="0.25">
      <c r="A122" s="3">
        <v>121</v>
      </c>
      <c r="B122" s="3" t="s">
        <v>6</v>
      </c>
      <c r="D122"/>
      <c r="E122"/>
      <c r="F122"/>
      <c r="G122"/>
      <c r="H122"/>
    </row>
    <row r="123" spans="1:8" x14ac:dyDescent="0.25">
      <c r="A123" s="3">
        <v>122</v>
      </c>
      <c r="B123" s="3" t="s">
        <v>6</v>
      </c>
      <c r="D123"/>
      <c r="E123"/>
      <c r="F123"/>
      <c r="G123"/>
      <c r="H123"/>
    </row>
    <row r="124" spans="1:8" x14ac:dyDescent="0.25">
      <c r="A124" s="3">
        <v>123</v>
      </c>
      <c r="B124" s="3" t="s">
        <v>6</v>
      </c>
      <c r="D124"/>
      <c r="E124"/>
      <c r="F124"/>
      <c r="G124"/>
      <c r="H124"/>
    </row>
    <row r="125" spans="1:8" x14ac:dyDescent="0.25">
      <c r="A125" s="3">
        <v>124</v>
      </c>
      <c r="B125" s="3" t="s">
        <v>3</v>
      </c>
      <c r="D125"/>
      <c r="E125"/>
      <c r="F125"/>
      <c r="G125"/>
      <c r="H125"/>
    </row>
    <row r="126" spans="1:8" x14ac:dyDescent="0.25">
      <c r="A126" s="3">
        <v>125</v>
      </c>
      <c r="B126" s="3" t="s">
        <v>2</v>
      </c>
      <c r="D126"/>
      <c r="E126"/>
      <c r="F126"/>
      <c r="G126"/>
      <c r="H126"/>
    </row>
    <row r="127" spans="1:8" x14ac:dyDescent="0.25">
      <c r="A127" s="3">
        <v>126</v>
      </c>
      <c r="B127" s="3" t="s">
        <v>3</v>
      </c>
      <c r="D127"/>
      <c r="E127"/>
      <c r="F127"/>
      <c r="G127"/>
      <c r="H127"/>
    </row>
    <row r="128" spans="1:8" x14ac:dyDescent="0.25">
      <c r="A128" s="3">
        <v>127</v>
      </c>
      <c r="B128" s="3" t="s">
        <v>19</v>
      </c>
      <c r="D128"/>
      <c r="E128"/>
      <c r="F128"/>
      <c r="G128"/>
      <c r="H128"/>
    </row>
    <row r="129" spans="1:8" x14ac:dyDescent="0.25">
      <c r="A129" s="3">
        <v>128</v>
      </c>
      <c r="B129" s="3" t="s">
        <v>19</v>
      </c>
      <c r="D129"/>
      <c r="E129"/>
      <c r="F129"/>
      <c r="G129"/>
      <c r="H129"/>
    </row>
    <row r="130" spans="1:8" x14ac:dyDescent="0.25">
      <c r="A130" s="3">
        <v>129</v>
      </c>
      <c r="B130" s="3" t="s">
        <v>19</v>
      </c>
      <c r="D130"/>
      <c r="E130"/>
      <c r="F130"/>
      <c r="G130"/>
      <c r="H130"/>
    </row>
    <row r="131" spans="1:8" x14ac:dyDescent="0.25">
      <c r="A131" s="3">
        <v>130</v>
      </c>
      <c r="B131" s="3" t="s">
        <v>11</v>
      </c>
      <c r="D131"/>
      <c r="E131"/>
      <c r="F131"/>
      <c r="G131"/>
      <c r="H131"/>
    </row>
    <row r="132" spans="1:8" x14ac:dyDescent="0.25">
      <c r="A132" s="3">
        <v>131</v>
      </c>
      <c r="B132" s="3" t="s">
        <v>11</v>
      </c>
      <c r="D132"/>
      <c r="E132"/>
      <c r="F132"/>
      <c r="G132"/>
      <c r="H132"/>
    </row>
    <row r="133" spans="1:8" x14ac:dyDescent="0.25">
      <c r="A133" s="3">
        <v>132</v>
      </c>
      <c r="B133" s="3" t="s">
        <v>11</v>
      </c>
      <c r="D133"/>
      <c r="E133"/>
      <c r="F133"/>
      <c r="G133"/>
      <c r="H133"/>
    </row>
    <row r="134" spans="1:8" x14ac:dyDescent="0.25">
      <c r="A134" s="3">
        <v>133</v>
      </c>
      <c r="B134" s="3" t="s">
        <v>10</v>
      </c>
      <c r="D134"/>
      <c r="E134"/>
      <c r="F134"/>
      <c r="G134"/>
      <c r="H134"/>
    </row>
    <row r="135" spans="1:8" x14ac:dyDescent="0.25">
      <c r="A135" s="3">
        <v>134</v>
      </c>
      <c r="B135" s="3" t="s">
        <v>10</v>
      </c>
      <c r="D135"/>
      <c r="E135"/>
      <c r="F135"/>
      <c r="G135"/>
      <c r="H135"/>
    </row>
    <row r="136" spans="1:8" x14ac:dyDescent="0.25">
      <c r="A136" s="3">
        <v>135</v>
      </c>
      <c r="B136" s="3" t="s">
        <v>5</v>
      </c>
      <c r="D136"/>
      <c r="E136"/>
      <c r="F136"/>
      <c r="G136"/>
      <c r="H136"/>
    </row>
    <row r="137" spans="1:8" x14ac:dyDescent="0.25">
      <c r="A137" s="3">
        <v>136</v>
      </c>
      <c r="B137" s="3" t="s">
        <v>6</v>
      </c>
      <c r="D137"/>
      <c r="E137"/>
      <c r="F137"/>
      <c r="G137"/>
      <c r="H137"/>
    </row>
    <row r="138" spans="1:8" x14ac:dyDescent="0.25">
      <c r="A138" s="3">
        <v>137</v>
      </c>
      <c r="B138" s="3" t="s">
        <v>2</v>
      </c>
      <c r="D138"/>
      <c r="E138"/>
      <c r="F138"/>
      <c r="G138"/>
      <c r="H138"/>
    </row>
    <row r="139" spans="1:8" x14ac:dyDescent="0.25">
      <c r="A139" s="3">
        <v>138</v>
      </c>
      <c r="B139" s="3" t="s">
        <v>2</v>
      </c>
      <c r="D139"/>
      <c r="E139"/>
      <c r="F139"/>
      <c r="G139"/>
      <c r="H139"/>
    </row>
    <row r="140" spans="1:8" x14ac:dyDescent="0.25">
      <c r="A140" s="3">
        <v>139</v>
      </c>
      <c r="B140" s="3" t="s">
        <v>2</v>
      </c>
      <c r="D140"/>
      <c r="E140"/>
      <c r="F140"/>
      <c r="G140"/>
      <c r="H140"/>
    </row>
    <row r="141" spans="1:8" x14ac:dyDescent="0.25">
      <c r="A141" s="3">
        <v>140</v>
      </c>
      <c r="B141" s="3" t="s">
        <v>2</v>
      </c>
      <c r="D141"/>
      <c r="E141"/>
      <c r="F141"/>
      <c r="G141"/>
      <c r="H141"/>
    </row>
    <row r="142" spans="1:8" x14ac:dyDescent="0.25">
      <c r="A142" s="3">
        <v>141</v>
      </c>
      <c r="B142" s="3" t="s">
        <v>5</v>
      </c>
      <c r="D142"/>
      <c r="E142"/>
      <c r="F142"/>
      <c r="G142"/>
      <c r="H142"/>
    </row>
    <row r="143" spans="1:8" x14ac:dyDescent="0.25">
      <c r="A143" s="3">
        <v>142</v>
      </c>
      <c r="B143" s="3" t="s">
        <v>5</v>
      </c>
      <c r="D143"/>
      <c r="E143"/>
      <c r="F143"/>
      <c r="G143"/>
      <c r="H143"/>
    </row>
    <row r="144" spans="1:8" x14ac:dyDescent="0.25">
      <c r="A144" s="3">
        <v>143</v>
      </c>
      <c r="B144" s="3" t="s">
        <v>6</v>
      </c>
      <c r="D144"/>
      <c r="E144"/>
      <c r="F144"/>
      <c r="G144"/>
      <c r="H144"/>
    </row>
    <row r="145" spans="1:8" x14ac:dyDescent="0.25">
      <c r="A145" s="3">
        <v>144</v>
      </c>
      <c r="B145" s="3" t="s">
        <v>9</v>
      </c>
      <c r="D145"/>
      <c r="E145"/>
      <c r="F145"/>
      <c r="G145"/>
      <c r="H145"/>
    </row>
    <row r="146" spans="1:8" x14ac:dyDescent="0.25">
      <c r="A146" s="3">
        <v>145</v>
      </c>
      <c r="B146" s="3" t="s">
        <v>2</v>
      </c>
      <c r="D146"/>
      <c r="E146"/>
      <c r="F146"/>
      <c r="G146"/>
      <c r="H146"/>
    </row>
    <row r="147" spans="1:8" x14ac:dyDescent="0.25">
      <c r="A147" s="3">
        <v>146</v>
      </c>
      <c r="B147" s="3" t="s">
        <v>2</v>
      </c>
      <c r="D147"/>
      <c r="E147"/>
      <c r="F147"/>
      <c r="G147"/>
      <c r="H147"/>
    </row>
    <row r="148" spans="1:8" x14ac:dyDescent="0.25">
      <c r="A148" s="3">
        <v>147</v>
      </c>
      <c r="B148" s="3" t="s">
        <v>2</v>
      </c>
      <c r="D148"/>
      <c r="E148"/>
      <c r="F148"/>
      <c r="G148"/>
      <c r="H148"/>
    </row>
    <row r="149" spans="1:8" x14ac:dyDescent="0.25">
      <c r="A149" s="3">
        <v>148</v>
      </c>
      <c r="B149" s="3" t="s">
        <v>6</v>
      </c>
      <c r="D149"/>
      <c r="E149"/>
      <c r="F149"/>
      <c r="G149"/>
      <c r="H149"/>
    </row>
    <row r="150" spans="1:8" x14ac:dyDescent="0.25">
      <c r="A150" s="3">
        <v>149</v>
      </c>
      <c r="B150" s="3" t="s">
        <v>2</v>
      </c>
      <c r="D150"/>
      <c r="E150"/>
      <c r="F150"/>
      <c r="G150"/>
      <c r="H150"/>
    </row>
    <row r="151" spans="1:8" x14ac:dyDescent="0.25">
      <c r="A151" s="3">
        <v>150</v>
      </c>
      <c r="B151" s="3" t="s">
        <v>15</v>
      </c>
      <c r="D151"/>
      <c r="E151"/>
      <c r="F151"/>
      <c r="G151"/>
      <c r="H151"/>
    </row>
    <row r="152" spans="1:8" x14ac:dyDescent="0.25">
      <c r="A152" s="3">
        <v>151</v>
      </c>
      <c r="B152" s="3" t="s">
        <v>15</v>
      </c>
      <c r="D152"/>
      <c r="E152"/>
      <c r="F152"/>
      <c r="G152"/>
      <c r="H152"/>
    </row>
    <row r="153" spans="1:8" x14ac:dyDescent="0.25">
      <c r="A153" s="3">
        <v>152</v>
      </c>
      <c r="B153" s="3" t="s">
        <v>13</v>
      </c>
      <c r="D153"/>
      <c r="E153"/>
      <c r="F153"/>
      <c r="G153"/>
      <c r="H153"/>
    </row>
    <row r="154" spans="1:8" x14ac:dyDescent="0.25">
      <c r="A154" s="3">
        <v>153</v>
      </c>
      <c r="B154" s="3" t="s">
        <v>13</v>
      </c>
      <c r="D154"/>
      <c r="E154"/>
      <c r="F154"/>
      <c r="G154"/>
      <c r="H154"/>
    </row>
    <row r="155" spans="1:8" x14ac:dyDescent="0.25">
      <c r="A155" s="3">
        <v>154</v>
      </c>
      <c r="B155" s="3" t="s">
        <v>6</v>
      </c>
      <c r="D155"/>
      <c r="E155"/>
      <c r="F155"/>
      <c r="G155"/>
      <c r="H155"/>
    </row>
    <row r="156" spans="1:8" x14ac:dyDescent="0.25">
      <c r="A156" s="3">
        <v>155</v>
      </c>
      <c r="B156" s="3" t="s">
        <v>12</v>
      </c>
      <c r="D156"/>
      <c r="E156"/>
      <c r="F156"/>
      <c r="G156"/>
      <c r="H156"/>
    </row>
    <row r="157" spans="1:8" x14ac:dyDescent="0.25">
      <c r="A157" s="3">
        <v>156</v>
      </c>
      <c r="B157" s="3" t="s">
        <v>12</v>
      </c>
      <c r="D157"/>
      <c r="E157"/>
      <c r="F157"/>
      <c r="G157"/>
      <c r="H157"/>
    </row>
    <row r="158" spans="1:8" x14ac:dyDescent="0.25">
      <c r="A158" s="3">
        <v>157</v>
      </c>
      <c r="B158" s="3" t="s">
        <v>4</v>
      </c>
      <c r="D158"/>
      <c r="E158"/>
      <c r="F158"/>
      <c r="G158"/>
      <c r="H158"/>
    </row>
    <row r="159" spans="1:8" x14ac:dyDescent="0.25">
      <c r="A159" s="3">
        <v>158</v>
      </c>
      <c r="B159" s="3" t="s">
        <v>4</v>
      </c>
      <c r="D159"/>
      <c r="E159"/>
      <c r="F159"/>
      <c r="G159"/>
      <c r="H159"/>
    </row>
    <row r="160" spans="1:8" x14ac:dyDescent="0.25">
      <c r="A160" s="3">
        <v>159</v>
      </c>
      <c r="B160" s="3" t="s">
        <v>12</v>
      </c>
      <c r="D160"/>
      <c r="E160"/>
      <c r="F160"/>
      <c r="G160"/>
      <c r="H160"/>
    </row>
    <row r="161" spans="1:8" x14ac:dyDescent="0.25">
      <c r="A161" s="3">
        <v>160</v>
      </c>
      <c r="B161" s="3" t="s">
        <v>12</v>
      </c>
      <c r="D161"/>
      <c r="E161"/>
      <c r="F161"/>
      <c r="G161"/>
      <c r="H161"/>
    </row>
    <row r="162" spans="1:8" x14ac:dyDescent="0.25">
      <c r="A162" s="3">
        <v>161</v>
      </c>
      <c r="B162" s="3" t="s">
        <v>6</v>
      </c>
      <c r="D162"/>
      <c r="E162"/>
      <c r="F162"/>
      <c r="G162"/>
      <c r="H162"/>
    </row>
    <row r="163" spans="1:8" x14ac:dyDescent="0.25">
      <c r="A163" s="3">
        <v>162</v>
      </c>
      <c r="B163" s="3" t="s">
        <v>17</v>
      </c>
      <c r="D163"/>
      <c r="E163"/>
      <c r="F163"/>
      <c r="G163"/>
      <c r="H163"/>
    </row>
    <row r="164" spans="1:8" x14ac:dyDescent="0.25">
      <c r="A164" s="3">
        <v>163</v>
      </c>
      <c r="B164" s="3" t="s">
        <v>17</v>
      </c>
      <c r="D164"/>
      <c r="E164"/>
      <c r="F164"/>
      <c r="G164"/>
      <c r="H164"/>
    </row>
    <row r="165" spans="1:8" x14ac:dyDescent="0.25">
      <c r="A165" s="3">
        <v>164</v>
      </c>
      <c r="B165" s="3" t="s">
        <v>10</v>
      </c>
      <c r="D165"/>
      <c r="E165"/>
      <c r="F165"/>
      <c r="G165"/>
      <c r="H165"/>
    </row>
    <row r="166" spans="1:8" x14ac:dyDescent="0.25">
      <c r="A166" s="3">
        <v>165</v>
      </c>
      <c r="B166" s="3" t="s">
        <v>10</v>
      </c>
      <c r="D166"/>
      <c r="E166"/>
      <c r="F166"/>
      <c r="G166"/>
      <c r="H166"/>
    </row>
    <row r="167" spans="1:8" x14ac:dyDescent="0.25">
      <c r="A167" s="3">
        <v>166</v>
      </c>
      <c r="B167" s="3" t="s">
        <v>15</v>
      </c>
      <c r="D167"/>
      <c r="E167"/>
      <c r="F167"/>
      <c r="G167"/>
      <c r="H167"/>
    </row>
    <row r="168" spans="1:8" x14ac:dyDescent="0.25">
      <c r="A168" s="3">
        <v>167</v>
      </c>
      <c r="B168" s="3" t="s">
        <v>10</v>
      </c>
      <c r="D168"/>
      <c r="E168"/>
      <c r="F168"/>
      <c r="G168"/>
      <c r="H168"/>
    </row>
    <row r="169" spans="1:8" x14ac:dyDescent="0.25">
      <c r="A169" s="3">
        <v>168</v>
      </c>
      <c r="B169" s="3" t="s">
        <v>2</v>
      </c>
      <c r="D169"/>
      <c r="E169"/>
      <c r="F169"/>
      <c r="G169"/>
      <c r="H169"/>
    </row>
    <row r="170" spans="1:8" x14ac:dyDescent="0.25">
      <c r="A170" s="3">
        <v>169</v>
      </c>
      <c r="B170" s="3" t="s">
        <v>20</v>
      </c>
      <c r="D170"/>
      <c r="E170"/>
      <c r="F170"/>
      <c r="G170"/>
      <c r="H170"/>
    </row>
    <row r="171" spans="1:8" x14ac:dyDescent="0.25">
      <c r="A171" s="3">
        <v>170</v>
      </c>
      <c r="B171" s="3" t="s">
        <v>20</v>
      </c>
      <c r="D171"/>
      <c r="E171"/>
      <c r="F171"/>
      <c r="G171"/>
      <c r="H171"/>
    </row>
    <row r="172" spans="1:8" x14ac:dyDescent="0.25">
      <c r="A172" s="3">
        <v>171</v>
      </c>
      <c r="B172" s="3" t="s">
        <v>19</v>
      </c>
      <c r="D172"/>
      <c r="E172"/>
      <c r="F172"/>
      <c r="G172"/>
      <c r="H172"/>
    </row>
    <row r="173" spans="1:8" x14ac:dyDescent="0.25">
      <c r="A173" s="3">
        <v>172</v>
      </c>
      <c r="B173" s="3" t="s">
        <v>19</v>
      </c>
      <c r="D173"/>
      <c r="E173"/>
      <c r="F173"/>
      <c r="G173"/>
      <c r="H173"/>
    </row>
    <row r="174" spans="1:8" x14ac:dyDescent="0.25">
      <c r="A174" s="3">
        <v>173</v>
      </c>
      <c r="B174" s="3" t="s">
        <v>5</v>
      </c>
      <c r="D174"/>
      <c r="E174"/>
      <c r="F174"/>
      <c r="G174"/>
      <c r="H174"/>
    </row>
    <row r="175" spans="1:8" x14ac:dyDescent="0.25">
      <c r="A175" s="3">
        <v>174</v>
      </c>
      <c r="B175" s="3" t="s">
        <v>5</v>
      </c>
      <c r="D175"/>
      <c r="E175"/>
      <c r="F175"/>
      <c r="G175"/>
      <c r="H175"/>
    </row>
    <row r="176" spans="1:8" x14ac:dyDescent="0.25">
      <c r="A176" s="3">
        <v>175</v>
      </c>
      <c r="B176" s="3" t="s">
        <v>12</v>
      </c>
      <c r="D176"/>
      <c r="E176"/>
      <c r="F176"/>
      <c r="G176"/>
      <c r="H176"/>
    </row>
    <row r="177" spans="1:8" x14ac:dyDescent="0.25">
      <c r="A177" s="3">
        <v>176</v>
      </c>
      <c r="B177" s="3" t="s">
        <v>18</v>
      </c>
      <c r="D177"/>
      <c r="E177"/>
      <c r="F177"/>
      <c r="G177"/>
      <c r="H177"/>
    </row>
    <row r="178" spans="1:8" x14ac:dyDescent="0.25">
      <c r="A178" s="3">
        <v>177</v>
      </c>
      <c r="B178" s="3" t="s">
        <v>18</v>
      </c>
      <c r="D178"/>
      <c r="E178"/>
      <c r="F178"/>
      <c r="G178"/>
      <c r="H178"/>
    </row>
    <row r="179" spans="1:8" x14ac:dyDescent="0.25">
      <c r="A179" s="3">
        <v>178</v>
      </c>
      <c r="B179" s="3" t="s">
        <v>20</v>
      </c>
      <c r="D179"/>
      <c r="E179"/>
      <c r="F179"/>
      <c r="G179"/>
      <c r="H179"/>
    </row>
    <row r="180" spans="1:8" x14ac:dyDescent="0.25">
      <c r="A180" s="3">
        <v>179</v>
      </c>
      <c r="B180" s="3" t="s">
        <v>13</v>
      </c>
      <c r="D180"/>
      <c r="E180"/>
      <c r="F180"/>
      <c r="G180"/>
      <c r="H180"/>
    </row>
    <row r="181" spans="1:8" x14ac:dyDescent="0.25">
      <c r="A181" s="3">
        <v>180</v>
      </c>
      <c r="B181" s="3" t="s">
        <v>13</v>
      </c>
      <c r="D181"/>
      <c r="E181"/>
      <c r="F181"/>
      <c r="G181"/>
      <c r="H181"/>
    </row>
    <row r="182" spans="1:8" x14ac:dyDescent="0.25">
      <c r="A182" s="3">
        <v>181</v>
      </c>
      <c r="B182" s="3" t="s">
        <v>13</v>
      </c>
      <c r="D182"/>
      <c r="E182"/>
      <c r="F182"/>
      <c r="G182"/>
      <c r="H182"/>
    </row>
    <row r="183" spans="1:8" x14ac:dyDescent="0.25">
      <c r="A183" s="3">
        <v>182</v>
      </c>
      <c r="B183" s="3" t="s">
        <v>7</v>
      </c>
      <c r="D183"/>
      <c r="E183"/>
      <c r="F183"/>
      <c r="G183"/>
      <c r="H183"/>
    </row>
    <row r="184" spans="1:8" x14ac:dyDescent="0.25">
      <c r="A184" s="3">
        <v>183</v>
      </c>
      <c r="B184" s="3" t="s">
        <v>10</v>
      </c>
      <c r="D184"/>
      <c r="E184"/>
      <c r="F184"/>
      <c r="G184"/>
      <c r="H184"/>
    </row>
    <row r="185" spans="1:8" x14ac:dyDescent="0.25">
      <c r="A185" s="3">
        <v>184</v>
      </c>
      <c r="B185" s="3" t="s">
        <v>11</v>
      </c>
      <c r="D185"/>
      <c r="E185"/>
      <c r="F185"/>
      <c r="G185"/>
      <c r="H185"/>
    </row>
    <row r="186" spans="1:8" x14ac:dyDescent="0.25">
      <c r="A186" s="3">
        <v>185</v>
      </c>
      <c r="B186" s="3" t="s">
        <v>4</v>
      </c>
      <c r="D186"/>
      <c r="E186"/>
      <c r="F186"/>
      <c r="G186"/>
      <c r="H186"/>
    </row>
    <row r="187" spans="1:8" x14ac:dyDescent="0.25">
      <c r="A187" s="3">
        <v>186</v>
      </c>
      <c r="B187" s="3" t="s">
        <v>4</v>
      </c>
      <c r="D187"/>
      <c r="E187"/>
      <c r="F187"/>
      <c r="G187"/>
      <c r="H187"/>
    </row>
    <row r="188" spans="1:8" x14ac:dyDescent="0.25">
      <c r="A188" s="3">
        <v>187</v>
      </c>
      <c r="B188" s="3" t="s">
        <v>18</v>
      </c>
      <c r="D188"/>
      <c r="E188"/>
      <c r="F188"/>
      <c r="G188"/>
      <c r="H188"/>
    </row>
    <row r="189" spans="1:8" x14ac:dyDescent="0.25">
      <c r="A189" s="3">
        <v>188</v>
      </c>
      <c r="B189" s="3" t="s">
        <v>18</v>
      </c>
      <c r="D189"/>
      <c r="E189"/>
      <c r="F189"/>
      <c r="G189"/>
      <c r="H189"/>
    </row>
    <row r="190" spans="1:8" x14ac:dyDescent="0.25">
      <c r="A190" s="3">
        <v>189</v>
      </c>
      <c r="B190" s="3" t="s">
        <v>16</v>
      </c>
      <c r="D190"/>
      <c r="E190"/>
      <c r="F190"/>
      <c r="G190"/>
      <c r="H190"/>
    </row>
    <row r="191" spans="1:8" x14ac:dyDescent="0.25">
      <c r="A191" s="3">
        <v>190</v>
      </c>
      <c r="B191" s="3" t="s">
        <v>16</v>
      </c>
      <c r="D191"/>
      <c r="E191"/>
      <c r="F191"/>
      <c r="G191"/>
      <c r="H191"/>
    </row>
    <row r="192" spans="1:8" x14ac:dyDescent="0.25">
      <c r="A192" s="3">
        <v>191</v>
      </c>
      <c r="B192" s="3" t="s">
        <v>10</v>
      </c>
      <c r="D192"/>
      <c r="E192"/>
      <c r="F192"/>
      <c r="G192"/>
      <c r="H192"/>
    </row>
    <row r="193" spans="1:8" x14ac:dyDescent="0.25">
      <c r="A193" s="3">
        <v>192</v>
      </c>
      <c r="B193" s="3" t="s">
        <v>10</v>
      </c>
      <c r="D193"/>
      <c r="E193"/>
      <c r="F193"/>
      <c r="G193"/>
      <c r="H193"/>
    </row>
    <row r="194" spans="1:8" x14ac:dyDescent="0.25">
      <c r="A194" s="3">
        <v>193</v>
      </c>
      <c r="B194" s="3" t="s">
        <v>6</v>
      </c>
      <c r="D194"/>
      <c r="E194"/>
      <c r="F194"/>
      <c r="G194"/>
      <c r="H194"/>
    </row>
    <row r="195" spans="1:8" x14ac:dyDescent="0.25">
      <c r="A195" s="3">
        <v>194</v>
      </c>
      <c r="B195" s="3" t="s">
        <v>6</v>
      </c>
      <c r="D195"/>
      <c r="E195"/>
      <c r="F195"/>
      <c r="G195"/>
      <c r="H195"/>
    </row>
    <row r="196" spans="1:8" x14ac:dyDescent="0.25">
      <c r="A196" s="3">
        <v>195</v>
      </c>
      <c r="B196" s="3" t="s">
        <v>11</v>
      </c>
      <c r="D196"/>
      <c r="E196"/>
      <c r="F196"/>
      <c r="G196"/>
      <c r="H196"/>
    </row>
    <row r="197" spans="1:8" x14ac:dyDescent="0.25">
      <c r="A197" s="3">
        <v>196</v>
      </c>
      <c r="B197" s="3" t="s">
        <v>15</v>
      </c>
      <c r="D197"/>
      <c r="E197"/>
      <c r="F197"/>
      <c r="G197"/>
      <c r="H197"/>
    </row>
    <row r="198" spans="1:8" x14ac:dyDescent="0.25">
      <c r="A198" s="3">
        <v>197</v>
      </c>
      <c r="B198" s="3" t="s">
        <v>15</v>
      </c>
      <c r="D198"/>
      <c r="E198"/>
      <c r="F198"/>
      <c r="G198"/>
      <c r="H198"/>
    </row>
    <row r="199" spans="1:8" x14ac:dyDescent="0.25">
      <c r="A199" s="3">
        <v>198</v>
      </c>
      <c r="B199" s="3" t="s">
        <v>20</v>
      </c>
      <c r="D199"/>
      <c r="E199"/>
      <c r="F199"/>
      <c r="G199"/>
      <c r="H199"/>
    </row>
    <row r="200" spans="1:8" x14ac:dyDescent="0.25">
      <c r="A200" s="3">
        <v>199</v>
      </c>
      <c r="B200" s="3" t="s">
        <v>20</v>
      </c>
      <c r="D200"/>
      <c r="E200"/>
      <c r="F200"/>
      <c r="G200"/>
      <c r="H200"/>
    </row>
    <row r="201" spans="1:8" x14ac:dyDescent="0.25">
      <c r="A201" s="3">
        <v>200</v>
      </c>
      <c r="B201" s="3" t="s">
        <v>9</v>
      </c>
      <c r="D201"/>
      <c r="E201"/>
      <c r="F201"/>
      <c r="G201"/>
      <c r="H201"/>
    </row>
    <row r="202" spans="1:8" x14ac:dyDescent="0.25">
      <c r="A202" s="3">
        <v>201</v>
      </c>
      <c r="B202" s="3" t="s">
        <v>19</v>
      </c>
      <c r="D202"/>
      <c r="E202"/>
      <c r="F202"/>
      <c r="G202"/>
      <c r="H202"/>
    </row>
    <row r="203" spans="1:8" x14ac:dyDescent="0.25">
      <c r="A203" s="3">
        <v>202</v>
      </c>
      <c r="B203" s="3" t="s">
        <v>10</v>
      </c>
      <c r="D203"/>
      <c r="E203"/>
      <c r="F203"/>
      <c r="G203"/>
      <c r="H203"/>
    </row>
    <row r="204" spans="1:8" x14ac:dyDescent="0.25">
      <c r="A204" s="3">
        <v>203</v>
      </c>
      <c r="B204" s="3" t="s">
        <v>13</v>
      </c>
      <c r="D204"/>
      <c r="E204"/>
      <c r="F204"/>
      <c r="G204"/>
      <c r="H204"/>
    </row>
    <row r="205" spans="1:8" x14ac:dyDescent="0.25">
      <c r="A205" s="3">
        <v>204</v>
      </c>
      <c r="B205" s="3" t="s">
        <v>13</v>
      </c>
      <c r="D205"/>
      <c r="E205"/>
      <c r="F205"/>
      <c r="G205"/>
      <c r="H205"/>
    </row>
    <row r="206" spans="1:8" x14ac:dyDescent="0.25">
      <c r="A206" s="3">
        <v>205</v>
      </c>
      <c r="B206" s="3" t="s">
        <v>16</v>
      </c>
      <c r="D206"/>
      <c r="E206"/>
      <c r="F206"/>
      <c r="G206"/>
      <c r="H206"/>
    </row>
    <row r="207" spans="1:8" x14ac:dyDescent="0.25">
      <c r="A207" s="3">
        <v>206</v>
      </c>
      <c r="B207" s="3" t="s">
        <v>4</v>
      </c>
      <c r="D207"/>
      <c r="E207"/>
      <c r="F207"/>
      <c r="G207"/>
      <c r="H207"/>
    </row>
    <row r="208" spans="1:8" x14ac:dyDescent="0.25">
      <c r="A208" s="3">
        <v>207</v>
      </c>
      <c r="B208" s="3" t="s">
        <v>4</v>
      </c>
      <c r="D208"/>
      <c r="E208"/>
      <c r="F208"/>
      <c r="G208"/>
      <c r="H208"/>
    </row>
    <row r="209" spans="1:8" x14ac:dyDescent="0.25">
      <c r="A209" s="3">
        <v>208</v>
      </c>
      <c r="B209" s="3" t="s">
        <v>14</v>
      </c>
      <c r="D209"/>
      <c r="E209"/>
      <c r="F209"/>
      <c r="G209"/>
      <c r="H209"/>
    </row>
    <row r="210" spans="1:8" x14ac:dyDescent="0.25">
      <c r="A210" s="3">
        <v>209</v>
      </c>
      <c r="B210" s="3" t="s">
        <v>14</v>
      </c>
      <c r="D210"/>
      <c r="E210"/>
      <c r="F210"/>
      <c r="G210"/>
      <c r="H210"/>
    </row>
    <row r="211" spans="1:8" x14ac:dyDescent="0.25">
      <c r="A211" s="3">
        <v>210</v>
      </c>
      <c r="B211" s="3" t="s">
        <v>16</v>
      </c>
      <c r="D211"/>
      <c r="E211"/>
      <c r="F211"/>
      <c r="G211"/>
      <c r="H211"/>
    </row>
    <row r="212" spans="1:8" x14ac:dyDescent="0.25">
      <c r="A212" s="3">
        <v>211</v>
      </c>
      <c r="B212" s="3" t="s">
        <v>10</v>
      </c>
      <c r="D212"/>
      <c r="E212"/>
      <c r="F212"/>
      <c r="G212"/>
      <c r="H212"/>
    </row>
    <row r="213" spans="1:8" x14ac:dyDescent="0.25">
      <c r="A213" s="3">
        <v>212</v>
      </c>
      <c r="B213" s="3" t="s">
        <v>9</v>
      </c>
      <c r="D213"/>
      <c r="E213"/>
      <c r="F213"/>
      <c r="G213"/>
      <c r="H213"/>
    </row>
    <row r="214" spans="1:8" x14ac:dyDescent="0.25">
      <c r="A214" s="3">
        <v>213</v>
      </c>
      <c r="B214" s="3" t="s">
        <v>16</v>
      </c>
      <c r="D214"/>
      <c r="E214"/>
      <c r="F214"/>
      <c r="G214"/>
      <c r="H214"/>
    </row>
    <row r="215" spans="1:8" x14ac:dyDescent="0.25">
      <c r="A215" s="3">
        <v>214</v>
      </c>
      <c r="B215" s="3" t="s">
        <v>16</v>
      </c>
      <c r="D215"/>
      <c r="E215"/>
      <c r="F215"/>
      <c r="G215"/>
      <c r="H215"/>
    </row>
    <row r="216" spans="1:8" x14ac:dyDescent="0.25">
      <c r="A216" s="3">
        <v>215</v>
      </c>
      <c r="B216" s="3" t="s">
        <v>12</v>
      </c>
      <c r="D216"/>
      <c r="E216"/>
      <c r="F216"/>
      <c r="G216"/>
      <c r="H216"/>
    </row>
    <row r="217" spans="1:8" x14ac:dyDescent="0.25">
      <c r="A217" s="3">
        <v>216</v>
      </c>
      <c r="B217" s="3" t="s">
        <v>14</v>
      </c>
      <c r="D217"/>
      <c r="E217"/>
      <c r="F217"/>
      <c r="G217"/>
      <c r="H217"/>
    </row>
    <row r="218" spans="1:8" x14ac:dyDescent="0.25">
      <c r="A218" s="3">
        <v>217</v>
      </c>
      <c r="B218" s="3" t="s">
        <v>12</v>
      </c>
      <c r="D218"/>
      <c r="E218"/>
      <c r="F218"/>
      <c r="G218"/>
      <c r="H218"/>
    </row>
    <row r="219" spans="1:8" x14ac:dyDescent="0.25">
      <c r="A219" s="3">
        <v>218</v>
      </c>
      <c r="B219" s="3" t="s">
        <v>12</v>
      </c>
      <c r="D219"/>
      <c r="E219"/>
      <c r="F219"/>
      <c r="G219"/>
      <c r="H219"/>
    </row>
    <row r="220" spans="1:8" x14ac:dyDescent="0.25">
      <c r="A220" s="3">
        <v>219</v>
      </c>
      <c r="B220" s="3" t="s">
        <v>9</v>
      </c>
      <c r="D220"/>
      <c r="E220"/>
      <c r="F220"/>
      <c r="G220"/>
      <c r="H220"/>
    </row>
    <row r="221" spans="1:8" x14ac:dyDescent="0.25">
      <c r="A221" s="3">
        <v>220</v>
      </c>
      <c r="B221" s="3" t="s">
        <v>6</v>
      </c>
      <c r="D221"/>
      <c r="E221"/>
      <c r="F221"/>
      <c r="G221"/>
      <c r="H221"/>
    </row>
    <row r="222" spans="1:8" x14ac:dyDescent="0.25">
      <c r="A222" s="3">
        <v>221</v>
      </c>
      <c r="B222" s="3" t="s">
        <v>6</v>
      </c>
      <c r="D222"/>
      <c r="E222"/>
      <c r="F222"/>
      <c r="G222"/>
      <c r="H222"/>
    </row>
    <row r="223" spans="1:8" x14ac:dyDescent="0.25">
      <c r="A223" s="3">
        <v>222</v>
      </c>
      <c r="B223" s="3" t="s">
        <v>15</v>
      </c>
      <c r="D223"/>
      <c r="E223"/>
      <c r="F223"/>
      <c r="G223"/>
      <c r="H223"/>
    </row>
    <row r="224" spans="1:8" x14ac:dyDescent="0.25">
      <c r="A224" s="3">
        <v>223</v>
      </c>
      <c r="B224" s="3" t="s">
        <v>15</v>
      </c>
      <c r="D224"/>
      <c r="E224"/>
      <c r="F224"/>
      <c r="G224"/>
      <c r="H224"/>
    </row>
    <row r="225" spans="1:8" x14ac:dyDescent="0.25">
      <c r="A225" s="3">
        <v>224</v>
      </c>
      <c r="B225" s="3" t="s">
        <v>18</v>
      </c>
      <c r="D225"/>
      <c r="E225"/>
      <c r="F225"/>
      <c r="G225"/>
      <c r="H225"/>
    </row>
    <row r="226" spans="1:8" x14ac:dyDescent="0.25">
      <c r="A226" s="3">
        <v>225</v>
      </c>
      <c r="B226" s="3" t="s">
        <v>18</v>
      </c>
      <c r="D226"/>
      <c r="E226"/>
      <c r="F226"/>
      <c r="G226"/>
      <c r="H226"/>
    </row>
    <row r="227" spans="1:8" x14ac:dyDescent="0.25">
      <c r="A227" s="3">
        <v>226</v>
      </c>
      <c r="B227" s="3" t="s">
        <v>11</v>
      </c>
      <c r="D227"/>
      <c r="E227"/>
      <c r="F227"/>
      <c r="G227"/>
      <c r="H227"/>
    </row>
    <row r="228" spans="1:8" x14ac:dyDescent="0.25">
      <c r="A228" s="3">
        <v>227</v>
      </c>
      <c r="B228" s="3" t="s">
        <v>11</v>
      </c>
      <c r="D228"/>
      <c r="E228"/>
      <c r="F228"/>
      <c r="G228"/>
      <c r="H228"/>
    </row>
    <row r="229" spans="1:8" x14ac:dyDescent="0.25">
      <c r="A229" s="3">
        <v>228</v>
      </c>
      <c r="B229" s="3" t="s">
        <v>11</v>
      </c>
      <c r="D229"/>
      <c r="E229"/>
      <c r="F229"/>
      <c r="G229"/>
      <c r="H229"/>
    </row>
    <row r="230" spans="1:8" x14ac:dyDescent="0.25">
      <c r="A230" s="3">
        <v>229</v>
      </c>
      <c r="B230" s="3" t="s">
        <v>2</v>
      </c>
      <c r="D230"/>
      <c r="E230"/>
      <c r="F230"/>
      <c r="G230"/>
      <c r="H230"/>
    </row>
    <row r="231" spans="1:8" x14ac:dyDescent="0.25">
      <c r="A231" s="3">
        <v>230</v>
      </c>
      <c r="B231" s="3" t="s">
        <v>2</v>
      </c>
      <c r="D231"/>
      <c r="E231"/>
      <c r="F231"/>
      <c r="G231"/>
      <c r="H231"/>
    </row>
    <row r="232" spans="1:8" x14ac:dyDescent="0.25">
      <c r="A232" s="3">
        <v>231</v>
      </c>
      <c r="B232" s="3" t="s">
        <v>19</v>
      </c>
      <c r="D232"/>
      <c r="E232"/>
      <c r="F232"/>
      <c r="G232"/>
      <c r="H232"/>
    </row>
    <row r="233" spans="1:8" x14ac:dyDescent="0.25">
      <c r="A233" s="3">
        <v>232</v>
      </c>
      <c r="B233" s="3" t="s">
        <v>2</v>
      </c>
      <c r="D233"/>
      <c r="E233"/>
      <c r="F233"/>
      <c r="G233"/>
      <c r="H233"/>
    </row>
    <row r="234" spans="1:8" x14ac:dyDescent="0.25">
      <c r="A234" s="3">
        <v>233</v>
      </c>
      <c r="B234" s="3" t="s">
        <v>2</v>
      </c>
      <c r="D234"/>
      <c r="E234"/>
      <c r="F234"/>
      <c r="G234"/>
      <c r="H234"/>
    </row>
    <row r="235" spans="1:8" x14ac:dyDescent="0.25">
      <c r="A235" s="3">
        <v>234</v>
      </c>
      <c r="B235" s="3" t="s">
        <v>2</v>
      </c>
      <c r="D235"/>
      <c r="E235"/>
      <c r="F235"/>
      <c r="G235"/>
      <c r="H235"/>
    </row>
    <row r="236" spans="1:8" x14ac:dyDescent="0.25">
      <c r="A236" s="3">
        <v>235</v>
      </c>
      <c r="B236" s="3" t="s">
        <v>20</v>
      </c>
      <c r="D236"/>
      <c r="E236"/>
      <c r="F236"/>
      <c r="G236"/>
      <c r="H236"/>
    </row>
    <row r="237" spans="1:8" x14ac:dyDescent="0.25">
      <c r="A237" s="3">
        <v>236</v>
      </c>
      <c r="B237" s="3" t="s">
        <v>20</v>
      </c>
      <c r="D237"/>
      <c r="E237"/>
      <c r="F237"/>
      <c r="G237"/>
      <c r="H237"/>
    </row>
    <row r="238" spans="1:8" x14ac:dyDescent="0.25">
      <c r="A238" s="3">
        <v>237</v>
      </c>
      <c r="B238" s="3" t="s">
        <v>2</v>
      </c>
      <c r="D238"/>
      <c r="E238"/>
      <c r="F238"/>
      <c r="G238"/>
      <c r="H238"/>
    </row>
    <row r="239" spans="1:8" x14ac:dyDescent="0.25">
      <c r="A239" s="3">
        <v>238</v>
      </c>
      <c r="B239" s="3" t="s">
        <v>2</v>
      </c>
      <c r="D239"/>
      <c r="E239"/>
      <c r="F239"/>
      <c r="G239"/>
      <c r="H239"/>
    </row>
    <row r="240" spans="1:8" x14ac:dyDescent="0.25">
      <c r="A240" s="3">
        <v>239</v>
      </c>
      <c r="B240" s="3" t="s">
        <v>2</v>
      </c>
      <c r="D240"/>
      <c r="E240"/>
      <c r="F240"/>
      <c r="G240"/>
      <c r="H240"/>
    </row>
    <row r="241" spans="1:8" x14ac:dyDescent="0.25">
      <c r="A241" s="3">
        <v>240</v>
      </c>
      <c r="B241" s="3" t="s">
        <v>7</v>
      </c>
      <c r="D241"/>
      <c r="E241"/>
      <c r="F241"/>
      <c r="G241"/>
      <c r="H241"/>
    </row>
    <row r="242" spans="1:8" x14ac:dyDescent="0.25">
      <c r="A242" s="3">
        <v>241</v>
      </c>
      <c r="B242" s="3" t="s">
        <v>7</v>
      </c>
      <c r="D242"/>
      <c r="E242"/>
      <c r="F242"/>
      <c r="G242"/>
      <c r="H242"/>
    </row>
    <row r="243" spans="1:8" x14ac:dyDescent="0.25">
      <c r="A243" s="3">
        <v>242</v>
      </c>
      <c r="B243" s="3" t="s">
        <v>17</v>
      </c>
      <c r="D243"/>
      <c r="E243"/>
      <c r="F243"/>
      <c r="G243"/>
      <c r="H243"/>
    </row>
    <row r="244" spans="1:8" x14ac:dyDescent="0.25">
      <c r="A244" s="3">
        <v>243</v>
      </c>
      <c r="B244" s="3" t="s">
        <v>17</v>
      </c>
      <c r="D244"/>
      <c r="E244"/>
      <c r="F244"/>
      <c r="G244"/>
      <c r="H244"/>
    </row>
    <row r="245" spans="1:8" x14ac:dyDescent="0.25">
      <c r="A245" s="3">
        <v>244</v>
      </c>
      <c r="B245" s="3" t="s">
        <v>13</v>
      </c>
      <c r="D245"/>
      <c r="E245"/>
      <c r="F245"/>
      <c r="G245"/>
      <c r="H245"/>
    </row>
    <row r="246" spans="1:8" x14ac:dyDescent="0.25">
      <c r="A246" s="3">
        <v>245</v>
      </c>
      <c r="B246" s="3" t="s">
        <v>13</v>
      </c>
      <c r="D246"/>
      <c r="E246"/>
      <c r="F246"/>
      <c r="G246"/>
      <c r="H246"/>
    </row>
    <row r="247" spans="1:8" x14ac:dyDescent="0.25">
      <c r="A247" s="3">
        <v>246</v>
      </c>
      <c r="B247" s="3" t="s">
        <v>5</v>
      </c>
      <c r="D247"/>
      <c r="E247"/>
      <c r="F247"/>
      <c r="G247"/>
      <c r="H247"/>
    </row>
    <row r="248" spans="1:8" x14ac:dyDescent="0.25">
      <c r="A248" s="3">
        <v>247</v>
      </c>
      <c r="B248" s="3" t="s">
        <v>12</v>
      </c>
      <c r="D248"/>
      <c r="E248"/>
      <c r="F248"/>
      <c r="G248"/>
      <c r="H248"/>
    </row>
    <row r="249" spans="1:8" x14ac:dyDescent="0.25">
      <c r="A249" s="3">
        <v>248</v>
      </c>
      <c r="B249" s="3" t="s">
        <v>12</v>
      </c>
      <c r="D249"/>
      <c r="E249"/>
      <c r="F249"/>
      <c r="G249"/>
      <c r="H249"/>
    </row>
    <row r="250" spans="1:8" x14ac:dyDescent="0.25">
      <c r="A250" s="3">
        <v>249</v>
      </c>
      <c r="B250" s="3" t="s">
        <v>5</v>
      </c>
      <c r="D250"/>
      <c r="E250"/>
      <c r="F250"/>
      <c r="G250"/>
      <c r="H250"/>
    </row>
    <row r="251" spans="1:8" x14ac:dyDescent="0.25">
      <c r="A251" s="3">
        <v>250</v>
      </c>
      <c r="B251" s="3" t="s">
        <v>2</v>
      </c>
      <c r="D251"/>
      <c r="E251"/>
      <c r="F251"/>
      <c r="G251"/>
      <c r="H251"/>
    </row>
    <row r="252" spans="1:8" x14ac:dyDescent="0.25">
      <c r="A252" s="3">
        <v>251</v>
      </c>
      <c r="B252" s="3" t="s">
        <v>6</v>
      </c>
      <c r="D252"/>
      <c r="E252"/>
      <c r="F252"/>
      <c r="G252"/>
      <c r="H252"/>
    </row>
    <row r="253" spans="1:8" x14ac:dyDescent="0.25">
      <c r="A253" s="3">
        <v>252</v>
      </c>
      <c r="B253" s="3" t="s">
        <v>6</v>
      </c>
      <c r="D253"/>
      <c r="E253"/>
      <c r="F253"/>
      <c r="G253"/>
      <c r="H253"/>
    </row>
    <row r="254" spans="1:8" x14ac:dyDescent="0.25">
      <c r="A254" s="3">
        <v>253</v>
      </c>
      <c r="B254" s="3" t="s">
        <v>6</v>
      </c>
      <c r="D254"/>
      <c r="E254"/>
      <c r="F254"/>
      <c r="G254"/>
      <c r="H254"/>
    </row>
    <row r="255" spans="1:8" x14ac:dyDescent="0.25">
      <c r="A255" s="3">
        <v>254</v>
      </c>
      <c r="B255" s="3" t="s">
        <v>2</v>
      </c>
      <c r="D255"/>
      <c r="E255"/>
      <c r="F255"/>
      <c r="G255"/>
      <c r="H255"/>
    </row>
    <row r="256" spans="1:8" x14ac:dyDescent="0.25">
      <c r="A256" s="3">
        <v>255</v>
      </c>
      <c r="B256" s="3" t="s">
        <v>7</v>
      </c>
      <c r="D256"/>
      <c r="E256"/>
      <c r="F256"/>
      <c r="G256"/>
      <c r="H256"/>
    </row>
    <row r="257" spans="1:8" x14ac:dyDescent="0.25">
      <c r="A257" s="3">
        <v>256</v>
      </c>
      <c r="B257" s="3" t="s">
        <v>2</v>
      </c>
      <c r="D257"/>
      <c r="E257"/>
      <c r="F257"/>
      <c r="G257"/>
      <c r="H257"/>
    </row>
    <row r="258" spans="1:8" x14ac:dyDescent="0.25">
      <c r="A258" s="3">
        <v>257</v>
      </c>
      <c r="B258" s="3" t="s">
        <v>2</v>
      </c>
      <c r="D258"/>
      <c r="E258"/>
      <c r="F258"/>
      <c r="G258"/>
      <c r="H258"/>
    </row>
    <row r="259" spans="1:8" x14ac:dyDescent="0.25">
      <c r="A259" s="3">
        <v>258</v>
      </c>
      <c r="B259" s="3" t="s">
        <v>9</v>
      </c>
      <c r="D259"/>
      <c r="E259"/>
      <c r="F259"/>
      <c r="G259"/>
      <c r="H259"/>
    </row>
    <row r="260" spans="1:8" x14ac:dyDescent="0.25">
      <c r="A260" s="3">
        <v>259</v>
      </c>
      <c r="B260" s="3" t="s">
        <v>18</v>
      </c>
      <c r="D260"/>
      <c r="E260"/>
      <c r="F260"/>
      <c r="G260"/>
      <c r="H260"/>
    </row>
    <row r="261" spans="1:8" x14ac:dyDescent="0.25">
      <c r="A261" s="3">
        <v>260</v>
      </c>
      <c r="B261" s="3" t="s">
        <v>18</v>
      </c>
      <c r="D261"/>
      <c r="E261"/>
      <c r="F261"/>
      <c r="G261"/>
      <c r="H261"/>
    </row>
    <row r="262" spans="1:8" x14ac:dyDescent="0.25">
      <c r="A262" s="3">
        <v>261</v>
      </c>
      <c r="B262" s="3" t="s">
        <v>3</v>
      </c>
      <c r="D262"/>
      <c r="E262"/>
      <c r="F262"/>
      <c r="G262"/>
      <c r="H262"/>
    </row>
    <row r="263" spans="1:8" x14ac:dyDescent="0.25">
      <c r="A263" s="3">
        <v>262</v>
      </c>
      <c r="B263" s="3" t="s">
        <v>3</v>
      </c>
      <c r="D263"/>
      <c r="E263"/>
      <c r="F263"/>
      <c r="G263"/>
      <c r="H263"/>
    </row>
    <row r="264" spans="1:8" x14ac:dyDescent="0.25">
      <c r="A264" s="3">
        <v>263</v>
      </c>
      <c r="B264" s="3" t="s">
        <v>6</v>
      </c>
      <c r="D264"/>
      <c r="E264"/>
      <c r="F264"/>
      <c r="G264"/>
      <c r="H264"/>
    </row>
    <row r="265" spans="1:8" x14ac:dyDescent="0.25">
      <c r="A265" s="3">
        <v>264</v>
      </c>
      <c r="B265" s="3" t="s">
        <v>2</v>
      </c>
      <c r="D265"/>
      <c r="E265"/>
      <c r="F265"/>
      <c r="G265"/>
      <c r="H265"/>
    </row>
    <row r="266" spans="1:8" x14ac:dyDescent="0.25">
      <c r="A266" s="3">
        <v>265</v>
      </c>
      <c r="B266" s="3" t="s">
        <v>2</v>
      </c>
      <c r="D266"/>
      <c r="E266"/>
      <c r="F266"/>
      <c r="G266"/>
      <c r="H266"/>
    </row>
    <row r="267" spans="1:8" x14ac:dyDescent="0.25">
      <c r="A267" s="3">
        <v>266</v>
      </c>
      <c r="B267" s="3" t="s">
        <v>2</v>
      </c>
      <c r="D267"/>
      <c r="E267"/>
      <c r="F267"/>
      <c r="G267"/>
      <c r="H267"/>
    </row>
    <row r="268" spans="1:8" x14ac:dyDescent="0.25">
      <c r="A268" s="3">
        <v>267</v>
      </c>
      <c r="B268" s="3" t="s">
        <v>6</v>
      </c>
      <c r="D268"/>
      <c r="E268"/>
      <c r="F268"/>
      <c r="G268"/>
      <c r="H268"/>
    </row>
    <row r="269" spans="1:8" x14ac:dyDescent="0.25">
      <c r="A269" s="3">
        <v>268</v>
      </c>
      <c r="B269" s="3" t="s">
        <v>18</v>
      </c>
      <c r="D269"/>
      <c r="E269"/>
      <c r="F269"/>
      <c r="G269"/>
      <c r="H269"/>
    </row>
    <row r="270" spans="1:8" x14ac:dyDescent="0.25">
      <c r="A270" s="3">
        <v>269</v>
      </c>
      <c r="B270" s="3" t="s">
        <v>18</v>
      </c>
      <c r="D270"/>
      <c r="E270"/>
      <c r="F270"/>
      <c r="G270"/>
      <c r="H270"/>
    </row>
    <row r="271" spans="1:8" x14ac:dyDescent="0.25">
      <c r="A271" s="3">
        <v>270</v>
      </c>
      <c r="B271" s="3" t="s">
        <v>18</v>
      </c>
      <c r="D271"/>
      <c r="E271"/>
      <c r="F271"/>
      <c r="G271"/>
      <c r="H271"/>
    </row>
    <row r="272" spans="1:8" x14ac:dyDescent="0.25">
      <c r="A272" s="3">
        <v>271</v>
      </c>
      <c r="B272" s="3" t="s">
        <v>15</v>
      </c>
      <c r="D272"/>
      <c r="E272"/>
      <c r="F272"/>
      <c r="G272"/>
      <c r="H272"/>
    </row>
    <row r="273" spans="1:8" x14ac:dyDescent="0.25">
      <c r="A273" s="3">
        <v>272</v>
      </c>
      <c r="B273" s="3" t="s">
        <v>15</v>
      </c>
      <c r="D273"/>
      <c r="E273"/>
      <c r="F273"/>
      <c r="G273"/>
      <c r="H273"/>
    </row>
    <row r="274" spans="1:8" x14ac:dyDescent="0.25">
      <c r="A274" s="3">
        <v>273</v>
      </c>
      <c r="B274" s="3" t="s">
        <v>3</v>
      </c>
      <c r="D274"/>
      <c r="E274"/>
      <c r="F274"/>
      <c r="G274"/>
      <c r="H274"/>
    </row>
    <row r="275" spans="1:8" x14ac:dyDescent="0.25">
      <c r="A275" s="3">
        <v>274</v>
      </c>
      <c r="B275" s="3" t="s">
        <v>3</v>
      </c>
      <c r="D275"/>
      <c r="E275"/>
      <c r="F275"/>
      <c r="G275"/>
      <c r="H275"/>
    </row>
    <row r="276" spans="1:8" x14ac:dyDescent="0.25">
      <c r="A276" s="3">
        <v>275</v>
      </c>
      <c r="B276" s="3" t="s">
        <v>3</v>
      </c>
      <c r="D276"/>
      <c r="E276"/>
      <c r="F276"/>
      <c r="G276"/>
      <c r="H276"/>
    </row>
    <row r="277" spans="1:8" x14ac:dyDescent="0.25">
      <c r="A277" s="3">
        <v>276</v>
      </c>
      <c r="B277" s="3" t="s">
        <v>16</v>
      </c>
      <c r="D277"/>
      <c r="E277"/>
      <c r="F277"/>
      <c r="G277"/>
      <c r="H277"/>
    </row>
    <row r="278" spans="1:8" x14ac:dyDescent="0.25">
      <c r="A278" s="3">
        <v>277</v>
      </c>
      <c r="B278" s="3" t="s">
        <v>2</v>
      </c>
      <c r="D278"/>
      <c r="E278"/>
      <c r="F278"/>
      <c r="G278"/>
      <c r="H278"/>
    </row>
    <row r="279" spans="1:8" x14ac:dyDescent="0.25">
      <c r="A279" s="3">
        <v>278</v>
      </c>
      <c r="B279" s="3" t="s">
        <v>2</v>
      </c>
      <c r="D279"/>
      <c r="E279"/>
      <c r="F279"/>
      <c r="G279"/>
      <c r="H279"/>
    </row>
    <row r="280" spans="1:8" x14ac:dyDescent="0.25">
      <c r="A280" s="3">
        <v>279</v>
      </c>
      <c r="B280" s="3" t="s">
        <v>12</v>
      </c>
      <c r="D280"/>
      <c r="E280"/>
      <c r="F280"/>
      <c r="G280"/>
      <c r="H280"/>
    </row>
    <row r="281" spans="1:8" x14ac:dyDescent="0.25">
      <c r="A281" s="3">
        <v>280</v>
      </c>
      <c r="B281" s="3" t="s">
        <v>12</v>
      </c>
      <c r="D281"/>
      <c r="E281"/>
      <c r="F281"/>
      <c r="G281"/>
      <c r="H281"/>
    </row>
    <row r="282" spans="1:8" x14ac:dyDescent="0.25">
      <c r="A282" s="3">
        <v>281</v>
      </c>
      <c r="B282" s="3" t="s">
        <v>12</v>
      </c>
      <c r="D282"/>
      <c r="E282"/>
      <c r="F282"/>
      <c r="G282"/>
      <c r="H282"/>
    </row>
    <row r="283" spans="1:8" x14ac:dyDescent="0.25">
      <c r="A283" s="3">
        <v>282</v>
      </c>
      <c r="B283" s="3" t="s">
        <v>9</v>
      </c>
      <c r="D283"/>
      <c r="E283"/>
      <c r="F283"/>
      <c r="G283"/>
      <c r="H283"/>
    </row>
    <row r="284" spans="1:8" x14ac:dyDescent="0.25">
      <c r="A284" s="3">
        <v>283</v>
      </c>
      <c r="B284" s="3" t="s">
        <v>9</v>
      </c>
      <c r="D284"/>
      <c r="E284"/>
      <c r="F284"/>
      <c r="G284"/>
      <c r="H284"/>
    </row>
    <row r="285" spans="1:8" x14ac:dyDescent="0.25">
      <c r="A285" s="3">
        <v>284</v>
      </c>
      <c r="B285" s="3" t="s">
        <v>6</v>
      </c>
      <c r="D285"/>
      <c r="E285"/>
      <c r="F285"/>
      <c r="G285"/>
      <c r="H285"/>
    </row>
    <row r="286" spans="1:8" x14ac:dyDescent="0.25">
      <c r="A286" s="3">
        <v>285</v>
      </c>
      <c r="B286" s="3" t="s">
        <v>6</v>
      </c>
      <c r="D286"/>
      <c r="E286"/>
      <c r="F286"/>
      <c r="G286"/>
      <c r="H286"/>
    </row>
    <row r="287" spans="1:8" x14ac:dyDescent="0.25">
      <c r="A287" s="3">
        <v>286</v>
      </c>
      <c r="B287" s="3" t="s">
        <v>9</v>
      </c>
      <c r="D287"/>
      <c r="E287"/>
      <c r="F287"/>
      <c r="G287"/>
      <c r="H287"/>
    </row>
    <row r="288" spans="1:8" x14ac:dyDescent="0.25">
      <c r="A288" s="3">
        <v>287</v>
      </c>
      <c r="B288" s="3" t="s">
        <v>9</v>
      </c>
      <c r="D288"/>
      <c r="E288"/>
      <c r="F288"/>
      <c r="G288"/>
      <c r="H288"/>
    </row>
    <row r="289" spans="1:8" x14ac:dyDescent="0.25">
      <c r="A289" s="3">
        <v>288</v>
      </c>
      <c r="B289" s="3" t="s">
        <v>10</v>
      </c>
      <c r="D289"/>
      <c r="E289"/>
      <c r="F289"/>
      <c r="G289"/>
      <c r="H289"/>
    </row>
    <row r="290" spans="1:8" x14ac:dyDescent="0.25">
      <c r="A290" s="3">
        <v>289</v>
      </c>
      <c r="B290" s="3" t="s">
        <v>10</v>
      </c>
      <c r="D290"/>
      <c r="E290"/>
      <c r="F290"/>
      <c r="G290"/>
      <c r="H290"/>
    </row>
    <row r="291" spans="1:8" x14ac:dyDescent="0.25">
      <c r="A291" s="3">
        <v>290</v>
      </c>
      <c r="B291" s="3" t="s">
        <v>10</v>
      </c>
      <c r="D291"/>
      <c r="E291"/>
      <c r="F291"/>
      <c r="G291"/>
      <c r="H291"/>
    </row>
    <row r="292" spans="1:8" x14ac:dyDescent="0.25">
      <c r="A292" s="3">
        <v>291</v>
      </c>
      <c r="B292" s="3" t="s">
        <v>2</v>
      </c>
      <c r="D292"/>
      <c r="E292"/>
      <c r="F292"/>
      <c r="G292"/>
      <c r="H292"/>
    </row>
    <row r="293" spans="1:8" x14ac:dyDescent="0.25">
      <c r="A293" s="3">
        <v>292</v>
      </c>
      <c r="B293" s="3" t="s">
        <v>5</v>
      </c>
      <c r="D293"/>
      <c r="E293"/>
      <c r="F293"/>
      <c r="G293"/>
      <c r="H293"/>
    </row>
    <row r="294" spans="1:8" x14ac:dyDescent="0.25">
      <c r="A294" s="3">
        <v>293</v>
      </c>
      <c r="B294" s="3" t="s">
        <v>5</v>
      </c>
      <c r="D294"/>
      <c r="E294"/>
      <c r="F294"/>
      <c r="G294"/>
      <c r="H294"/>
    </row>
    <row r="295" spans="1:8" x14ac:dyDescent="0.25">
      <c r="A295" s="3">
        <v>294</v>
      </c>
      <c r="B295" s="3" t="s">
        <v>5</v>
      </c>
      <c r="D295"/>
      <c r="E295"/>
      <c r="F295"/>
      <c r="G295"/>
      <c r="H295"/>
    </row>
    <row r="296" spans="1:8" x14ac:dyDescent="0.25">
      <c r="A296" s="3">
        <v>295</v>
      </c>
      <c r="B296" s="3" t="s">
        <v>4</v>
      </c>
      <c r="D296"/>
      <c r="E296"/>
      <c r="F296"/>
      <c r="G296"/>
      <c r="H296"/>
    </row>
    <row r="297" spans="1:8" x14ac:dyDescent="0.25">
      <c r="A297" s="3">
        <v>296</v>
      </c>
      <c r="B297" s="3" t="s">
        <v>2</v>
      </c>
      <c r="D297"/>
      <c r="E297"/>
      <c r="F297"/>
      <c r="G297"/>
      <c r="H297"/>
    </row>
    <row r="298" spans="1:8" x14ac:dyDescent="0.25">
      <c r="A298" s="3">
        <v>297</v>
      </c>
      <c r="B298" s="3" t="s">
        <v>2</v>
      </c>
      <c r="D298"/>
      <c r="E298"/>
      <c r="F298"/>
      <c r="G298"/>
      <c r="H298"/>
    </row>
    <row r="299" spans="1:8" x14ac:dyDescent="0.25">
      <c r="A299" s="3">
        <v>298</v>
      </c>
      <c r="B299" s="3" t="s">
        <v>6</v>
      </c>
      <c r="D299"/>
      <c r="E299"/>
      <c r="F299"/>
      <c r="G299"/>
      <c r="H299"/>
    </row>
    <row r="300" spans="1:8" x14ac:dyDescent="0.25">
      <c r="A300" s="3">
        <v>299</v>
      </c>
      <c r="B300" s="3" t="s">
        <v>6</v>
      </c>
      <c r="D300"/>
      <c r="E300"/>
      <c r="F300"/>
      <c r="G300"/>
      <c r="H300"/>
    </row>
    <row r="301" spans="1:8" x14ac:dyDescent="0.25">
      <c r="A301" s="3">
        <v>300</v>
      </c>
      <c r="B301" s="3" t="s">
        <v>2</v>
      </c>
      <c r="D301"/>
      <c r="E301"/>
      <c r="F301"/>
      <c r="G301"/>
      <c r="H301"/>
    </row>
  </sheetData>
  <sortState xmlns:xlrd2="http://schemas.microsoft.com/office/spreadsheetml/2017/richdata2" ref="D2:D20">
    <sortCondition ref="D2:D20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E72F3-D213-4014-B89E-85D8C5AA6AA5}">
  <dimension ref="A1:G102"/>
  <sheetViews>
    <sheetView showGridLines="0" zoomScale="85" zoomScaleNormal="85" workbookViewId="0">
      <selection sqref="A1:B1"/>
    </sheetView>
  </sheetViews>
  <sheetFormatPr defaultRowHeight="15" x14ac:dyDescent="0.25"/>
  <cols>
    <col min="1" max="1" width="37.140625" bestFit="1" customWidth="1"/>
    <col min="2" max="2" width="17.7109375" customWidth="1"/>
    <col min="3" max="4" width="17.5703125" customWidth="1"/>
    <col min="6" max="6" width="9.140625" style="11"/>
    <col min="7" max="7" width="9.140625" style="1"/>
  </cols>
  <sheetData>
    <row r="1" spans="1:7" x14ac:dyDescent="0.25">
      <c r="A1" s="154" t="s">
        <v>136</v>
      </c>
      <c r="B1" s="155"/>
      <c r="F1" s="30" t="s">
        <v>134</v>
      </c>
      <c r="G1" s="2" t="s">
        <v>135</v>
      </c>
    </row>
    <row r="2" spans="1:7" x14ac:dyDescent="0.25">
      <c r="A2" s="46" t="s">
        <v>129</v>
      </c>
      <c r="B2" s="2">
        <v>7</v>
      </c>
      <c r="F2" s="13">
        <v>-5</v>
      </c>
      <c r="G2" s="60">
        <f t="shared" ref="G2:G52" si="0">_xlfn.T.DIST(F2,$B$2,FALSE)</f>
        <v>8.8154265732600637E-4</v>
      </c>
    </row>
    <row r="3" spans="1:7" x14ac:dyDescent="0.25">
      <c r="A3" s="51"/>
      <c r="B3" s="52"/>
      <c r="F3" s="13">
        <v>-4.9000000000000004</v>
      </c>
      <c r="G3" s="60">
        <f t="shared" si="0"/>
        <v>9.9962286331650783E-4</v>
      </c>
    </row>
    <row r="4" spans="1:7" x14ac:dyDescent="0.25">
      <c r="F4" s="13">
        <v>-4.8</v>
      </c>
      <c r="G4" s="60">
        <f t="shared" si="0"/>
        <v>1.1351245913782556E-3</v>
      </c>
    </row>
    <row r="5" spans="1:7" x14ac:dyDescent="0.25">
      <c r="A5" s="4" t="s">
        <v>132</v>
      </c>
      <c r="B5" s="4" t="s">
        <v>133</v>
      </c>
      <c r="F5" s="13">
        <v>-4.7</v>
      </c>
      <c r="G5" s="60">
        <f t="shared" si="0"/>
        <v>1.2908279505215324E-3</v>
      </c>
    </row>
    <row r="6" spans="1:7" x14ac:dyDescent="0.25">
      <c r="A6" s="49" t="s">
        <v>137</v>
      </c>
      <c r="B6" s="61">
        <f>_xlfn.T.DIST.RT(2.5,$B$2)</f>
        <v>2.049610929287644E-2</v>
      </c>
      <c r="F6" s="13">
        <v>-4.5999999999999996</v>
      </c>
      <c r="G6" s="60">
        <f t="shared" si="0"/>
        <v>1.4699841221482964E-3</v>
      </c>
    </row>
    <row r="7" spans="1:7" x14ac:dyDescent="0.25">
      <c r="A7" s="43" t="s">
        <v>255</v>
      </c>
      <c r="B7" s="45">
        <f>_xlfn.T.DIST(-2.5,$B$2,TRUE)</f>
        <v>2.049610929287644E-2</v>
      </c>
      <c r="C7" s="95" t="s">
        <v>256</v>
      </c>
      <c r="D7" s="95" t="s">
        <v>257</v>
      </c>
      <c r="F7" s="13">
        <v>-4.5</v>
      </c>
      <c r="G7" s="60">
        <f t="shared" si="0"/>
        <v>1.6763983288416314E-3</v>
      </c>
    </row>
    <row r="8" spans="1:7" x14ac:dyDescent="0.25">
      <c r="A8" s="43" t="s">
        <v>138</v>
      </c>
      <c r="B8" s="45">
        <f>D8-C8</f>
        <v>0.78188200430840826</v>
      </c>
      <c r="C8" s="45">
        <f>_xlfn.T.DIST(-1,7,TRUE)</f>
        <v>0.17530833141010374</v>
      </c>
      <c r="D8" s="45">
        <f>_xlfn.T.DIST(2,7,TRUE)</f>
        <v>0.95719033571851198</v>
      </c>
      <c r="F8" s="13">
        <v>-4.4000000000000004</v>
      </c>
      <c r="G8" s="60">
        <f t="shared" si="0"/>
        <v>1.9145275578168436E-3</v>
      </c>
    </row>
    <row r="9" spans="1:7" x14ac:dyDescent="0.25">
      <c r="A9" s="43" t="s">
        <v>139</v>
      </c>
      <c r="B9" s="47">
        <f>-_xlfn.T.INV(0.05,$B$2)</f>
        <v>1.8945786050900073</v>
      </c>
      <c r="F9" s="13">
        <v>-4.3</v>
      </c>
      <c r="G9" s="60">
        <f t="shared" si="0"/>
        <v>2.1895955602305008E-3</v>
      </c>
    </row>
    <row r="10" spans="1:7" x14ac:dyDescent="0.25">
      <c r="F10" s="13">
        <v>-4.2</v>
      </c>
      <c r="G10" s="60">
        <f t="shared" si="0"/>
        <v>2.5077280151267886E-3</v>
      </c>
    </row>
    <row r="11" spans="1:7" x14ac:dyDescent="0.25">
      <c r="F11" s="13">
        <v>-4.0999999999999996</v>
      </c>
      <c r="G11" s="60">
        <f t="shared" si="0"/>
        <v>2.8761111387772408E-3</v>
      </c>
    </row>
    <row r="12" spans="1:7" x14ac:dyDescent="0.25">
      <c r="A12" s="1"/>
      <c r="B12" s="1"/>
      <c r="F12" s="13">
        <v>-4</v>
      </c>
      <c r="G12" s="60">
        <f t="shared" si="0"/>
        <v>3.3031774237809093E-3</v>
      </c>
    </row>
    <row r="13" spans="1:7" x14ac:dyDescent="0.25">
      <c r="B13" s="1"/>
      <c r="F13" s="13">
        <v>-3.9</v>
      </c>
      <c r="G13" s="60">
        <f t="shared" si="0"/>
        <v>3.7988225862884395E-3</v>
      </c>
    </row>
    <row r="14" spans="1:7" x14ac:dyDescent="0.25">
      <c r="B14" s="1"/>
      <c r="F14" s="13">
        <v>-3.8</v>
      </c>
      <c r="G14" s="60">
        <f t="shared" si="0"/>
        <v>4.3746581509088557E-3</v>
      </c>
    </row>
    <row r="15" spans="1:7" x14ac:dyDescent="0.25">
      <c r="B15" s="1"/>
      <c r="F15" s="13">
        <v>-3.7</v>
      </c>
      <c r="G15" s="60">
        <f t="shared" si="0"/>
        <v>5.0443043616180726E-3</v>
      </c>
    </row>
    <row r="16" spans="1:7" x14ac:dyDescent="0.25">
      <c r="B16" s="1"/>
      <c r="F16" s="13">
        <v>-3.6</v>
      </c>
      <c r="G16" s="60">
        <f t="shared" si="0"/>
        <v>5.8237282014526204E-3</v>
      </c>
    </row>
    <row r="17" spans="6:7" x14ac:dyDescent="0.25">
      <c r="F17" s="13">
        <v>-3.5</v>
      </c>
      <c r="G17" s="60">
        <f t="shared" si="0"/>
        <v>6.731631132645341E-3</v>
      </c>
    </row>
    <row r="18" spans="6:7" x14ac:dyDescent="0.25">
      <c r="F18" s="13">
        <v>-3.4</v>
      </c>
      <c r="G18" s="60">
        <f t="shared" si="0"/>
        <v>7.7898905926888128E-3</v>
      </c>
    </row>
    <row r="19" spans="6:7" x14ac:dyDescent="0.25">
      <c r="F19" s="13">
        <v>-3.3</v>
      </c>
      <c r="G19" s="60">
        <f t="shared" si="0"/>
        <v>9.0240581128863701E-3</v>
      </c>
    </row>
    <row r="20" spans="6:7" x14ac:dyDescent="0.25">
      <c r="F20" s="13">
        <v>-3.2</v>
      </c>
      <c r="G20" s="60">
        <f t="shared" si="0"/>
        <v>1.0463914917300124E-2</v>
      </c>
    </row>
    <row r="21" spans="6:7" x14ac:dyDescent="0.25">
      <c r="F21" s="13">
        <v>-3.1</v>
      </c>
      <c r="G21" s="60">
        <f t="shared" si="0"/>
        <v>1.2144082694581494E-2</v>
      </c>
    </row>
    <row r="22" spans="6:7" x14ac:dyDescent="0.25">
      <c r="F22" s="13">
        <v>-3</v>
      </c>
      <c r="G22" s="60">
        <f t="shared" si="0"/>
        <v>1.4104682517216093E-2</v>
      </c>
    </row>
    <row r="23" spans="6:7" x14ac:dyDescent="0.25">
      <c r="F23" s="13">
        <v>-2.9</v>
      </c>
      <c r="G23" s="60">
        <f t="shared" si="0"/>
        <v>1.6392028134717216E-2</v>
      </c>
    </row>
    <row r="24" spans="6:7" x14ac:dyDescent="0.25">
      <c r="F24" s="13">
        <v>-2.8</v>
      </c>
      <c r="G24" s="60">
        <f t="shared" si="0"/>
        <v>1.905933053781568E-2</v>
      </c>
    </row>
    <row r="25" spans="6:7" x14ac:dyDescent="0.25">
      <c r="F25" s="13">
        <v>-2.7</v>
      </c>
      <c r="G25" s="60">
        <f t="shared" si="0"/>
        <v>2.2167378180897482E-2</v>
      </c>
    </row>
    <row r="26" spans="6:7" x14ac:dyDescent="0.25">
      <c r="F26" s="13">
        <v>-2.6</v>
      </c>
      <c r="G26" s="60">
        <f t="shared" si="0"/>
        <v>2.5785140969772902E-2</v>
      </c>
    </row>
    <row r="27" spans="6:7" x14ac:dyDescent="0.25">
      <c r="F27" s="13">
        <v>-2.5</v>
      </c>
      <c r="G27" s="60">
        <f t="shared" si="0"/>
        <v>2.9990225589892186E-2</v>
      </c>
    </row>
    <row r="28" spans="6:7" x14ac:dyDescent="0.25">
      <c r="F28" s="13">
        <v>-2.4</v>
      </c>
      <c r="G28" s="60">
        <f t="shared" si="0"/>
        <v>3.4869084753941258E-2</v>
      </c>
    </row>
    <row r="29" spans="6:7" x14ac:dyDescent="0.25">
      <c r="F29" s="13">
        <v>-2.2999999999999998</v>
      </c>
      <c r="G29" s="60">
        <f t="shared" si="0"/>
        <v>4.0516853782231008E-2</v>
      </c>
    </row>
    <row r="30" spans="6:7" x14ac:dyDescent="0.25">
      <c r="F30" s="13">
        <v>-2.2000000000000002</v>
      </c>
      <c r="G30" s="60">
        <f t="shared" si="0"/>
        <v>4.7036655726269291E-2</v>
      </c>
    </row>
    <row r="31" spans="6:7" x14ac:dyDescent="0.25">
      <c r="F31" s="13">
        <v>-2.1</v>
      </c>
      <c r="G31" s="60">
        <f t="shared" si="0"/>
        <v>5.4538183396588481E-2</v>
      </c>
    </row>
    <row r="32" spans="6:7" x14ac:dyDescent="0.25">
      <c r="F32" s="13">
        <v>-2</v>
      </c>
      <c r="G32" s="60">
        <f t="shared" si="0"/>
        <v>6.3135337302661979E-2</v>
      </c>
    </row>
    <row r="33" spans="6:7" x14ac:dyDescent="0.25">
      <c r="F33" s="13">
        <v>-1.9</v>
      </c>
      <c r="G33" s="60">
        <f t="shared" si="0"/>
        <v>7.2942679044071451E-2</v>
      </c>
    </row>
    <row r="34" spans="6:7" x14ac:dyDescent="0.25">
      <c r="F34" s="13">
        <v>-1.8</v>
      </c>
      <c r="G34" s="60">
        <f t="shared" si="0"/>
        <v>8.4070459110832774E-2</v>
      </c>
    </row>
    <row r="35" spans="6:7" x14ac:dyDescent="0.25">
      <c r="F35" s="13">
        <v>-1.7</v>
      </c>
      <c r="G35" s="60">
        <f t="shared" si="0"/>
        <v>9.6618008002832392E-2</v>
      </c>
    </row>
    <row r="36" spans="6:7" x14ac:dyDescent="0.25">
      <c r="F36" s="13">
        <v>-1.6</v>
      </c>
      <c r="G36" s="60">
        <f t="shared" si="0"/>
        <v>0.11066535373955198</v>
      </c>
    </row>
    <row r="37" spans="6:7" x14ac:dyDescent="0.25">
      <c r="F37" s="13">
        <v>-1.5</v>
      </c>
      <c r="G37" s="60">
        <f t="shared" si="0"/>
        <v>0.1262630612859611</v>
      </c>
    </row>
    <row r="38" spans="6:7" x14ac:dyDescent="0.25">
      <c r="F38" s="13">
        <v>-1.4</v>
      </c>
      <c r="G38" s="60">
        <f t="shared" si="0"/>
        <v>0.14342049167762227</v>
      </c>
    </row>
    <row r="39" spans="6:7" x14ac:dyDescent="0.25">
      <c r="F39" s="13">
        <v>-1.3</v>
      </c>
      <c r="G39" s="60">
        <f t="shared" si="0"/>
        <v>0.16209295508952079</v>
      </c>
    </row>
    <row r="40" spans="6:7" x14ac:dyDescent="0.25">
      <c r="F40" s="13">
        <v>-1.2</v>
      </c>
      <c r="G40" s="60">
        <f t="shared" si="0"/>
        <v>0.18216857418973872</v>
      </c>
    </row>
    <row r="41" spans="6:7" x14ac:dyDescent="0.25">
      <c r="F41" s="13">
        <v>-1.1000000000000001</v>
      </c>
      <c r="G41" s="60">
        <f t="shared" si="0"/>
        <v>0.20345605401479377</v>
      </c>
    </row>
    <row r="42" spans="6:7" x14ac:dyDescent="0.25">
      <c r="F42" s="13">
        <v>-1</v>
      </c>
      <c r="G42" s="60">
        <f t="shared" si="0"/>
        <v>0.22567492027545749</v>
      </c>
    </row>
    <row r="43" spans="6:7" x14ac:dyDescent="0.25">
      <c r="F43" s="13">
        <v>-0.9</v>
      </c>
      <c r="G43" s="60">
        <f t="shared" si="0"/>
        <v>0.24845006240500964</v>
      </c>
    </row>
    <row r="44" spans="6:7" x14ac:dyDescent="0.25">
      <c r="F44" s="13">
        <v>-0.8</v>
      </c>
      <c r="G44" s="60">
        <f t="shared" si="0"/>
        <v>0.27131250511654287</v>
      </c>
    </row>
    <row r="45" spans="6:7" x14ac:dyDescent="0.25">
      <c r="F45" s="13">
        <v>-0.7</v>
      </c>
      <c r="G45" s="60">
        <f t="shared" si="0"/>
        <v>0.293708134519167</v>
      </c>
    </row>
    <row r="46" spans="6:7" x14ac:dyDescent="0.25">
      <c r="F46" s="13">
        <v>-0.6</v>
      </c>
      <c r="G46" s="60">
        <f t="shared" si="0"/>
        <v>0.31501554715928187</v>
      </c>
    </row>
    <row r="47" spans="6:7" x14ac:dyDescent="0.25">
      <c r="F47" s="13">
        <v>-0.5</v>
      </c>
      <c r="G47" s="60">
        <f t="shared" si="0"/>
        <v>0.33457325335016508</v>
      </c>
    </row>
    <row r="48" spans="6:7" x14ac:dyDescent="0.25">
      <c r="F48" s="13">
        <v>-0.4</v>
      </c>
      <c r="G48" s="60">
        <f t="shared" si="0"/>
        <v>0.35171521531491085</v>
      </c>
    </row>
    <row r="49" spans="6:7" x14ac:dyDescent="0.25">
      <c r="F49" s="13">
        <v>-0.3</v>
      </c>
      <c r="G49" s="60">
        <f t="shared" si="0"/>
        <v>0.36581230078018739</v>
      </c>
    </row>
    <row r="50" spans="6:7" x14ac:dyDescent="0.25">
      <c r="F50" s="13">
        <v>-0.2</v>
      </c>
      <c r="G50" s="60">
        <f t="shared" si="0"/>
        <v>0.3763159352699636</v>
      </c>
    </row>
    <row r="51" spans="6:7" x14ac:dyDescent="0.25">
      <c r="F51" s="13">
        <v>-0.1</v>
      </c>
      <c r="G51" s="60">
        <f t="shared" si="0"/>
        <v>0.38279933426055085</v>
      </c>
    </row>
    <row r="52" spans="6:7" x14ac:dyDescent="0.25">
      <c r="F52" s="13">
        <v>0</v>
      </c>
      <c r="G52" s="60">
        <f t="shared" si="0"/>
        <v>0.38499145083226738</v>
      </c>
    </row>
    <row r="53" spans="6:7" x14ac:dyDescent="0.25">
      <c r="F53" s="13">
        <v>0.1</v>
      </c>
      <c r="G53" s="60">
        <f>_xlfn.T.DIST(F53,$B$2,FALSE)</f>
        <v>0.38279933426055085</v>
      </c>
    </row>
    <row r="54" spans="6:7" x14ac:dyDescent="0.25">
      <c r="F54" s="13">
        <v>0.2</v>
      </c>
      <c r="G54" s="60">
        <f t="shared" ref="G54:G102" si="1">_xlfn.T.DIST(F54,$B$2,FALSE)</f>
        <v>0.3763159352699636</v>
      </c>
    </row>
    <row r="55" spans="6:7" x14ac:dyDescent="0.25">
      <c r="F55" s="13">
        <v>0.3</v>
      </c>
      <c r="G55" s="60">
        <f t="shared" si="1"/>
        <v>0.36581230078018739</v>
      </c>
    </row>
    <row r="56" spans="6:7" x14ac:dyDescent="0.25">
      <c r="F56" s="13">
        <v>0.4</v>
      </c>
      <c r="G56" s="60">
        <f t="shared" si="1"/>
        <v>0.35171521531491085</v>
      </c>
    </row>
    <row r="57" spans="6:7" x14ac:dyDescent="0.25">
      <c r="F57" s="13">
        <v>0.5</v>
      </c>
      <c r="G57" s="60">
        <f t="shared" si="1"/>
        <v>0.33457325335016508</v>
      </c>
    </row>
    <row r="58" spans="6:7" x14ac:dyDescent="0.25">
      <c r="F58" s="13">
        <v>0.6</v>
      </c>
      <c r="G58" s="60">
        <f t="shared" si="1"/>
        <v>0.31501554715928187</v>
      </c>
    </row>
    <row r="59" spans="6:7" x14ac:dyDescent="0.25">
      <c r="F59" s="13">
        <v>0.7</v>
      </c>
      <c r="G59" s="60">
        <f t="shared" si="1"/>
        <v>0.293708134519167</v>
      </c>
    </row>
    <row r="60" spans="6:7" x14ac:dyDescent="0.25">
      <c r="F60" s="13">
        <v>0.8</v>
      </c>
      <c r="G60" s="60">
        <f t="shared" si="1"/>
        <v>0.27131250511654287</v>
      </c>
    </row>
    <row r="61" spans="6:7" x14ac:dyDescent="0.25">
      <c r="F61" s="13">
        <v>0.9</v>
      </c>
      <c r="G61" s="60">
        <f t="shared" si="1"/>
        <v>0.24845006240500964</v>
      </c>
    </row>
    <row r="62" spans="6:7" x14ac:dyDescent="0.25">
      <c r="F62" s="13">
        <v>1</v>
      </c>
      <c r="G62" s="60">
        <f t="shared" si="1"/>
        <v>0.22567492027545749</v>
      </c>
    </row>
    <row r="63" spans="6:7" x14ac:dyDescent="0.25">
      <c r="F63" s="13">
        <v>1.1000000000000001</v>
      </c>
      <c r="G63" s="60">
        <f t="shared" si="1"/>
        <v>0.20345605401479377</v>
      </c>
    </row>
    <row r="64" spans="6:7" x14ac:dyDescent="0.25">
      <c r="F64" s="13">
        <v>1.2</v>
      </c>
      <c r="G64" s="60">
        <f t="shared" si="1"/>
        <v>0.18216857418973872</v>
      </c>
    </row>
    <row r="65" spans="6:7" x14ac:dyDescent="0.25">
      <c r="F65" s="13">
        <v>1.3</v>
      </c>
      <c r="G65" s="60">
        <f t="shared" si="1"/>
        <v>0.16209295508952079</v>
      </c>
    </row>
    <row r="66" spans="6:7" x14ac:dyDescent="0.25">
      <c r="F66" s="13">
        <v>1.4</v>
      </c>
      <c r="G66" s="60">
        <f t="shared" si="1"/>
        <v>0.14342049167762227</v>
      </c>
    </row>
    <row r="67" spans="6:7" x14ac:dyDescent="0.25">
      <c r="F67" s="13">
        <v>1.5</v>
      </c>
      <c r="G67" s="60">
        <f t="shared" si="1"/>
        <v>0.1262630612859611</v>
      </c>
    </row>
    <row r="68" spans="6:7" x14ac:dyDescent="0.25">
      <c r="F68" s="13">
        <v>1.6</v>
      </c>
      <c r="G68" s="60">
        <f t="shared" si="1"/>
        <v>0.11066535373955198</v>
      </c>
    </row>
    <row r="69" spans="6:7" x14ac:dyDescent="0.25">
      <c r="F69" s="13">
        <v>1.7</v>
      </c>
      <c r="G69" s="60">
        <f t="shared" si="1"/>
        <v>9.6618008002832392E-2</v>
      </c>
    </row>
    <row r="70" spans="6:7" x14ac:dyDescent="0.25">
      <c r="F70" s="13">
        <v>1.8</v>
      </c>
      <c r="G70" s="60">
        <f t="shared" si="1"/>
        <v>8.4070459110832774E-2</v>
      </c>
    </row>
    <row r="71" spans="6:7" x14ac:dyDescent="0.25">
      <c r="F71" s="13">
        <v>1.9</v>
      </c>
      <c r="G71" s="60">
        <f t="shared" si="1"/>
        <v>7.2942679044071451E-2</v>
      </c>
    </row>
    <row r="72" spans="6:7" x14ac:dyDescent="0.25">
      <c r="F72" s="13">
        <v>2</v>
      </c>
      <c r="G72" s="60">
        <f t="shared" si="1"/>
        <v>6.3135337302661979E-2</v>
      </c>
    </row>
    <row r="73" spans="6:7" x14ac:dyDescent="0.25">
      <c r="F73" s="13">
        <v>2.1</v>
      </c>
      <c r="G73" s="60">
        <f t="shared" si="1"/>
        <v>5.4538183396588481E-2</v>
      </c>
    </row>
    <row r="74" spans="6:7" x14ac:dyDescent="0.25">
      <c r="F74" s="13">
        <v>2.2000000000000002</v>
      </c>
      <c r="G74" s="60">
        <f t="shared" si="1"/>
        <v>4.7036655726269291E-2</v>
      </c>
    </row>
    <row r="75" spans="6:7" x14ac:dyDescent="0.25">
      <c r="F75" s="13">
        <v>2.2999999999999998</v>
      </c>
      <c r="G75" s="60">
        <f t="shared" si="1"/>
        <v>4.0516853782231008E-2</v>
      </c>
    </row>
    <row r="76" spans="6:7" x14ac:dyDescent="0.25">
      <c r="F76" s="13">
        <v>2.4</v>
      </c>
      <c r="G76" s="60">
        <f t="shared" si="1"/>
        <v>3.4869084753941258E-2</v>
      </c>
    </row>
    <row r="77" spans="6:7" x14ac:dyDescent="0.25">
      <c r="F77" s="13">
        <v>2.5</v>
      </c>
      <c r="G77" s="60">
        <f t="shared" si="1"/>
        <v>2.9990225589892186E-2</v>
      </c>
    </row>
    <row r="78" spans="6:7" x14ac:dyDescent="0.25">
      <c r="F78" s="13">
        <v>2.6</v>
      </c>
      <c r="G78" s="60">
        <f t="shared" si="1"/>
        <v>2.5785140969772902E-2</v>
      </c>
    </row>
    <row r="79" spans="6:7" x14ac:dyDescent="0.25">
      <c r="F79" s="13">
        <v>2.7</v>
      </c>
      <c r="G79" s="60">
        <f t="shared" si="1"/>
        <v>2.2167378180897482E-2</v>
      </c>
    </row>
    <row r="80" spans="6:7" x14ac:dyDescent="0.25">
      <c r="F80" s="13">
        <v>2.8</v>
      </c>
      <c r="G80" s="60">
        <f t="shared" si="1"/>
        <v>1.905933053781568E-2</v>
      </c>
    </row>
    <row r="81" spans="6:7" x14ac:dyDescent="0.25">
      <c r="F81" s="13">
        <v>2.9</v>
      </c>
      <c r="G81" s="60">
        <f t="shared" si="1"/>
        <v>1.6392028134717216E-2</v>
      </c>
    </row>
    <row r="82" spans="6:7" x14ac:dyDescent="0.25">
      <c r="F82" s="13">
        <v>3</v>
      </c>
      <c r="G82" s="60">
        <f t="shared" si="1"/>
        <v>1.4104682517216093E-2</v>
      </c>
    </row>
    <row r="83" spans="6:7" x14ac:dyDescent="0.25">
      <c r="F83" s="13">
        <v>3.1</v>
      </c>
      <c r="G83" s="60">
        <f t="shared" si="1"/>
        <v>1.2144082694581494E-2</v>
      </c>
    </row>
    <row r="84" spans="6:7" x14ac:dyDescent="0.25">
      <c r="F84" s="13">
        <v>3.2</v>
      </c>
      <c r="G84" s="60">
        <f t="shared" si="1"/>
        <v>1.0463914917300124E-2</v>
      </c>
    </row>
    <row r="85" spans="6:7" x14ac:dyDescent="0.25">
      <c r="F85" s="13">
        <v>3.3</v>
      </c>
      <c r="G85" s="60">
        <f t="shared" si="1"/>
        <v>9.0240581128863701E-3</v>
      </c>
    </row>
    <row r="86" spans="6:7" x14ac:dyDescent="0.25">
      <c r="F86" s="13">
        <v>3.4</v>
      </c>
      <c r="G86" s="60">
        <f t="shared" si="1"/>
        <v>7.7898905926888128E-3</v>
      </c>
    </row>
    <row r="87" spans="6:7" x14ac:dyDescent="0.25">
      <c r="F87" s="13">
        <v>3.5</v>
      </c>
      <c r="G87" s="60">
        <f t="shared" si="1"/>
        <v>6.731631132645341E-3</v>
      </c>
    </row>
    <row r="88" spans="6:7" x14ac:dyDescent="0.25">
      <c r="F88" s="13">
        <v>3.6</v>
      </c>
      <c r="G88" s="60">
        <f t="shared" si="1"/>
        <v>5.8237282014526204E-3</v>
      </c>
    </row>
    <row r="89" spans="6:7" x14ac:dyDescent="0.25">
      <c r="F89" s="13">
        <v>3.7</v>
      </c>
      <c r="G89" s="60">
        <f t="shared" si="1"/>
        <v>5.0443043616180726E-3</v>
      </c>
    </row>
    <row r="90" spans="6:7" x14ac:dyDescent="0.25">
      <c r="F90" s="13">
        <v>3.8</v>
      </c>
      <c r="G90" s="60">
        <f t="shared" si="1"/>
        <v>4.3746581509088557E-3</v>
      </c>
    </row>
    <row r="91" spans="6:7" x14ac:dyDescent="0.25">
      <c r="F91" s="13">
        <v>3.9</v>
      </c>
      <c r="G91" s="60">
        <f t="shared" si="1"/>
        <v>3.7988225862884395E-3</v>
      </c>
    </row>
    <row r="92" spans="6:7" x14ac:dyDescent="0.25">
      <c r="F92" s="13">
        <v>4</v>
      </c>
      <c r="G92" s="60">
        <f t="shared" si="1"/>
        <v>3.3031774237809093E-3</v>
      </c>
    </row>
    <row r="93" spans="6:7" x14ac:dyDescent="0.25">
      <c r="F93" s="13">
        <v>4.0999999999999996</v>
      </c>
      <c r="G93" s="60">
        <f t="shared" si="1"/>
        <v>2.8761111387772408E-3</v>
      </c>
    </row>
    <row r="94" spans="6:7" x14ac:dyDescent="0.25">
      <c r="F94" s="13">
        <v>4.2</v>
      </c>
      <c r="G94" s="60">
        <f t="shared" si="1"/>
        <v>2.5077280151267886E-3</v>
      </c>
    </row>
    <row r="95" spans="6:7" x14ac:dyDescent="0.25">
      <c r="F95" s="13">
        <v>4.3</v>
      </c>
      <c r="G95" s="60">
        <f t="shared" si="1"/>
        <v>2.1895955602305008E-3</v>
      </c>
    </row>
    <row r="96" spans="6:7" x14ac:dyDescent="0.25">
      <c r="F96" s="13">
        <v>4.4000000000000004</v>
      </c>
      <c r="G96" s="60">
        <f t="shared" si="1"/>
        <v>1.9145275578168436E-3</v>
      </c>
    </row>
    <row r="97" spans="6:7" x14ac:dyDescent="0.25">
      <c r="F97" s="13">
        <v>4.5</v>
      </c>
      <c r="G97" s="60">
        <f t="shared" si="1"/>
        <v>1.6763983288416314E-3</v>
      </c>
    </row>
    <row r="98" spans="6:7" x14ac:dyDescent="0.25">
      <c r="F98" s="13">
        <v>4.5999999999999996</v>
      </c>
      <c r="G98" s="60">
        <f t="shared" si="1"/>
        <v>1.4699841221482964E-3</v>
      </c>
    </row>
    <row r="99" spans="6:7" x14ac:dyDescent="0.25">
      <c r="F99" s="13">
        <v>4.7</v>
      </c>
      <c r="G99" s="60">
        <f t="shared" si="1"/>
        <v>1.2908279505215324E-3</v>
      </c>
    </row>
    <row r="100" spans="6:7" x14ac:dyDescent="0.25">
      <c r="F100" s="13">
        <v>4.8</v>
      </c>
      <c r="G100" s="60">
        <f t="shared" si="1"/>
        <v>1.1351245913782556E-3</v>
      </c>
    </row>
    <row r="101" spans="6:7" x14ac:dyDescent="0.25">
      <c r="F101" s="13">
        <v>4.9000000000000004</v>
      </c>
      <c r="G101" s="60">
        <f t="shared" si="1"/>
        <v>9.9962286331650783E-4</v>
      </c>
    </row>
    <row r="102" spans="6:7" x14ac:dyDescent="0.25">
      <c r="F102" s="13">
        <v>5</v>
      </c>
      <c r="G102" s="60">
        <f t="shared" si="1"/>
        <v>8.8154265732600637E-4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6EE9C-935E-4371-911F-6CD90F70EC63}">
  <dimension ref="A1:G101"/>
  <sheetViews>
    <sheetView showGridLines="0" zoomScale="85" zoomScaleNormal="85" workbookViewId="0">
      <selection sqref="A1:B1"/>
    </sheetView>
  </sheetViews>
  <sheetFormatPr defaultRowHeight="15" x14ac:dyDescent="0.25"/>
  <cols>
    <col min="1" max="1" width="31.140625" style="11" bestFit="1" customWidth="1"/>
    <col min="2" max="4" width="22.7109375" style="11" customWidth="1"/>
    <col min="5" max="16384" width="9.140625" style="11"/>
  </cols>
  <sheetData>
    <row r="1" spans="1:7" x14ac:dyDescent="0.25">
      <c r="A1" s="154" t="s">
        <v>160</v>
      </c>
      <c r="B1" s="155"/>
      <c r="C1" s="1"/>
      <c r="D1" s="1"/>
      <c r="F1" s="30" t="s">
        <v>119</v>
      </c>
      <c r="G1" s="30" t="s">
        <v>120</v>
      </c>
    </row>
    <row r="2" spans="1:7" x14ac:dyDescent="0.25">
      <c r="A2" s="46" t="s">
        <v>161</v>
      </c>
      <c r="B2" s="2">
        <v>17</v>
      </c>
      <c r="C2" s="1"/>
      <c r="D2" s="1"/>
      <c r="F2" s="13">
        <v>0</v>
      </c>
      <c r="G2" s="13">
        <f>_xlfn.F.DIST(F2,$B$2,$B$3,FALSE)</f>
        <v>0</v>
      </c>
    </row>
    <row r="3" spans="1:7" x14ac:dyDescent="0.25">
      <c r="A3" s="46" t="s">
        <v>162</v>
      </c>
      <c r="B3" s="2">
        <v>28</v>
      </c>
      <c r="C3" s="1"/>
      <c r="D3" s="1"/>
      <c r="F3" s="13">
        <v>0.1</v>
      </c>
      <c r="G3" s="13">
        <f t="shared" ref="G3:G66" si="0">_xlfn.F.DIST(F3,$B$2,$B$3,FALSE)</f>
        <v>3.2932268716305264E-4</v>
      </c>
    </row>
    <row r="4" spans="1:7" x14ac:dyDescent="0.25">
      <c r="F4" s="13">
        <v>0.15</v>
      </c>
      <c r="G4" s="13">
        <f t="shared" si="0"/>
        <v>3.652362499164312E-3</v>
      </c>
    </row>
    <row r="5" spans="1:7" x14ac:dyDescent="0.25">
      <c r="A5" s="14"/>
      <c r="B5" s="15"/>
      <c r="F5" s="13">
        <v>0.2</v>
      </c>
      <c r="G5" s="13">
        <f t="shared" si="0"/>
        <v>1.703921747421137E-2</v>
      </c>
    </row>
    <row r="6" spans="1:7" x14ac:dyDescent="0.25">
      <c r="A6" s="4" t="s">
        <v>132</v>
      </c>
      <c r="B6" s="4" t="s">
        <v>133</v>
      </c>
      <c r="C6" s="1"/>
      <c r="D6" s="1"/>
      <c r="F6" s="13">
        <v>0.25</v>
      </c>
      <c r="G6" s="13">
        <f t="shared" si="0"/>
        <v>4.9805023376519951E-2</v>
      </c>
    </row>
    <row r="7" spans="1:7" x14ac:dyDescent="0.25">
      <c r="A7" s="49" t="s">
        <v>163</v>
      </c>
      <c r="B7" s="61">
        <f>_xlfn.F.DIST.RT(1.5,B2,B3)</f>
        <v>0.16605717926271171</v>
      </c>
      <c r="C7" s="81"/>
      <c r="D7" s="82"/>
      <c r="F7" s="13">
        <v>0.3</v>
      </c>
      <c r="G7" s="13">
        <f t="shared" si="0"/>
        <v>0.10887328088408475</v>
      </c>
    </row>
    <row r="8" spans="1:7" x14ac:dyDescent="0.25">
      <c r="A8" s="43" t="s">
        <v>164</v>
      </c>
      <c r="B8" s="45">
        <f>1-_xlfn.F.DIST.RT(1,B2,B3)</f>
        <v>0.51422379728018508</v>
      </c>
      <c r="C8" s="75" t="s">
        <v>258</v>
      </c>
      <c r="D8" s="128" t="s">
        <v>259</v>
      </c>
      <c r="F8" s="13">
        <v>0.35</v>
      </c>
      <c r="G8" s="13">
        <f t="shared" si="0"/>
        <v>0.19554966389867023</v>
      </c>
    </row>
    <row r="9" spans="1:7" x14ac:dyDescent="0.25">
      <c r="A9" s="43" t="s">
        <v>165</v>
      </c>
      <c r="B9" s="45">
        <f>D9-C9</f>
        <v>4.5499751186398707E-2</v>
      </c>
      <c r="C9" s="45">
        <f>_xlfn.F.DIST(2,B2,B3,TRUE)</f>
        <v>0.94963318184971424</v>
      </c>
      <c r="D9" s="45">
        <f>_xlfn.F.DIST(3,B2,B3,TRUE)</f>
        <v>0.99513293303611294</v>
      </c>
      <c r="F9" s="13">
        <v>0.4</v>
      </c>
      <c r="G9" s="13">
        <f t="shared" si="0"/>
        <v>0.30518185343023335</v>
      </c>
    </row>
    <row r="10" spans="1:7" x14ac:dyDescent="0.25">
      <c r="A10" s="43" t="s">
        <v>166</v>
      </c>
      <c r="B10" s="47">
        <f>_xlfn.F.INV.RT(0.05,B2,B3)</f>
        <v>2.0030373296338246</v>
      </c>
      <c r="C10" s="79"/>
      <c r="D10" s="80"/>
      <c r="F10" s="13">
        <v>0.45</v>
      </c>
      <c r="G10" s="13">
        <f t="shared" si="0"/>
        <v>0.42893955231565079</v>
      </c>
    </row>
    <row r="11" spans="1:7" x14ac:dyDescent="0.25">
      <c r="A11" s="31"/>
      <c r="B11" s="31"/>
      <c r="C11" s="31"/>
      <c r="D11" s="31"/>
      <c r="F11" s="13">
        <v>0.5</v>
      </c>
      <c r="G11" s="13">
        <f t="shared" si="0"/>
        <v>0.55632341892959303</v>
      </c>
    </row>
    <row r="12" spans="1:7" x14ac:dyDescent="0.25">
      <c r="A12" s="31"/>
      <c r="B12" s="31"/>
      <c r="C12" s="31"/>
      <c r="D12" s="31"/>
      <c r="F12" s="13">
        <v>0.55000000000000004</v>
      </c>
      <c r="G12" s="13">
        <f t="shared" si="0"/>
        <v>0.67736584277840484</v>
      </c>
    </row>
    <row r="13" spans="1:7" x14ac:dyDescent="0.25">
      <c r="F13" s="13">
        <v>0.6</v>
      </c>
      <c r="G13" s="13">
        <f t="shared" si="0"/>
        <v>0.78406211989412022</v>
      </c>
    </row>
    <row r="14" spans="1:7" x14ac:dyDescent="0.25">
      <c r="A14" s="31"/>
      <c r="B14" s="77"/>
      <c r="C14" s="77"/>
      <c r="D14" s="77"/>
      <c r="F14" s="13">
        <v>0.65</v>
      </c>
      <c r="G14" s="13">
        <f t="shared" si="0"/>
        <v>0.87100084253886101</v>
      </c>
    </row>
    <row r="15" spans="1:7" x14ac:dyDescent="0.25">
      <c r="F15" s="13">
        <v>0.7</v>
      </c>
      <c r="G15" s="13">
        <f t="shared" si="0"/>
        <v>0.93537747472516708</v>
      </c>
    </row>
    <row r="16" spans="1:7" x14ac:dyDescent="0.25">
      <c r="A16" s="31"/>
      <c r="B16" s="32"/>
      <c r="C16" s="32"/>
      <c r="D16" s="32"/>
      <c r="F16" s="13">
        <v>0.75</v>
      </c>
      <c r="G16" s="13">
        <f t="shared" si="0"/>
        <v>0.97662973140537335</v>
      </c>
    </row>
    <row r="17" spans="1:7" x14ac:dyDescent="0.25">
      <c r="F17" s="13">
        <v>0.8</v>
      </c>
      <c r="G17" s="13">
        <f t="shared" si="0"/>
        <v>0.99590227263705544</v>
      </c>
    </row>
    <row r="18" spans="1:7" x14ac:dyDescent="0.25">
      <c r="F18" s="13">
        <v>0.85</v>
      </c>
      <c r="G18" s="13">
        <f t="shared" si="0"/>
        <v>0.99548695855669556</v>
      </c>
    </row>
    <row r="19" spans="1:7" x14ac:dyDescent="0.25">
      <c r="A19" s="78"/>
      <c r="B19" s="78"/>
      <c r="C19" s="78"/>
      <c r="D19" s="78"/>
      <c r="F19" s="13">
        <v>0.9</v>
      </c>
      <c r="G19" s="13">
        <f t="shared" si="0"/>
        <v>0.9783244624137386</v>
      </c>
    </row>
    <row r="20" spans="1:7" x14ac:dyDescent="0.25">
      <c r="A20" s="78"/>
      <c r="B20" s="78"/>
      <c r="C20" s="78"/>
      <c r="D20" s="78"/>
      <c r="F20" s="13">
        <v>0.95</v>
      </c>
      <c r="G20" s="13">
        <f t="shared" si="0"/>
        <v>0.94760615229555967</v>
      </c>
    </row>
    <row r="21" spans="1:7" x14ac:dyDescent="0.25">
      <c r="A21" s="78"/>
      <c r="B21" s="78"/>
      <c r="C21" s="78"/>
      <c r="D21" s="78"/>
      <c r="F21" s="13">
        <v>1</v>
      </c>
      <c r="G21" s="13">
        <f t="shared" si="0"/>
        <v>0.90648411941043694</v>
      </c>
    </row>
    <row r="22" spans="1:7" x14ac:dyDescent="0.25">
      <c r="A22" s="78"/>
      <c r="B22" s="78"/>
      <c r="C22" s="78"/>
      <c r="D22" s="78"/>
      <c r="F22" s="13">
        <v>1.05</v>
      </c>
      <c r="G22" s="13">
        <f t="shared" si="0"/>
        <v>0.8578796244163599</v>
      </c>
    </row>
    <row r="23" spans="1:7" x14ac:dyDescent="0.25">
      <c r="A23" s="20"/>
      <c r="B23" s="20"/>
      <c r="C23" s="20"/>
      <c r="D23" s="20"/>
      <c r="F23" s="13">
        <v>1.1000000000000001</v>
      </c>
      <c r="G23" s="13">
        <f t="shared" si="0"/>
        <v>0.80437226214950597</v>
      </c>
    </row>
    <row r="24" spans="1:7" x14ac:dyDescent="0.25">
      <c r="A24" s="20"/>
      <c r="B24" s="20"/>
      <c r="C24" s="20"/>
      <c r="D24" s="20"/>
      <c r="F24" s="13">
        <v>1.1499999999999999</v>
      </c>
      <c r="G24" s="13">
        <f t="shared" si="0"/>
        <v>0.7481502649760472</v>
      </c>
    </row>
    <row r="25" spans="1:7" x14ac:dyDescent="0.25">
      <c r="F25" s="13">
        <v>1.2</v>
      </c>
      <c r="G25" s="13">
        <f t="shared" si="0"/>
        <v>0.69100385214639692</v>
      </c>
    </row>
    <row r="26" spans="1:7" x14ac:dyDescent="0.25">
      <c r="F26" s="13">
        <v>1.25</v>
      </c>
      <c r="G26" s="13">
        <f t="shared" si="0"/>
        <v>0.6343465378286135</v>
      </c>
    </row>
    <row r="27" spans="1:7" x14ac:dyDescent="0.25">
      <c r="F27" s="13">
        <v>1.3</v>
      </c>
      <c r="G27" s="13">
        <f t="shared" si="0"/>
        <v>0.5792527047837529</v>
      </c>
    </row>
    <row r="28" spans="1:7" x14ac:dyDescent="0.25">
      <c r="F28" s="13">
        <v>1.35</v>
      </c>
      <c r="G28" s="13">
        <f t="shared" si="0"/>
        <v>0.52650292237488716</v>
      </c>
    </row>
    <row r="29" spans="1:7" x14ac:dyDescent="0.25">
      <c r="F29" s="13">
        <v>1.4</v>
      </c>
      <c r="G29" s="13">
        <f t="shared" si="0"/>
        <v>0.47663116247041354</v>
      </c>
    </row>
    <row r="30" spans="1:7" x14ac:dyDescent="0.25">
      <c r="F30" s="13">
        <v>1.45</v>
      </c>
      <c r="G30" s="13">
        <f t="shared" si="0"/>
        <v>0.42997017099019097</v>
      </c>
    </row>
    <row r="31" spans="1:7" x14ac:dyDescent="0.25">
      <c r="F31" s="13">
        <v>1.5</v>
      </c>
      <c r="G31" s="13">
        <f t="shared" si="0"/>
        <v>0.38669281931876626</v>
      </c>
    </row>
    <row r="32" spans="1:7" x14ac:dyDescent="0.25">
      <c r="F32" s="13">
        <v>1.55</v>
      </c>
      <c r="G32" s="13">
        <f t="shared" si="0"/>
        <v>0.34684836918003836</v>
      </c>
    </row>
    <row r="33" spans="6:7" x14ac:dyDescent="0.25">
      <c r="F33" s="13">
        <v>1.6</v>
      </c>
      <c r="G33" s="13">
        <f t="shared" si="0"/>
        <v>0.31039333065041824</v>
      </c>
    </row>
    <row r="34" spans="6:7" x14ac:dyDescent="0.25">
      <c r="F34" s="13">
        <v>1.65</v>
      </c>
      <c r="G34" s="13">
        <f t="shared" si="0"/>
        <v>0.27721706472613994</v>
      </c>
    </row>
    <row r="35" spans="6:7" x14ac:dyDescent="0.25">
      <c r="F35" s="13">
        <v>1.7</v>
      </c>
      <c r="G35" s="13">
        <f t="shared" si="0"/>
        <v>0.24716255530016767</v>
      </c>
    </row>
    <row r="36" spans="6:7" x14ac:dyDescent="0.25">
      <c r="F36" s="13">
        <v>1.75</v>
      </c>
      <c r="G36" s="13">
        <f t="shared" si="0"/>
        <v>0.22004291142632371</v>
      </c>
    </row>
    <row r="37" spans="6:7" x14ac:dyDescent="0.25">
      <c r="F37" s="13">
        <v>1.8</v>
      </c>
      <c r="G37" s="13">
        <f t="shared" si="0"/>
        <v>0.1956542057943233</v>
      </c>
    </row>
    <row r="38" spans="6:7" x14ac:dyDescent="0.25">
      <c r="F38" s="13">
        <v>1.85</v>
      </c>
      <c r="G38" s="13">
        <f t="shared" si="0"/>
        <v>0.17378524345356144</v>
      </c>
    </row>
    <row r="39" spans="6:7" x14ac:dyDescent="0.25">
      <c r="F39" s="13">
        <v>1.9</v>
      </c>
      <c r="G39" s="13">
        <f t="shared" si="0"/>
        <v>0.15422481007184383</v>
      </c>
    </row>
    <row r="40" spans="6:7" x14ac:dyDescent="0.25">
      <c r="F40" s="13">
        <v>1.95</v>
      </c>
      <c r="G40" s="13">
        <f t="shared" si="0"/>
        <v>0.13676688779638763</v>
      </c>
    </row>
    <row r="41" spans="6:7" x14ac:dyDescent="0.25">
      <c r="F41" s="13">
        <v>2</v>
      </c>
      <c r="G41" s="13">
        <f t="shared" si="0"/>
        <v>0.12121425981846241</v>
      </c>
    </row>
    <row r="42" spans="6:7" x14ac:dyDescent="0.25">
      <c r="F42" s="13">
        <v>2.0499999999999998</v>
      </c>
      <c r="G42" s="13">
        <f t="shared" si="0"/>
        <v>0.10738085867988394</v>
      </c>
    </row>
    <row r="43" spans="6:7" x14ac:dyDescent="0.25">
      <c r="F43" s="13">
        <v>2.1</v>
      </c>
      <c r="G43" s="13">
        <f t="shared" si="0"/>
        <v>9.5093152020297833E-2</v>
      </c>
    </row>
    <row r="44" spans="6:7" x14ac:dyDescent="0.25">
      <c r="F44" s="13">
        <v>2.15</v>
      </c>
      <c r="G44" s="13">
        <f t="shared" si="0"/>
        <v>8.4190804768457056E-2</v>
      </c>
    </row>
    <row r="45" spans="6:7" x14ac:dyDescent="0.25">
      <c r="F45" s="13">
        <v>2.2000000000000002</v>
      </c>
      <c r="G45" s="13">
        <f t="shared" si="0"/>
        <v>7.4526809417729392E-2</v>
      </c>
    </row>
    <row r="46" spans="6:7" x14ac:dyDescent="0.25">
      <c r="F46" s="13">
        <v>2.25</v>
      </c>
      <c r="G46" s="13">
        <f t="shared" si="0"/>
        <v>6.5967235927600898E-2</v>
      </c>
    </row>
    <row r="47" spans="6:7" x14ac:dyDescent="0.25">
      <c r="F47" s="13">
        <v>2.2999999999999998</v>
      </c>
      <c r="G47" s="13">
        <f t="shared" si="0"/>
        <v>5.8390719457880561E-2</v>
      </c>
    </row>
    <row r="48" spans="6:7" x14ac:dyDescent="0.25">
      <c r="F48" s="13">
        <v>2.35</v>
      </c>
      <c r="G48" s="13">
        <f t="shared" si="0"/>
        <v>5.1687776851801981E-2</v>
      </c>
    </row>
    <row r="49" spans="6:7" x14ac:dyDescent="0.25">
      <c r="F49" s="13">
        <v>2.4</v>
      </c>
      <c r="G49" s="13">
        <f t="shared" si="0"/>
        <v>4.5760020740527547E-2</v>
      </c>
    </row>
    <row r="50" spans="6:7" x14ac:dyDescent="0.25">
      <c r="F50" s="13">
        <v>2.4500000000000002</v>
      </c>
      <c r="G50" s="13">
        <f t="shared" si="0"/>
        <v>4.0519322552214278E-2</v>
      </c>
    </row>
    <row r="51" spans="6:7" x14ac:dyDescent="0.25">
      <c r="F51" s="13">
        <v>2.5</v>
      </c>
      <c r="G51" s="13">
        <f t="shared" si="0"/>
        <v>3.5886961834947023E-2</v>
      </c>
    </row>
    <row r="52" spans="6:7" x14ac:dyDescent="0.25">
      <c r="F52" s="13">
        <v>2.5499999999999998</v>
      </c>
      <c r="G52" s="13">
        <f t="shared" si="0"/>
        <v>3.1792788483208184E-2</v>
      </c>
    </row>
    <row r="53" spans="6:7" x14ac:dyDescent="0.25">
      <c r="F53" s="13">
        <v>2.6</v>
      </c>
      <c r="G53" s="13">
        <f t="shared" si="0"/>
        <v>2.8174416117339771E-2</v>
      </c>
    </row>
    <row r="54" spans="6:7" x14ac:dyDescent="0.25">
      <c r="F54" s="13">
        <v>2.65</v>
      </c>
      <c r="G54" s="13">
        <f t="shared" si="0"/>
        <v>2.4976458515718489E-2</v>
      </c>
    </row>
    <row r="55" spans="6:7" x14ac:dyDescent="0.25">
      <c r="F55" s="13">
        <v>2.7</v>
      </c>
      <c r="G55" s="13">
        <f t="shared" si="0"/>
        <v>2.2149816231396901E-2</v>
      </c>
    </row>
    <row r="56" spans="6:7" x14ac:dyDescent="0.25">
      <c r="F56" s="13">
        <v>2.75</v>
      </c>
      <c r="G56" s="13">
        <f t="shared" si="0"/>
        <v>1.9651017001801999E-2</v>
      </c>
    </row>
    <row r="57" spans="6:7" x14ac:dyDescent="0.25">
      <c r="F57" s="13">
        <v>2.8</v>
      </c>
      <c r="G57" s="13">
        <f t="shared" si="0"/>
        <v>1.7441611007230694E-2</v>
      </c>
    </row>
    <row r="58" spans="6:7" x14ac:dyDescent="0.25">
      <c r="F58" s="13">
        <v>2.85</v>
      </c>
      <c r="G58" s="13">
        <f t="shared" si="0"/>
        <v>1.548762023003784E-2</v>
      </c>
    </row>
    <row r="59" spans="6:7" x14ac:dyDescent="0.25">
      <c r="F59" s="13">
        <v>2.9</v>
      </c>
      <c r="G59" s="13">
        <f t="shared" si="0"/>
        <v>1.375903993478156E-2</v>
      </c>
    </row>
    <row r="60" spans="6:7" x14ac:dyDescent="0.25">
      <c r="F60" s="13">
        <v>2.95</v>
      </c>
      <c r="G60" s="13">
        <f t="shared" si="0"/>
        <v>1.2229389490185328E-2</v>
      </c>
    </row>
    <row r="61" spans="6:7" x14ac:dyDescent="0.25">
      <c r="F61" s="13">
        <v>3</v>
      </c>
      <c r="G61" s="13">
        <f t="shared" si="0"/>
        <v>1.0875309276622586E-2</v>
      </c>
    </row>
    <row r="62" spans="6:7" x14ac:dyDescent="0.25">
      <c r="F62" s="13">
        <v>3.05</v>
      </c>
      <c r="G62" s="13">
        <f t="shared" si="0"/>
        <v>9.6762001822678686E-3</v>
      </c>
    </row>
    <row r="63" spans="6:7" x14ac:dyDescent="0.25">
      <c r="F63" s="13">
        <v>3.1</v>
      </c>
      <c r="G63" s="13">
        <f t="shared" si="0"/>
        <v>8.6139021208861011E-3</v>
      </c>
    </row>
    <row r="64" spans="6:7" x14ac:dyDescent="0.25">
      <c r="F64" s="13">
        <v>3.15</v>
      </c>
      <c r="G64" s="13">
        <f t="shared" si="0"/>
        <v>7.6724080537634532E-3</v>
      </c>
    </row>
    <row r="65" spans="6:7" x14ac:dyDescent="0.25">
      <c r="F65" s="13">
        <v>3.2</v>
      </c>
      <c r="G65" s="13">
        <f t="shared" si="0"/>
        <v>6.837610129043774E-3</v>
      </c>
    </row>
    <row r="66" spans="6:7" x14ac:dyDescent="0.25">
      <c r="F66" s="13">
        <v>3.25</v>
      </c>
      <c r="G66" s="13">
        <f t="shared" si="0"/>
        <v>6.0970747348708821E-3</v>
      </c>
    </row>
    <row r="67" spans="6:7" x14ac:dyDescent="0.25">
      <c r="F67" s="13">
        <v>3.3</v>
      </c>
      <c r="G67" s="13">
        <f t="shared" ref="G67:G101" si="1">_xlfn.F.DIST(F67,$B$2,$B$3,FALSE)</f>
        <v>5.4398434768451074E-3</v>
      </c>
    </row>
    <row r="68" spans="6:7" x14ac:dyDescent="0.25">
      <c r="F68" s="13">
        <v>3.35</v>
      </c>
      <c r="G68" s="13">
        <f t="shared" si="1"/>
        <v>4.8562573197680255E-3</v>
      </c>
    </row>
    <row r="69" spans="6:7" x14ac:dyDescent="0.25">
      <c r="F69" s="13">
        <v>3.4</v>
      </c>
      <c r="G69" s="13">
        <f t="shared" si="1"/>
        <v>4.337801367290223E-3</v>
      </c>
    </row>
    <row r="70" spans="6:7" x14ac:dyDescent="0.25">
      <c r="F70" s="13">
        <v>3.45</v>
      </c>
      <c r="G70" s="13">
        <f t="shared" si="1"/>
        <v>3.8769679830774947E-3</v>
      </c>
    </row>
    <row r="71" spans="6:7" x14ac:dyDescent="0.25">
      <c r="F71" s="13">
        <v>3.5</v>
      </c>
      <c r="G71" s="13">
        <f t="shared" si="1"/>
        <v>3.4671361782150061E-3</v>
      </c>
    </row>
    <row r="72" spans="6:7" x14ac:dyDescent="0.25">
      <c r="F72" s="13">
        <v>3.55</v>
      </c>
      <c r="G72" s="13">
        <f t="shared" si="1"/>
        <v>3.1024653984048451E-3</v>
      </c>
    </row>
    <row r="73" spans="6:7" x14ac:dyDescent="0.25">
      <c r="F73" s="13">
        <v>3.6</v>
      </c>
      <c r="G73" s="13">
        <f t="shared" si="1"/>
        <v>2.7778020391240202E-3</v>
      </c>
    </row>
    <row r="74" spans="6:7" x14ac:dyDescent="0.25">
      <c r="F74" s="13">
        <v>3.65</v>
      </c>
      <c r="G74" s="13">
        <f t="shared" si="1"/>
        <v>2.4885971963487471E-3</v>
      </c>
    </row>
    <row r="75" spans="6:7" x14ac:dyDescent="0.25">
      <c r="F75" s="13">
        <v>3.7</v>
      </c>
      <c r="G75" s="13">
        <f t="shared" si="1"/>
        <v>2.2308343244973067E-3</v>
      </c>
    </row>
    <row r="76" spans="6:7" x14ac:dyDescent="0.25">
      <c r="F76" s="13">
        <v>3.75</v>
      </c>
      <c r="G76" s="13">
        <f t="shared" si="1"/>
        <v>2.0009656221802309E-3</v>
      </c>
    </row>
    <row r="77" spans="6:7" x14ac:dyDescent="0.25">
      <c r="F77" s="13">
        <v>3.8</v>
      </c>
      <c r="G77" s="13">
        <f t="shared" si="1"/>
        <v>1.7958561007922083E-3</v>
      </c>
    </row>
    <row r="78" spans="6:7" x14ac:dyDescent="0.25">
      <c r="F78" s="13">
        <v>3.85</v>
      </c>
      <c r="G78" s="13">
        <f t="shared" si="1"/>
        <v>1.6127344117649253E-3</v>
      </c>
    </row>
    <row r="79" spans="6:7" x14ac:dyDescent="0.25">
      <c r="F79" s="13">
        <v>3.9</v>
      </c>
      <c r="G79" s="13">
        <f t="shared" si="1"/>
        <v>1.4491496163780702E-3</v>
      </c>
    </row>
    <row r="80" spans="6:7" x14ac:dyDescent="0.25">
      <c r="F80" s="13">
        <v>3.95</v>
      </c>
      <c r="G80" s="13">
        <f t="shared" si="1"/>
        <v>1.3029331784056009E-3</v>
      </c>
    </row>
    <row r="81" spans="6:7" x14ac:dyDescent="0.25">
      <c r="F81" s="13">
        <v>4</v>
      </c>
      <c r="G81" s="13">
        <f t="shared" si="1"/>
        <v>1.1721655455744517E-3</v>
      </c>
    </row>
    <row r="82" spans="6:7" x14ac:dyDescent="0.25">
      <c r="F82" s="13">
        <v>4.05</v>
      </c>
      <c r="G82" s="13">
        <f t="shared" si="1"/>
        <v>1.0551467618306E-3</v>
      </c>
    </row>
    <row r="83" spans="6:7" x14ac:dyDescent="0.25">
      <c r="F83" s="13">
        <v>4.0999999999999996</v>
      </c>
      <c r="G83" s="13">
        <f t="shared" si="1"/>
        <v>9.5037061969475425E-4</v>
      </c>
    </row>
    <row r="84" spans="6:7" x14ac:dyDescent="0.25">
      <c r="F84" s="13">
        <v>4.1500000000000004</v>
      </c>
      <c r="G84" s="13">
        <f t="shared" si="1"/>
        <v>8.5650192144281329E-4</v>
      </c>
    </row>
    <row r="85" spans="6:7" x14ac:dyDescent="0.25">
      <c r="F85" s="13">
        <v>4.2</v>
      </c>
      <c r="G85" s="13">
        <f t="shared" si="1"/>
        <v>7.7235647029816302E-4</v>
      </c>
    </row>
    <row r="86" spans="6:7" x14ac:dyDescent="0.25">
      <c r="F86" s="13">
        <v>4.25</v>
      </c>
      <c r="G86" s="13">
        <f t="shared" si="1"/>
        <v>6.9688345903578337E-4</v>
      </c>
    </row>
    <row r="87" spans="6:7" x14ac:dyDescent="0.25">
      <c r="F87" s="13">
        <v>4.3</v>
      </c>
      <c r="G87" s="13">
        <f t="shared" si="1"/>
        <v>6.2914996407122115E-4</v>
      </c>
    </row>
    <row r="88" spans="6:7" x14ac:dyDescent="0.25">
      <c r="F88" s="13">
        <v>4.3499999999999996</v>
      </c>
      <c r="G88" s="13">
        <f t="shared" si="1"/>
        <v>5.6832728886984827E-4</v>
      </c>
    </row>
    <row r="89" spans="6:7" x14ac:dyDescent="0.25">
      <c r="F89" s="13">
        <v>4.4000000000000004</v>
      </c>
      <c r="G89" s="13">
        <f t="shared" si="1"/>
        <v>5.1367893193258129E-4</v>
      </c>
    </row>
    <row r="90" spans="6:7" x14ac:dyDescent="0.25">
      <c r="F90" s="13">
        <v>4.45</v>
      </c>
      <c r="G90" s="13">
        <f t="shared" si="1"/>
        <v>4.6454998220210228E-4</v>
      </c>
    </row>
    <row r="91" spans="6:7" x14ac:dyDescent="0.25">
      <c r="F91" s="13">
        <v>4.5</v>
      </c>
      <c r="G91" s="13">
        <f t="shared" si="1"/>
        <v>4.2035776894291059E-4</v>
      </c>
    </row>
    <row r="92" spans="6:7" x14ac:dyDescent="0.25">
      <c r="F92" s="13">
        <v>4.55</v>
      </c>
      <c r="G92" s="13">
        <f t="shared" si="1"/>
        <v>3.8058361438445183E-4</v>
      </c>
    </row>
    <row r="93" spans="6:7" x14ac:dyDescent="0.25">
      <c r="F93" s="13">
        <v>4.5999999999999996</v>
      </c>
      <c r="G93" s="13">
        <f t="shared" si="1"/>
        <v>3.4476555603717824E-4</v>
      </c>
    </row>
    <row r="94" spans="6:7" x14ac:dyDescent="0.25">
      <c r="F94" s="13">
        <v>4.6500000000000004</v>
      </c>
      <c r="G94" s="13">
        <f t="shared" si="1"/>
        <v>3.1249192191512624E-4</v>
      </c>
    </row>
    <row r="95" spans="6:7" x14ac:dyDescent="0.25">
      <c r="F95" s="13">
        <v>4.7</v>
      </c>
      <c r="G95" s="13">
        <f t="shared" si="1"/>
        <v>2.8339565620585721E-4</v>
      </c>
    </row>
    <row r="96" spans="6:7" x14ac:dyDescent="0.25">
      <c r="F96" s="13">
        <v>4.75</v>
      </c>
      <c r="G96" s="13">
        <f t="shared" si="1"/>
        <v>2.571493054669887E-4</v>
      </c>
    </row>
    <row r="97" spans="6:7" x14ac:dyDescent="0.25">
      <c r="F97" s="13">
        <v>4.8</v>
      </c>
      <c r="G97" s="13">
        <f t="shared" si="1"/>
        <v>2.334605864161997E-4</v>
      </c>
    </row>
    <row r="98" spans="6:7" x14ac:dyDescent="0.25">
      <c r="F98" s="13">
        <v>4.8499999999999996</v>
      </c>
      <c r="G98" s="13">
        <f t="shared" si="1"/>
        <v>2.1206846601012897E-4</v>
      </c>
    </row>
    <row r="99" spans="6:7" x14ac:dyDescent="0.25">
      <c r="F99" s="13">
        <v>4.9000000000000004</v>
      </c>
      <c r="G99" s="13">
        <f t="shared" si="1"/>
        <v>1.9273969294553479E-4</v>
      </c>
    </row>
    <row r="100" spans="6:7" x14ac:dyDescent="0.25">
      <c r="F100" s="13">
        <v>4.95</v>
      </c>
      <c r="G100" s="13">
        <f t="shared" si="1"/>
        <v>1.752657271112506E-4</v>
      </c>
    </row>
    <row r="101" spans="6:7" x14ac:dyDescent="0.25">
      <c r="F101" s="13">
        <v>5</v>
      </c>
      <c r="G101" s="13">
        <f t="shared" si="1"/>
        <v>1.5946002000155759E-4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77C9E-4CBB-4486-B96F-73D9EE54D9BA}">
  <dimension ref="A1:H102"/>
  <sheetViews>
    <sheetView showGridLines="0" zoomScale="90" zoomScaleNormal="90" workbookViewId="0"/>
  </sheetViews>
  <sheetFormatPr defaultRowHeight="15" x14ac:dyDescent="0.25"/>
  <cols>
    <col min="1" max="1" width="17.7109375" style="11" customWidth="1"/>
    <col min="2" max="2" width="9.140625" style="11"/>
    <col min="3" max="5" width="22.7109375" style="11" customWidth="1"/>
    <col min="6" max="16384" width="9.140625" style="11"/>
  </cols>
  <sheetData>
    <row r="1" spans="1:8" x14ac:dyDescent="0.25">
      <c r="A1" s="10" t="s">
        <v>140</v>
      </c>
      <c r="C1" s="10" t="s">
        <v>142</v>
      </c>
      <c r="D1" s="10" t="s">
        <v>29</v>
      </c>
      <c r="E1" s="31"/>
      <c r="G1" s="30" t="s">
        <v>108</v>
      </c>
      <c r="H1" s="30" t="s">
        <v>141</v>
      </c>
    </row>
    <row r="2" spans="1:8" x14ac:dyDescent="0.25">
      <c r="A2" s="12">
        <v>102</v>
      </c>
      <c r="C2" s="10" t="s">
        <v>140</v>
      </c>
      <c r="D2" s="13">
        <f>AVERAGE(A2:A41)</f>
        <v>104.075</v>
      </c>
      <c r="E2" s="32"/>
      <c r="G2" s="13">
        <v>-5</v>
      </c>
      <c r="H2" s="13">
        <f>_xlfn.NORM.S.DIST(G2,FALSE)</f>
        <v>1.4867195147342977E-6</v>
      </c>
    </row>
    <row r="3" spans="1:8" x14ac:dyDescent="0.25">
      <c r="A3" s="12">
        <v>107</v>
      </c>
      <c r="G3" s="13">
        <v>-4.9000000000000004</v>
      </c>
      <c r="H3" s="13">
        <f t="shared" ref="H3:H66" si="0">_xlfn.NORM.S.DIST(G3,FALSE)</f>
        <v>2.4389607458933522E-6</v>
      </c>
    </row>
    <row r="4" spans="1:8" x14ac:dyDescent="0.25">
      <c r="A4" s="12">
        <v>100</v>
      </c>
      <c r="C4" s="62" t="s">
        <v>144</v>
      </c>
      <c r="D4" s="62" t="s">
        <v>29</v>
      </c>
      <c r="E4" s="62" t="s">
        <v>54</v>
      </c>
      <c r="G4" s="13">
        <v>-4.8</v>
      </c>
      <c r="H4" s="13">
        <f t="shared" si="0"/>
        <v>3.9612990910320753E-6</v>
      </c>
    </row>
    <row r="5" spans="1:8" x14ac:dyDescent="0.25">
      <c r="A5" s="12">
        <v>101</v>
      </c>
      <c r="C5" s="62" t="s">
        <v>140</v>
      </c>
      <c r="D5" s="13">
        <v>100</v>
      </c>
      <c r="E5" s="13">
        <v>12</v>
      </c>
      <c r="G5" s="13">
        <v>-4.7</v>
      </c>
      <c r="H5" s="13">
        <f t="shared" si="0"/>
        <v>6.3698251788670899E-6</v>
      </c>
    </row>
    <row r="6" spans="1:8" x14ac:dyDescent="0.25">
      <c r="A6" s="12">
        <v>106</v>
      </c>
      <c r="G6" s="13">
        <v>-4.5999999999999996</v>
      </c>
      <c r="H6" s="13">
        <f t="shared" si="0"/>
        <v>1.0140852065486758E-5</v>
      </c>
    </row>
    <row r="7" spans="1:8" x14ac:dyDescent="0.25">
      <c r="A7" s="12">
        <v>100</v>
      </c>
      <c r="C7" s="14" t="s">
        <v>37</v>
      </c>
      <c r="D7" s="15" t="s">
        <v>143</v>
      </c>
      <c r="G7" s="13">
        <v>-4.5</v>
      </c>
      <c r="H7" s="13">
        <f t="shared" si="0"/>
        <v>1.5983741106905475E-5</v>
      </c>
    </row>
    <row r="8" spans="1:8" x14ac:dyDescent="0.25">
      <c r="A8" s="12">
        <v>105</v>
      </c>
      <c r="C8" s="14" t="s">
        <v>38</v>
      </c>
      <c r="D8" s="15" t="s">
        <v>145</v>
      </c>
      <c r="G8" s="13">
        <v>-4.4000000000000004</v>
      </c>
      <c r="H8" s="13">
        <f t="shared" si="0"/>
        <v>2.4942471290053535E-5</v>
      </c>
    </row>
    <row r="9" spans="1:8" x14ac:dyDescent="0.25">
      <c r="A9" s="12">
        <v>106</v>
      </c>
      <c r="G9" s="13">
        <v>-4.3</v>
      </c>
      <c r="H9" s="13">
        <f t="shared" si="0"/>
        <v>3.8535196742087129E-5</v>
      </c>
    </row>
    <row r="10" spans="1:8" x14ac:dyDescent="0.25">
      <c r="A10" s="12">
        <v>99</v>
      </c>
      <c r="C10" s="16" t="s">
        <v>146</v>
      </c>
      <c r="D10" s="63">
        <f>(D2-D5)/(E5/SQRT(40))</f>
        <v>2.1477135775310257</v>
      </c>
      <c r="G10" s="13">
        <v>-4.2</v>
      </c>
      <c r="H10" s="13">
        <f t="shared" si="0"/>
        <v>5.8943067756539855E-5</v>
      </c>
    </row>
    <row r="11" spans="1:8" x14ac:dyDescent="0.25">
      <c r="A11" s="12">
        <v>108</v>
      </c>
      <c r="C11" s="16" t="s">
        <v>148</v>
      </c>
      <c r="D11" s="63">
        <f>1-_xlfn.NORM.S.DIST(D10,TRUE)</f>
        <v>1.5868258044011041E-2</v>
      </c>
      <c r="G11" s="13">
        <v>-4.0999999999999996</v>
      </c>
      <c r="H11" s="13">
        <f t="shared" si="0"/>
        <v>8.9261657177132928E-5</v>
      </c>
    </row>
    <row r="12" spans="1:8" x14ac:dyDescent="0.25">
      <c r="A12" s="12">
        <v>110</v>
      </c>
      <c r="G12" s="13">
        <v>-4</v>
      </c>
      <c r="H12" s="13">
        <f t="shared" si="0"/>
        <v>1.3383022576488537E-4</v>
      </c>
    </row>
    <row r="13" spans="1:8" x14ac:dyDescent="0.25">
      <c r="A13" s="12">
        <v>109</v>
      </c>
      <c r="C13" s="16" t="s">
        <v>34</v>
      </c>
      <c r="D13" s="17">
        <v>0.05</v>
      </c>
      <c r="G13" s="13">
        <v>-3.9</v>
      </c>
      <c r="H13" s="13">
        <f t="shared" si="0"/>
        <v>1.9865547139277272E-4</v>
      </c>
    </row>
    <row r="14" spans="1:8" x14ac:dyDescent="0.25">
      <c r="A14" s="12">
        <v>101</v>
      </c>
      <c r="G14" s="13">
        <v>-3.8</v>
      </c>
      <c r="H14" s="13">
        <f t="shared" si="0"/>
        <v>2.9194692579146027E-4</v>
      </c>
    </row>
    <row r="15" spans="1:8" x14ac:dyDescent="0.25">
      <c r="A15" s="12">
        <v>104</v>
      </c>
      <c r="C15" s="18" t="s">
        <v>147</v>
      </c>
      <c r="D15" s="64">
        <f>_xlfn.NORM.S.INV(0.95)</f>
        <v>1.6448536269514715</v>
      </c>
      <c r="G15" s="13">
        <v>-3.7</v>
      </c>
      <c r="H15" s="13">
        <f t="shared" si="0"/>
        <v>4.2478027055075143E-4</v>
      </c>
    </row>
    <row r="16" spans="1:8" x14ac:dyDescent="0.25">
      <c r="A16" s="12">
        <v>105</v>
      </c>
      <c r="G16" s="13">
        <v>-3.6</v>
      </c>
      <c r="H16" s="13">
        <f t="shared" si="0"/>
        <v>6.119019301137719E-4</v>
      </c>
    </row>
    <row r="17" spans="1:8" x14ac:dyDescent="0.25">
      <c r="A17" s="12">
        <v>97</v>
      </c>
      <c r="G17" s="13">
        <v>-3.5</v>
      </c>
      <c r="H17" s="13">
        <f t="shared" si="0"/>
        <v>8.7268269504576015E-4</v>
      </c>
    </row>
    <row r="18" spans="1:8" x14ac:dyDescent="0.25">
      <c r="A18" s="12">
        <v>101</v>
      </c>
      <c r="C18" s="156" t="s">
        <v>221</v>
      </c>
      <c r="D18" s="156"/>
      <c r="G18" s="13">
        <v>-3.4</v>
      </c>
      <c r="H18" s="13">
        <f t="shared" si="0"/>
        <v>1.2322191684730199E-3</v>
      </c>
    </row>
    <row r="19" spans="1:8" x14ac:dyDescent="0.25">
      <c r="A19" s="12">
        <v>100</v>
      </c>
      <c r="C19" s="156"/>
      <c r="D19" s="156"/>
      <c r="G19" s="13">
        <v>-3.3</v>
      </c>
      <c r="H19" s="13">
        <f t="shared" si="0"/>
        <v>1.7225689390536812E-3</v>
      </c>
    </row>
    <row r="20" spans="1:8" x14ac:dyDescent="0.25">
      <c r="A20" s="12">
        <v>99</v>
      </c>
      <c r="C20" s="156"/>
      <c r="D20" s="156"/>
      <c r="G20" s="13">
        <v>-3.2</v>
      </c>
      <c r="H20" s="13">
        <f t="shared" si="0"/>
        <v>2.3840882014648404E-3</v>
      </c>
    </row>
    <row r="21" spans="1:8" x14ac:dyDescent="0.25">
      <c r="A21" s="12">
        <v>106</v>
      </c>
      <c r="C21" s="156"/>
      <c r="D21" s="156"/>
      <c r="G21" s="13">
        <v>-3.1</v>
      </c>
      <c r="H21" s="13">
        <f t="shared" si="0"/>
        <v>3.2668190561999182E-3</v>
      </c>
    </row>
    <row r="22" spans="1:8" x14ac:dyDescent="0.25">
      <c r="A22" s="12">
        <v>107</v>
      </c>
      <c r="C22" s="20"/>
      <c r="D22" s="20"/>
      <c r="G22" s="13">
        <v>-3</v>
      </c>
      <c r="H22" s="13">
        <f t="shared" si="0"/>
        <v>4.4318484119380075E-3</v>
      </c>
    </row>
    <row r="23" spans="1:8" x14ac:dyDescent="0.25">
      <c r="A23" s="12">
        <v>102</v>
      </c>
      <c r="C23" s="20"/>
      <c r="D23" s="20"/>
      <c r="G23" s="13">
        <v>-2.9</v>
      </c>
      <c r="H23" s="13">
        <f t="shared" si="0"/>
        <v>5.9525324197758538E-3</v>
      </c>
    </row>
    <row r="24" spans="1:8" x14ac:dyDescent="0.25">
      <c r="A24" s="12">
        <v>108</v>
      </c>
      <c r="G24" s="13">
        <v>-2.8</v>
      </c>
      <c r="H24" s="13">
        <f t="shared" si="0"/>
        <v>7.9154515829799686E-3</v>
      </c>
    </row>
    <row r="25" spans="1:8" x14ac:dyDescent="0.25">
      <c r="A25" s="12">
        <v>100</v>
      </c>
      <c r="G25" s="13">
        <v>-2.7</v>
      </c>
      <c r="H25" s="13">
        <f t="shared" si="0"/>
        <v>1.0420934814422592E-2</v>
      </c>
    </row>
    <row r="26" spans="1:8" x14ac:dyDescent="0.25">
      <c r="A26" s="12">
        <v>109</v>
      </c>
      <c r="G26" s="13">
        <v>-2.6</v>
      </c>
      <c r="H26" s="13">
        <f t="shared" si="0"/>
        <v>1.3582969233685613E-2</v>
      </c>
    </row>
    <row r="27" spans="1:8" x14ac:dyDescent="0.25">
      <c r="A27" s="12">
        <v>114</v>
      </c>
      <c r="G27" s="13">
        <v>-2.5</v>
      </c>
      <c r="H27" s="13">
        <f t="shared" si="0"/>
        <v>1.752830049356854E-2</v>
      </c>
    </row>
    <row r="28" spans="1:8" x14ac:dyDescent="0.25">
      <c r="A28" s="12">
        <v>106</v>
      </c>
      <c r="G28" s="13">
        <v>-2.4</v>
      </c>
      <c r="H28" s="13">
        <f t="shared" si="0"/>
        <v>2.2394530294842899E-2</v>
      </c>
    </row>
    <row r="29" spans="1:8" x14ac:dyDescent="0.25">
      <c r="A29" s="12">
        <v>99</v>
      </c>
      <c r="G29" s="13">
        <v>-2.2999999999999998</v>
      </c>
      <c r="H29" s="13">
        <f t="shared" si="0"/>
        <v>2.8327037741601186E-2</v>
      </c>
    </row>
    <row r="30" spans="1:8" x14ac:dyDescent="0.25">
      <c r="A30" s="12">
        <v>102</v>
      </c>
      <c r="G30" s="13">
        <v>-2.2000000000000002</v>
      </c>
      <c r="H30" s="13">
        <f t="shared" si="0"/>
        <v>3.5474592846231424E-2</v>
      </c>
    </row>
    <row r="31" spans="1:8" x14ac:dyDescent="0.25">
      <c r="A31" s="12">
        <v>107</v>
      </c>
      <c r="G31" s="13">
        <v>-2.1</v>
      </c>
      <c r="H31" s="13">
        <f t="shared" si="0"/>
        <v>4.3983595980427191E-2</v>
      </c>
    </row>
    <row r="32" spans="1:8" x14ac:dyDescent="0.25">
      <c r="A32" s="12">
        <v>115</v>
      </c>
      <c r="G32" s="13">
        <v>-2</v>
      </c>
      <c r="H32" s="13">
        <f t="shared" si="0"/>
        <v>5.3990966513188063E-2</v>
      </c>
    </row>
    <row r="33" spans="1:8" x14ac:dyDescent="0.25">
      <c r="A33" s="12">
        <v>103</v>
      </c>
      <c r="G33" s="13">
        <v>-1.9</v>
      </c>
      <c r="H33" s="13">
        <f t="shared" si="0"/>
        <v>6.5615814774676595E-2</v>
      </c>
    </row>
    <row r="34" spans="1:8" x14ac:dyDescent="0.25">
      <c r="A34" s="12">
        <v>107</v>
      </c>
      <c r="G34" s="13">
        <v>-1.8</v>
      </c>
      <c r="H34" s="13">
        <f t="shared" si="0"/>
        <v>7.8950158300894149E-2</v>
      </c>
    </row>
    <row r="35" spans="1:8" x14ac:dyDescent="0.25">
      <c r="A35" s="12">
        <v>110</v>
      </c>
      <c r="G35" s="13">
        <v>-1.7</v>
      </c>
      <c r="H35" s="13">
        <f t="shared" si="0"/>
        <v>9.4049077376886947E-2</v>
      </c>
    </row>
    <row r="36" spans="1:8" x14ac:dyDescent="0.25">
      <c r="A36" s="12">
        <v>100</v>
      </c>
      <c r="G36" s="13">
        <v>-1.6</v>
      </c>
      <c r="H36" s="13">
        <f t="shared" si="0"/>
        <v>0.11092083467945554</v>
      </c>
    </row>
    <row r="37" spans="1:8" x14ac:dyDescent="0.25">
      <c r="A37" s="12">
        <v>102</v>
      </c>
      <c r="G37" s="13">
        <v>-1.5</v>
      </c>
      <c r="H37" s="13">
        <f t="shared" si="0"/>
        <v>0.12951759566589174</v>
      </c>
    </row>
    <row r="38" spans="1:8" x14ac:dyDescent="0.25">
      <c r="A38" s="12">
        <v>103</v>
      </c>
      <c r="G38" s="13">
        <v>-1.4</v>
      </c>
      <c r="H38" s="13">
        <f t="shared" si="0"/>
        <v>0.14972746563574488</v>
      </c>
    </row>
    <row r="39" spans="1:8" x14ac:dyDescent="0.25">
      <c r="A39" s="12">
        <v>100</v>
      </c>
      <c r="G39" s="13">
        <v>-1.3</v>
      </c>
      <c r="H39" s="13">
        <f t="shared" si="0"/>
        <v>0.17136859204780736</v>
      </c>
    </row>
    <row r="40" spans="1:8" x14ac:dyDescent="0.25">
      <c r="A40" s="12">
        <v>99</v>
      </c>
      <c r="G40" s="13">
        <v>-1.2</v>
      </c>
      <c r="H40" s="13">
        <f t="shared" si="0"/>
        <v>0.19418605498321295</v>
      </c>
    </row>
    <row r="41" spans="1:8" x14ac:dyDescent="0.25">
      <c r="A41" s="12">
        <v>104</v>
      </c>
      <c r="G41" s="13">
        <v>-1.1000000000000001</v>
      </c>
      <c r="H41" s="13">
        <f t="shared" si="0"/>
        <v>0.21785217703255053</v>
      </c>
    </row>
    <row r="42" spans="1:8" x14ac:dyDescent="0.25">
      <c r="G42" s="13">
        <v>-1</v>
      </c>
      <c r="H42" s="13">
        <f t="shared" si="0"/>
        <v>0.24197072451914337</v>
      </c>
    </row>
    <row r="43" spans="1:8" x14ac:dyDescent="0.25">
      <c r="G43" s="13">
        <v>-0.9</v>
      </c>
      <c r="H43" s="13">
        <f t="shared" si="0"/>
        <v>0.26608524989875482</v>
      </c>
    </row>
    <row r="44" spans="1:8" x14ac:dyDescent="0.25">
      <c r="G44" s="13">
        <v>-0.8</v>
      </c>
      <c r="H44" s="13">
        <f t="shared" si="0"/>
        <v>0.28969155276148273</v>
      </c>
    </row>
    <row r="45" spans="1:8" x14ac:dyDescent="0.25">
      <c r="G45" s="13">
        <v>-0.7</v>
      </c>
      <c r="H45" s="13">
        <f t="shared" si="0"/>
        <v>0.31225393336676127</v>
      </c>
    </row>
    <row r="46" spans="1:8" x14ac:dyDescent="0.25">
      <c r="G46" s="13">
        <v>-0.6</v>
      </c>
      <c r="H46" s="13">
        <f t="shared" si="0"/>
        <v>0.33322460289179967</v>
      </c>
    </row>
    <row r="47" spans="1:8" x14ac:dyDescent="0.25">
      <c r="G47" s="13">
        <v>-0.5</v>
      </c>
      <c r="H47" s="13">
        <f t="shared" si="0"/>
        <v>0.35206532676429952</v>
      </c>
    </row>
    <row r="48" spans="1:8" x14ac:dyDescent="0.25">
      <c r="G48" s="13">
        <v>-0.4</v>
      </c>
      <c r="H48" s="13">
        <f t="shared" si="0"/>
        <v>0.36827014030332333</v>
      </c>
    </row>
    <row r="49" spans="7:8" x14ac:dyDescent="0.25">
      <c r="G49" s="13">
        <v>-0.3</v>
      </c>
      <c r="H49" s="13">
        <f t="shared" si="0"/>
        <v>0.38138781546052414</v>
      </c>
    </row>
    <row r="50" spans="7:8" x14ac:dyDescent="0.25">
      <c r="G50" s="13">
        <v>-0.2</v>
      </c>
      <c r="H50" s="13">
        <f t="shared" si="0"/>
        <v>0.39104269397545588</v>
      </c>
    </row>
    <row r="51" spans="7:8" x14ac:dyDescent="0.25">
      <c r="G51" s="13">
        <v>-0.1</v>
      </c>
      <c r="H51" s="13">
        <f t="shared" si="0"/>
        <v>0.39695254747701181</v>
      </c>
    </row>
    <row r="52" spans="7:8" x14ac:dyDescent="0.25">
      <c r="G52" s="13">
        <v>0</v>
      </c>
      <c r="H52" s="13">
        <f t="shared" si="0"/>
        <v>0.3989422804014327</v>
      </c>
    </row>
    <row r="53" spans="7:8" x14ac:dyDescent="0.25">
      <c r="G53" s="13">
        <v>0.1</v>
      </c>
      <c r="H53" s="13">
        <f t="shared" si="0"/>
        <v>0.39695254747701181</v>
      </c>
    </row>
    <row r="54" spans="7:8" x14ac:dyDescent="0.25">
      <c r="G54" s="13">
        <v>0.2</v>
      </c>
      <c r="H54" s="13">
        <f t="shared" si="0"/>
        <v>0.39104269397545588</v>
      </c>
    </row>
    <row r="55" spans="7:8" x14ac:dyDescent="0.25">
      <c r="G55" s="13">
        <v>0.3</v>
      </c>
      <c r="H55" s="13">
        <f t="shared" si="0"/>
        <v>0.38138781546052414</v>
      </c>
    </row>
    <row r="56" spans="7:8" x14ac:dyDescent="0.25">
      <c r="G56" s="13">
        <v>0.4</v>
      </c>
      <c r="H56" s="13">
        <f t="shared" si="0"/>
        <v>0.36827014030332333</v>
      </c>
    </row>
    <row r="57" spans="7:8" x14ac:dyDescent="0.25">
      <c r="G57" s="13">
        <v>0.5</v>
      </c>
      <c r="H57" s="13">
        <f t="shared" si="0"/>
        <v>0.35206532676429952</v>
      </c>
    </row>
    <row r="58" spans="7:8" x14ac:dyDescent="0.25">
      <c r="G58" s="13">
        <v>0.6</v>
      </c>
      <c r="H58" s="13">
        <f t="shared" si="0"/>
        <v>0.33322460289179967</v>
      </c>
    </row>
    <row r="59" spans="7:8" x14ac:dyDescent="0.25">
      <c r="G59" s="13">
        <v>0.7</v>
      </c>
      <c r="H59" s="13">
        <f t="shared" si="0"/>
        <v>0.31225393336676127</v>
      </c>
    </row>
    <row r="60" spans="7:8" x14ac:dyDescent="0.25">
      <c r="G60" s="13">
        <v>0.8</v>
      </c>
      <c r="H60" s="13">
        <f t="shared" si="0"/>
        <v>0.28969155276148273</v>
      </c>
    </row>
    <row r="61" spans="7:8" x14ac:dyDescent="0.25">
      <c r="G61" s="13">
        <v>0.9</v>
      </c>
      <c r="H61" s="13">
        <f t="shared" si="0"/>
        <v>0.26608524989875482</v>
      </c>
    </row>
    <row r="62" spans="7:8" x14ac:dyDescent="0.25">
      <c r="G62" s="13">
        <v>1</v>
      </c>
      <c r="H62" s="13">
        <f t="shared" si="0"/>
        <v>0.24197072451914337</v>
      </c>
    </row>
    <row r="63" spans="7:8" x14ac:dyDescent="0.25">
      <c r="G63" s="13">
        <v>1.1000000000000001</v>
      </c>
      <c r="H63" s="13">
        <f t="shared" si="0"/>
        <v>0.21785217703255053</v>
      </c>
    </row>
    <row r="64" spans="7:8" x14ac:dyDescent="0.25">
      <c r="G64" s="13">
        <v>1.2</v>
      </c>
      <c r="H64" s="13">
        <f t="shared" si="0"/>
        <v>0.19418605498321295</v>
      </c>
    </row>
    <row r="65" spans="7:8" x14ac:dyDescent="0.25">
      <c r="G65" s="13">
        <v>1.3</v>
      </c>
      <c r="H65" s="13">
        <f t="shared" si="0"/>
        <v>0.17136859204780736</v>
      </c>
    </row>
    <row r="66" spans="7:8" x14ac:dyDescent="0.25">
      <c r="G66" s="13">
        <v>1.4</v>
      </c>
      <c r="H66" s="13">
        <f t="shared" si="0"/>
        <v>0.14972746563574488</v>
      </c>
    </row>
    <row r="67" spans="7:8" x14ac:dyDescent="0.25">
      <c r="G67" s="13">
        <v>1.5</v>
      </c>
      <c r="H67" s="13">
        <f t="shared" ref="H67:H102" si="1">_xlfn.NORM.S.DIST(G67,FALSE)</f>
        <v>0.12951759566589174</v>
      </c>
    </row>
    <row r="68" spans="7:8" x14ac:dyDescent="0.25">
      <c r="G68" s="13">
        <v>1.6</v>
      </c>
      <c r="H68" s="13">
        <f t="shared" si="1"/>
        <v>0.11092083467945554</v>
      </c>
    </row>
    <row r="69" spans="7:8" x14ac:dyDescent="0.25">
      <c r="G69" s="13">
        <v>1.7</v>
      </c>
      <c r="H69" s="13">
        <f t="shared" si="1"/>
        <v>9.4049077376886947E-2</v>
      </c>
    </row>
    <row r="70" spans="7:8" x14ac:dyDescent="0.25">
      <c r="G70" s="13">
        <v>1.8</v>
      </c>
      <c r="H70" s="13">
        <f t="shared" si="1"/>
        <v>7.8950158300894149E-2</v>
      </c>
    </row>
    <row r="71" spans="7:8" x14ac:dyDescent="0.25">
      <c r="G71" s="13">
        <v>1.9</v>
      </c>
      <c r="H71" s="13">
        <f t="shared" si="1"/>
        <v>6.5615814774676595E-2</v>
      </c>
    </row>
    <row r="72" spans="7:8" x14ac:dyDescent="0.25">
      <c r="G72" s="13">
        <v>2</v>
      </c>
      <c r="H72" s="13">
        <f t="shared" si="1"/>
        <v>5.3990966513188063E-2</v>
      </c>
    </row>
    <row r="73" spans="7:8" x14ac:dyDescent="0.25">
      <c r="G73" s="13">
        <v>2.1</v>
      </c>
      <c r="H73" s="13">
        <f t="shared" si="1"/>
        <v>4.3983595980427191E-2</v>
      </c>
    </row>
    <row r="74" spans="7:8" x14ac:dyDescent="0.25">
      <c r="G74" s="13">
        <v>2.2000000000000002</v>
      </c>
      <c r="H74" s="13">
        <f t="shared" si="1"/>
        <v>3.5474592846231424E-2</v>
      </c>
    </row>
    <row r="75" spans="7:8" x14ac:dyDescent="0.25">
      <c r="G75" s="13">
        <v>2.2999999999999998</v>
      </c>
      <c r="H75" s="13">
        <f t="shared" si="1"/>
        <v>2.8327037741601186E-2</v>
      </c>
    </row>
    <row r="76" spans="7:8" x14ac:dyDescent="0.25">
      <c r="G76" s="13">
        <v>2.4</v>
      </c>
      <c r="H76" s="13">
        <f t="shared" si="1"/>
        <v>2.2394530294842899E-2</v>
      </c>
    </row>
    <row r="77" spans="7:8" x14ac:dyDescent="0.25">
      <c r="G77" s="13">
        <v>2.5</v>
      </c>
      <c r="H77" s="13">
        <f t="shared" si="1"/>
        <v>1.752830049356854E-2</v>
      </c>
    </row>
    <row r="78" spans="7:8" x14ac:dyDescent="0.25">
      <c r="G78" s="13">
        <v>2.6</v>
      </c>
      <c r="H78" s="13">
        <f t="shared" si="1"/>
        <v>1.3582969233685613E-2</v>
      </c>
    </row>
    <row r="79" spans="7:8" x14ac:dyDescent="0.25">
      <c r="G79" s="13">
        <v>2.7</v>
      </c>
      <c r="H79" s="13">
        <f t="shared" si="1"/>
        <v>1.0420934814422592E-2</v>
      </c>
    </row>
    <row r="80" spans="7:8" x14ac:dyDescent="0.25">
      <c r="G80" s="13">
        <v>2.8</v>
      </c>
      <c r="H80" s="13">
        <f t="shared" si="1"/>
        <v>7.9154515829799686E-3</v>
      </c>
    </row>
    <row r="81" spans="7:8" x14ac:dyDescent="0.25">
      <c r="G81" s="13">
        <v>2.9</v>
      </c>
      <c r="H81" s="13">
        <f t="shared" si="1"/>
        <v>5.9525324197758538E-3</v>
      </c>
    </row>
    <row r="82" spans="7:8" x14ac:dyDescent="0.25">
      <c r="G82" s="13">
        <v>3</v>
      </c>
      <c r="H82" s="13">
        <f t="shared" si="1"/>
        <v>4.4318484119380075E-3</v>
      </c>
    </row>
    <row r="83" spans="7:8" x14ac:dyDescent="0.25">
      <c r="G83" s="13">
        <v>3.1</v>
      </c>
      <c r="H83" s="13">
        <f t="shared" si="1"/>
        <v>3.2668190561999182E-3</v>
      </c>
    </row>
    <row r="84" spans="7:8" x14ac:dyDescent="0.25">
      <c r="G84" s="13">
        <v>3.2</v>
      </c>
      <c r="H84" s="13">
        <f t="shared" si="1"/>
        <v>2.3840882014648404E-3</v>
      </c>
    </row>
    <row r="85" spans="7:8" x14ac:dyDescent="0.25">
      <c r="G85" s="13">
        <v>3.3</v>
      </c>
      <c r="H85" s="13">
        <f t="shared" si="1"/>
        <v>1.7225689390536812E-3</v>
      </c>
    </row>
    <row r="86" spans="7:8" x14ac:dyDescent="0.25">
      <c r="G86" s="13">
        <v>3.4</v>
      </c>
      <c r="H86" s="13">
        <f t="shared" si="1"/>
        <v>1.2322191684730199E-3</v>
      </c>
    </row>
    <row r="87" spans="7:8" x14ac:dyDescent="0.25">
      <c r="G87" s="13">
        <v>3.5</v>
      </c>
      <c r="H87" s="13">
        <f t="shared" si="1"/>
        <v>8.7268269504576015E-4</v>
      </c>
    </row>
    <row r="88" spans="7:8" x14ac:dyDescent="0.25">
      <c r="G88" s="13">
        <v>3.6</v>
      </c>
      <c r="H88" s="13">
        <f t="shared" si="1"/>
        <v>6.119019301137719E-4</v>
      </c>
    </row>
    <row r="89" spans="7:8" x14ac:dyDescent="0.25">
      <c r="G89" s="13">
        <v>3.7</v>
      </c>
      <c r="H89" s="13">
        <f t="shared" si="1"/>
        <v>4.2478027055075143E-4</v>
      </c>
    </row>
    <row r="90" spans="7:8" x14ac:dyDescent="0.25">
      <c r="G90" s="13">
        <v>3.8</v>
      </c>
      <c r="H90" s="13">
        <f t="shared" si="1"/>
        <v>2.9194692579146027E-4</v>
      </c>
    </row>
    <row r="91" spans="7:8" x14ac:dyDescent="0.25">
      <c r="G91" s="13">
        <v>3.9</v>
      </c>
      <c r="H91" s="13">
        <f t="shared" si="1"/>
        <v>1.9865547139277272E-4</v>
      </c>
    </row>
    <row r="92" spans="7:8" x14ac:dyDescent="0.25">
      <c r="G92" s="13">
        <v>4</v>
      </c>
      <c r="H92" s="13">
        <f t="shared" si="1"/>
        <v>1.3383022576488537E-4</v>
      </c>
    </row>
    <row r="93" spans="7:8" x14ac:dyDescent="0.25">
      <c r="G93" s="13">
        <v>4.0999999999999996</v>
      </c>
      <c r="H93" s="13">
        <f t="shared" si="1"/>
        <v>8.9261657177132928E-5</v>
      </c>
    </row>
    <row r="94" spans="7:8" x14ac:dyDescent="0.25">
      <c r="G94" s="13">
        <v>4.2</v>
      </c>
      <c r="H94" s="13">
        <f t="shared" si="1"/>
        <v>5.8943067756539855E-5</v>
      </c>
    </row>
    <row r="95" spans="7:8" x14ac:dyDescent="0.25">
      <c r="G95" s="13">
        <v>4.3</v>
      </c>
      <c r="H95" s="13">
        <f t="shared" si="1"/>
        <v>3.8535196742087129E-5</v>
      </c>
    </row>
    <row r="96" spans="7:8" x14ac:dyDescent="0.25">
      <c r="G96" s="13">
        <v>4.4000000000000004</v>
      </c>
      <c r="H96" s="13">
        <f t="shared" si="1"/>
        <v>2.4942471290053535E-5</v>
      </c>
    </row>
    <row r="97" spans="7:8" x14ac:dyDescent="0.25">
      <c r="G97" s="13">
        <v>4.5</v>
      </c>
      <c r="H97" s="13">
        <f t="shared" si="1"/>
        <v>1.5983741106905475E-5</v>
      </c>
    </row>
    <row r="98" spans="7:8" x14ac:dyDescent="0.25">
      <c r="G98" s="13">
        <v>4.5999999999999996</v>
      </c>
      <c r="H98" s="13">
        <f t="shared" si="1"/>
        <v>1.0140852065486758E-5</v>
      </c>
    </row>
    <row r="99" spans="7:8" x14ac:dyDescent="0.25">
      <c r="G99" s="13">
        <v>4.7</v>
      </c>
      <c r="H99" s="13">
        <f t="shared" si="1"/>
        <v>6.3698251788670899E-6</v>
      </c>
    </row>
    <row r="100" spans="7:8" x14ac:dyDescent="0.25">
      <c r="G100" s="13">
        <v>4.8</v>
      </c>
      <c r="H100" s="13">
        <f t="shared" si="1"/>
        <v>3.9612990910320753E-6</v>
      </c>
    </row>
    <row r="101" spans="7:8" x14ac:dyDescent="0.25">
      <c r="G101" s="13">
        <v>4.9000000000000004</v>
      </c>
      <c r="H101" s="13">
        <f t="shared" si="1"/>
        <v>2.4389607458933522E-6</v>
      </c>
    </row>
    <row r="102" spans="7:8" x14ac:dyDescent="0.25">
      <c r="G102" s="13">
        <v>5</v>
      </c>
      <c r="H102" s="13">
        <f t="shared" si="1"/>
        <v>1.4867195147342977E-6</v>
      </c>
    </row>
  </sheetData>
  <mergeCells count="1">
    <mergeCell ref="C18:D2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4376-1D20-463C-9137-FAB2C22FA740}">
  <dimension ref="A1:U102"/>
  <sheetViews>
    <sheetView showGridLines="0" zoomScale="90" zoomScaleNormal="90" workbookViewId="0"/>
  </sheetViews>
  <sheetFormatPr defaultRowHeight="15" x14ac:dyDescent="0.25"/>
  <cols>
    <col min="1" max="2" width="22.7109375" style="11" customWidth="1"/>
    <col min="3" max="16384" width="9.140625" style="11"/>
  </cols>
  <sheetData>
    <row r="1" spans="1:21" x14ac:dyDescent="0.25">
      <c r="A1" s="10" t="s">
        <v>213</v>
      </c>
      <c r="B1" s="10" t="s">
        <v>215</v>
      </c>
      <c r="E1" s="30" t="s">
        <v>134</v>
      </c>
      <c r="F1" s="30" t="s">
        <v>219</v>
      </c>
      <c r="P1" s="144" t="s">
        <v>264</v>
      </c>
      <c r="Q1" s="145"/>
      <c r="R1" s="145"/>
      <c r="S1" s="145"/>
      <c r="T1" s="145"/>
      <c r="U1" s="146"/>
    </row>
    <row r="2" spans="1:21" x14ac:dyDescent="0.25">
      <c r="A2" s="10" t="s">
        <v>214</v>
      </c>
      <c r="B2" s="21">
        <v>25</v>
      </c>
      <c r="E2" s="13">
        <v>-5</v>
      </c>
      <c r="F2" s="13">
        <f>_xlfn.T.DIST(E2,24,FALSE)</f>
        <v>5.2671658362090631E-5</v>
      </c>
      <c r="P2" s="147"/>
      <c r="Q2" s="148"/>
      <c r="R2" s="148"/>
      <c r="S2" s="148"/>
      <c r="T2" s="148"/>
      <c r="U2" s="149"/>
    </row>
    <row r="3" spans="1:21" x14ac:dyDescent="0.25">
      <c r="A3" s="10" t="s">
        <v>29</v>
      </c>
      <c r="B3" s="57">
        <v>16.808</v>
      </c>
      <c r="E3" s="13">
        <v>-4.9000000000000004</v>
      </c>
      <c r="F3" s="13">
        <f t="shared" ref="F3:F66" si="0">_xlfn.T.DIST(E3,24,FALSE)</f>
        <v>6.7980079483886916E-5</v>
      </c>
      <c r="P3" s="147"/>
      <c r="Q3" s="148"/>
      <c r="R3" s="148"/>
      <c r="S3" s="148"/>
      <c r="T3" s="148"/>
      <c r="U3" s="149"/>
    </row>
    <row r="4" spans="1:21" x14ac:dyDescent="0.25">
      <c r="A4" s="10" t="s">
        <v>54</v>
      </c>
      <c r="B4" s="57">
        <v>2.7330000000000001</v>
      </c>
      <c r="E4" s="13">
        <v>-4.8</v>
      </c>
      <c r="F4" s="13">
        <f t="shared" si="0"/>
        <v>8.773776745425236E-5</v>
      </c>
      <c r="P4" s="147"/>
      <c r="Q4" s="148"/>
      <c r="R4" s="148"/>
      <c r="S4" s="148"/>
      <c r="T4" s="148"/>
      <c r="U4" s="149"/>
    </row>
    <row r="5" spans="1:21" x14ac:dyDescent="0.25">
      <c r="E5" s="13">
        <v>-4.7</v>
      </c>
      <c r="F5" s="13">
        <f t="shared" si="0"/>
        <v>1.1322547233945233E-4</v>
      </c>
      <c r="P5" s="147"/>
      <c r="Q5" s="148"/>
      <c r="R5" s="148"/>
      <c r="S5" s="148"/>
      <c r="T5" s="148"/>
      <c r="U5" s="149"/>
    </row>
    <row r="6" spans="1:21" x14ac:dyDescent="0.25">
      <c r="A6" s="62" t="s">
        <v>144</v>
      </c>
      <c r="B6" s="62" t="s">
        <v>29</v>
      </c>
      <c r="E6" s="13">
        <v>-4.5999999999999996</v>
      </c>
      <c r="F6" s="13">
        <f t="shared" si="0"/>
        <v>1.4608439523534675E-4</v>
      </c>
      <c r="P6" s="150"/>
      <c r="Q6" s="151"/>
      <c r="R6" s="151"/>
      <c r="S6" s="151"/>
      <c r="T6" s="151"/>
      <c r="U6" s="152"/>
    </row>
    <row r="7" spans="1:21" x14ac:dyDescent="0.25">
      <c r="A7" s="62" t="s">
        <v>212</v>
      </c>
      <c r="B7" s="13">
        <v>18</v>
      </c>
      <c r="E7" s="13">
        <v>-4.5</v>
      </c>
      <c r="F7" s="13">
        <f t="shared" si="0"/>
        <v>1.8841351629347321E-4</v>
      </c>
    </row>
    <row r="8" spans="1:21" x14ac:dyDescent="0.25">
      <c r="E8" s="13">
        <v>-4.4000000000000004</v>
      </c>
      <c r="F8" s="13">
        <f t="shared" si="0"/>
        <v>2.4289136387486981E-4</v>
      </c>
    </row>
    <row r="9" spans="1:21" x14ac:dyDescent="0.25">
      <c r="A9" s="14" t="s">
        <v>37</v>
      </c>
      <c r="B9" s="15" t="s">
        <v>143</v>
      </c>
      <c r="E9" s="13">
        <v>-4.3</v>
      </c>
      <c r="F9" s="13">
        <f t="shared" si="0"/>
        <v>3.1292758898924828E-4</v>
      </c>
    </row>
    <row r="10" spans="1:21" x14ac:dyDescent="0.25">
      <c r="A10" s="14" t="s">
        <v>38</v>
      </c>
      <c r="B10" s="15" t="s">
        <v>216</v>
      </c>
      <c r="E10" s="13">
        <v>-4.2</v>
      </c>
      <c r="F10" s="13">
        <f t="shared" si="0"/>
        <v>4.0285056971879862E-4</v>
      </c>
    </row>
    <row r="11" spans="1:21" x14ac:dyDescent="0.25">
      <c r="E11" s="13">
        <v>-4.0999999999999996</v>
      </c>
      <c r="F11" s="13">
        <f t="shared" si="0"/>
        <v>5.1813813549870429E-4</v>
      </c>
    </row>
    <row r="12" spans="1:21" x14ac:dyDescent="0.25">
      <c r="A12" s="16" t="s">
        <v>93</v>
      </c>
      <c r="B12" s="63">
        <f>(B3-B7)/(B4/SQRT(B2))</f>
        <v>-2.1807537504573733</v>
      </c>
      <c r="E12" s="13">
        <v>-4</v>
      </c>
      <c r="F12" s="13">
        <f t="shared" si="0"/>
        <v>6.6569930117954101E-4</v>
      </c>
    </row>
    <row r="13" spans="1:21" x14ac:dyDescent="0.25">
      <c r="A13" s="16" t="s">
        <v>217</v>
      </c>
      <c r="B13" s="58">
        <f>_xlfn.T.DIST(B12,24,TRUE)</f>
        <v>1.9617183706940364E-2</v>
      </c>
      <c r="E13" s="13">
        <v>-3.9</v>
      </c>
      <c r="F13" s="13">
        <f t="shared" si="0"/>
        <v>8.5421553211713645E-4</v>
      </c>
    </row>
    <row r="14" spans="1:21" x14ac:dyDescent="0.25">
      <c r="E14" s="13">
        <v>-3.8</v>
      </c>
      <c r="F14" s="13">
        <f t="shared" si="0"/>
        <v>1.0945503777529081E-3</v>
      </c>
    </row>
    <row r="15" spans="1:21" x14ac:dyDescent="0.25">
      <c r="A15" s="16" t="s">
        <v>34</v>
      </c>
      <c r="B15" s="17">
        <v>0.01</v>
      </c>
      <c r="E15" s="13">
        <v>-3.7</v>
      </c>
      <c r="F15" s="13">
        <f t="shared" si="0"/>
        <v>1.4002361140689329E-3</v>
      </c>
    </row>
    <row r="16" spans="1:21" x14ac:dyDescent="0.25">
      <c r="E16" s="13">
        <v>-3.6</v>
      </c>
      <c r="F16" s="13">
        <f t="shared" si="0"/>
        <v>1.7880450668853064E-3</v>
      </c>
    </row>
    <row r="17" spans="1:6" x14ac:dyDescent="0.25">
      <c r="A17" s="18" t="s">
        <v>218</v>
      </c>
      <c r="B17" s="64">
        <f>_xlfn.T.INV(B15,24)</f>
        <v>-2.492159473157757</v>
      </c>
      <c r="E17" s="13">
        <v>-3.5</v>
      </c>
      <c r="F17" s="13">
        <f t="shared" si="0"/>
        <v>2.278651225223945E-3</v>
      </c>
    </row>
    <row r="18" spans="1:6" x14ac:dyDescent="0.25">
      <c r="E18" s="13">
        <v>-3.4</v>
      </c>
      <c r="F18" s="13">
        <f t="shared" si="0"/>
        <v>2.8973842094988079E-3</v>
      </c>
    </row>
    <row r="19" spans="1:6" x14ac:dyDescent="0.25">
      <c r="E19" s="13">
        <v>-3.3</v>
      </c>
      <c r="F19" s="13">
        <f t="shared" si="0"/>
        <v>3.6750721911118066E-3</v>
      </c>
    </row>
    <row r="20" spans="1:6" x14ac:dyDescent="0.25">
      <c r="A20" s="156" t="s">
        <v>220</v>
      </c>
      <c r="B20" s="156"/>
      <c r="E20" s="13">
        <v>-3.2</v>
      </c>
      <c r="F20" s="13">
        <f t="shared" si="0"/>
        <v>4.6489624951230879E-3</v>
      </c>
    </row>
    <row r="21" spans="1:6" x14ac:dyDescent="0.25">
      <c r="A21" s="156"/>
      <c r="B21" s="156"/>
      <c r="E21" s="13">
        <v>-3.1</v>
      </c>
      <c r="F21" s="13">
        <f t="shared" si="0"/>
        <v>5.8636978944924213E-3</v>
      </c>
    </row>
    <row r="22" spans="1:6" x14ac:dyDescent="0.25">
      <c r="A22" s="156"/>
      <c r="B22" s="156"/>
      <c r="E22" s="13">
        <v>-3</v>
      </c>
      <c r="F22" s="13">
        <f t="shared" si="0"/>
        <v>7.3723126395608537E-3</v>
      </c>
    </row>
    <row r="23" spans="1:6" x14ac:dyDescent="0.25">
      <c r="A23" s="156"/>
      <c r="B23" s="156"/>
      <c r="E23" s="13">
        <v>-2.9</v>
      </c>
      <c r="F23" s="13">
        <f t="shared" si="0"/>
        <v>9.2371948497963364E-3</v>
      </c>
    </row>
    <row r="24" spans="1:6" x14ac:dyDescent="0.25">
      <c r="A24" s="20"/>
      <c r="B24" s="20"/>
      <c r="E24" s="13">
        <v>-2.8</v>
      </c>
      <c r="F24" s="13">
        <f t="shared" si="0"/>
        <v>1.1530941114839786E-2</v>
      </c>
    </row>
    <row r="25" spans="1:6" x14ac:dyDescent="0.25">
      <c r="A25" s="20"/>
      <c r="B25" s="20"/>
      <c r="E25" s="13">
        <v>-2.7</v>
      </c>
      <c r="F25" s="13">
        <f t="shared" si="0"/>
        <v>1.4337005548725856E-2</v>
      </c>
    </row>
    <row r="26" spans="1:6" x14ac:dyDescent="0.25">
      <c r="E26" s="13">
        <v>-2.6</v>
      </c>
      <c r="F26" s="13">
        <f t="shared" si="0"/>
        <v>1.7750020277715928E-2</v>
      </c>
    </row>
    <row r="27" spans="1:6" x14ac:dyDescent="0.25">
      <c r="E27" s="13">
        <v>-2.5</v>
      </c>
      <c r="F27" s="13">
        <f t="shared" si="0"/>
        <v>2.1875639373835187E-2</v>
      </c>
    </row>
    <row r="28" spans="1:6" x14ac:dyDescent="0.25">
      <c r="E28" s="13">
        <v>-2.4</v>
      </c>
      <c r="F28" s="13">
        <f t="shared" si="0"/>
        <v>2.6829736458164076E-2</v>
      </c>
    </row>
    <row r="29" spans="1:6" x14ac:dyDescent="0.25">
      <c r="E29" s="13">
        <v>-2.2999999999999998</v>
      </c>
      <c r="F29" s="13">
        <f t="shared" si="0"/>
        <v>3.2736771466667973E-2</v>
      </c>
    </row>
    <row r="30" spans="1:6" x14ac:dyDescent="0.25">
      <c r="E30" s="13">
        <v>-2.2000000000000002</v>
      </c>
      <c r="F30" s="13">
        <f t="shared" si="0"/>
        <v>3.9727139195741924E-2</v>
      </c>
    </row>
    <row r="31" spans="1:6" x14ac:dyDescent="0.25">
      <c r="E31" s="13">
        <v>-2.1</v>
      </c>
      <c r="F31" s="13">
        <f t="shared" si="0"/>
        <v>4.7933326687391524E-2</v>
      </c>
    </row>
    <row r="32" spans="1:6" x14ac:dyDescent="0.25">
      <c r="E32" s="13">
        <v>-2</v>
      </c>
      <c r="F32" s="13">
        <f t="shared" si="0"/>
        <v>5.7484743899123496E-2</v>
      </c>
    </row>
    <row r="33" spans="5:6" x14ac:dyDescent="0.25">
      <c r="E33" s="13">
        <v>-1.9</v>
      </c>
      <c r="F33" s="13">
        <f t="shared" si="0"/>
        <v>6.8501157437247717E-2</v>
      </c>
    </row>
    <row r="34" spans="5:6" x14ac:dyDescent="0.25">
      <c r="E34" s="13">
        <v>-1.8</v>
      </c>
      <c r="F34" s="13">
        <f t="shared" si="0"/>
        <v>8.1084753753954561E-2</v>
      </c>
    </row>
    <row r="35" spans="5:6" x14ac:dyDescent="0.25">
      <c r="E35" s="13">
        <v>-1.7</v>
      </c>
      <c r="F35" s="13">
        <f t="shared" si="0"/>
        <v>9.5310986543298615E-2</v>
      </c>
    </row>
    <row r="36" spans="5:6" x14ac:dyDescent="0.25">
      <c r="E36" s="13">
        <v>-1.6</v>
      </c>
      <c r="F36" s="13">
        <f t="shared" si="0"/>
        <v>0.1112185193305458</v>
      </c>
    </row>
    <row r="37" spans="5:6" x14ac:dyDescent="0.25">
      <c r="E37" s="13">
        <v>-1.5</v>
      </c>
      <c r="F37" s="13">
        <f t="shared" si="0"/>
        <v>0.12879874931359533</v>
      </c>
    </row>
    <row r="38" spans="5:6" x14ac:dyDescent="0.25">
      <c r="E38" s="13">
        <v>-1.4</v>
      </c>
      <c r="F38" s="13">
        <f t="shared" si="0"/>
        <v>0.14798557730102335</v>
      </c>
    </row>
    <row r="39" spans="5:6" x14ac:dyDescent="0.25">
      <c r="E39" s="13">
        <v>-1.3</v>
      </c>
      <c r="F39" s="13">
        <f t="shared" si="0"/>
        <v>0.16864625023800159</v>
      </c>
    </row>
    <row r="40" spans="5:6" x14ac:dyDescent="0.25">
      <c r="E40" s="13">
        <v>-1.2</v>
      </c>
      <c r="F40" s="13">
        <f t="shared" si="0"/>
        <v>0.19057422198334129</v>
      </c>
    </row>
    <row r="41" spans="5:6" x14ac:dyDescent="0.25">
      <c r="E41" s="13">
        <v>-1.1000000000000001</v>
      </c>
      <c r="F41" s="13">
        <f t="shared" si="0"/>
        <v>0.21348502747727868</v>
      </c>
    </row>
    <row r="42" spans="5:6" x14ac:dyDescent="0.25">
      <c r="E42" s="13">
        <v>-1</v>
      </c>
      <c r="F42" s="13">
        <f t="shared" si="0"/>
        <v>0.23701611993911284</v>
      </c>
    </row>
    <row r="43" spans="5:6" x14ac:dyDescent="0.25">
      <c r="E43" s="13">
        <v>-0.9</v>
      </c>
      <c r="F43" s="13">
        <f t="shared" si="0"/>
        <v>0.26073146162557914</v>
      </c>
    </row>
    <row r="44" spans="5:6" x14ac:dyDescent="0.25">
      <c r="E44" s="13">
        <v>-0.8</v>
      </c>
      <c r="F44" s="13">
        <f t="shared" si="0"/>
        <v>0.28413137890690265</v>
      </c>
    </row>
    <row r="45" spans="5:6" x14ac:dyDescent="0.25">
      <c r="E45" s="13">
        <v>-0.7</v>
      </c>
      <c r="F45" s="13">
        <f t="shared" si="0"/>
        <v>0.30666780068205007</v>
      </c>
    </row>
    <row r="46" spans="5:6" x14ac:dyDescent="0.25">
      <c r="E46" s="13">
        <v>-0.6</v>
      </c>
      <c r="F46" s="13">
        <f t="shared" si="0"/>
        <v>0.32776452231144204</v>
      </c>
    </row>
    <row r="47" spans="5:6" x14ac:dyDescent="0.25">
      <c r="E47" s="13">
        <v>-0.5</v>
      </c>
      <c r="F47" s="13">
        <f t="shared" si="0"/>
        <v>0.34684161991748202</v>
      </c>
    </row>
    <row r="48" spans="5:6" x14ac:dyDescent="0.25">
      <c r="E48" s="13">
        <v>-0.4</v>
      </c>
      <c r="F48" s="13">
        <f t="shared" si="0"/>
        <v>0.36334264074730077</v>
      </c>
    </row>
    <row r="49" spans="5:6" x14ac:dyDescent="0.25">
      <c r="E49" s="13">
        <v>-0.3</v>
      </c>
      <c r="F49" s="13">
        <f t="shared" si="0"/>
        <v>0.37676277993616819</v>
      </c>
    </row>
    <row r="50" spans="5:6" x14ac:dyDescent="0.25">
      <c r="E50" s="13">
        <v>-0.2</v>
      </c>
      <c r="F50" s="13">
        <f t="shared" si="0"/>
        <v>0.38667598545546827</v>
      </c>
    </row>
    <row r="51" spans="5:6" x14ac:dyDescent="0.25">
      <c r="E51" s="13">
        <v>-0.1</v>
      </c>
      <c r="F51" s="13">
        <f t="shared" si="0"/>
        <v>0.3927588610289669</v>
      </c>
    </row>
    <row r="52" spans="5:6" x14ac:dyDescent="0.25">
      <c r="E52" s="13">
        <v>0</v>
      </c>
      <c r="F52" s="13">
        <f t="shared" si="0"/>
        <v>0.39480938821349071</v>
      </c>
    </row>
    <row r="53" spans="5:6" x14ac:dyDescent="0.25">
      <c r="E53" s="13">
        <v>0.1</v>
      </c>
      <c r="F53" s="13">
        <f t="shared" si="0"/>
        <v>0.3927588610289669</v>
      </c>
    </row>
    <row r="54" spans="5:6" x14ac:dyDescent="0.25">
      <c r="E54" s="13">
        <v>0.2</v>
      </c>
      <c r="F54" s="13">
        <f t="shared" si="0"/>
        <v>0.38667598545546827</v>
      </c>
    </row>
    <row r="55" spans="5:6" x14ac:dyDescent="0.25">
      <c r="E55" s="13">
        <v>0.3</v>
      </c>
      <c r="F55" s="13">
        <f t="shared" si="0"/>
        <v>0.37676277993616819</v>
      </c>
    </row>
    <row r="56" spans="5:6" x14ac:dyDescent="0.25">
      <c r="E56" s="13">
        <v>0.4</v>
      </c>
      <c r="F56" s="13">
        <f t="shared" si="0"/>
        <v>0.36334264074730077</v>
      </c>
    </row>
    <row r="57" spans="5:6" x14ac:dyDescent="0.25">
      <c r="E57" s="13">
        <v>0.5</v>
      </c>
      <c r="F57" s="13">
        <f t="shared" si="0"/>
        <v>0.34684161991748202</v>
      </c>
    </row>
    <row r="58" spans="5:6" x14ac:dyDescent="0.25">
      <c r="E58" s="13">
        <v>0.6</v>
      </c>
      <c r="F58" s="13">
        <f t="shared" si="0"/>
        <v>0.32776452231144204</v>
      </c>
    </row>
    <row r="59" spans="5:6" x14ac:dyDescent="0.25">
      <c r="E59" s="13">
        <v>0.7</v>
      </c>
      <c r="F59" s="13">
        <f t="shared" si="0"/>
        <v>0.30666780068205007</v>
      </c>
    </row>
    <row r="60" spans="5:6" x14ac:dyDescent="0.25">
      <c r="E60" s="13">
        <v>0.8</v>
      </c>
      <c r="F60" s="13">
        <f t="shared" si="0"/>
        <v>0.28413137890690265</v>
      </c>
    </row>
    <row r="61" spans="5:6" x14ac:dyDescent="0.25">
      <c r="E61" s="13">
        <v>0.9</v>
      </c>
      <c r="F61" s="13">
        <f t="shared" si="0"/>
        <v>0.26073146162557914</v>
      </c>
    </row>
    <row r="62" spans="5:6" x14ac:dyDescent="0.25">
      <c r="E62" s="13">
        <v>1</v>
      </c>
      <c r="F62" s="13">
        <f t="shared" si="0"/>
        <v>0.23701611993911284</v>
      </c>
    </row>
    <row r="63" spans="5:6" x14ac:dyDescent="0.25">
      <c r="E63" s="13">
        <v>1.1000000000000001</v>
      </c>
      <c r="F63" s="13">
        <f t="shared" si="0"/>
        <v>0.21348502747727868</v>
      </c>
    </row>
    <row r="64" spans="5:6" x14ac:dyDescent="0.25">
      <c r="E64" s="13">
        <v>1.2</v>
      </c>
      <c r="F64" s="13">
        <f t="shared" si="0"/>
        <v>0.19057422198334129</v>
      </c>
    </row>
    <row r="65" spans="5:6" x14ac:dyDescent="0.25">
      <c r="E65" s="13">
        <v>1.3</v>
      </c>
      <c r="F65" s="13">
        <f t="shared" si="0"/>
        <v>0.16864625023800159</v>
      </c>
    </row>
    <row r="66" spans="5:6" x14ac:dyDescent="0.25">
      <c r="E66" s="13">
        <v>1.4</v>
      </c>
      <c r="F66" s="13">
        <f t="shared" si="0"/>
        <v>0.14798557730102335</v>
      </c>
    </row>
    <row r="67" spans="5:6" x14ac:dyDescent="0.25">
      <c r="E67" s="13">
        <v>1.5</v>
      </c>
      <c r="F67" s="13">
        <f t="shared" ref="F67:F102" si="1">_xlfn.T.DIST(E67,24,FALSE)</f>
        <v>0.12879874931359533</v>
      </c>
    </row>
    <row r="68" spans="5:6" x14ac:dyDescent="0.25">
      <c r="E68" s="13">
        <v>1.6</v>
      </c>
      <c r="F68" s="13">
        <f t="shared" si="1"/>
        <v>0.1112185193305458</v>
      </c>
    </row>
    <row r="69" spans="5:6" x14ac:dyDescent="0.25">
      <c r="E69" s="13">
        <v>1.7</v>
      </c>
      <c r="F69" s="13">
        <f t="shared" si="1"/>
        <v>9.5310986543298615E-2</v>
      </c>
    </row>
    <row r="70" spans="5:6" x14ac:dyDescent="0.25">
      <c r="E70" s="13">
        <v>1.8</v>
      </c>
      <c r="F70" s="13">
        <f t="shared" si="1"/>
        <v>8.1084753753954561E-2</v>
      </c>
    </row>
    <row r="71" spans="5:6" x14ac:dyDescent="0.25">
      <c r="E71" s="13">
        <v>1.9</v>
      </c>
      <c r="F71" s="13">
        <f t="shared" si="1"/>
        <v>6.8501157437247717E-2</v>
      </c>
    </row>
    <row r="72" spans="5:6" x14ac:dyDescent="0.25">
      <c r="E72" s="13">
        <v>2</v>
      </c>
      <c r="F72" s="13">
        <f t="shared" si="1"/>
        <v>5.7484743899123496E-2</v>
      </c>
    </row>
    <row r="73" spans="5:6" x14ac:dyDescent="0.25">
      <c r="E73" s="13">
        <v>2.1</v>
      </c>
      <c r="F73" s="13">
        <f t="shared" si="1"/>
        <v>4.7933326687391524E-2</v>
      </c>
    </row>
    <row r="74" spans="5:6" x14ac:dyDescent="0.25">
      <c r="E74" s="13">
        <v>2.2000000000000002</v>
      </c>
      <c r="F74" s="13">
        <f t="shared" si="1"/>
        <v>3.9727139195741924E-2</v>
      </c>
    </row>
    <row r="75" spans="5:6" x14ac:dyDescent="0.25">
      <c r="E75" s="13">
        <v>2.2999999999999998</v>
      </c>
      <c r="F75" s="13">
        <f t="shared" si="1"/>
        <v>3.2736771466667973E-2</v>
      </c>
    </row>
    <row r="76" spans="5:6" x14ac:dyDescent="0.25">
      <c r="E76" s="13">
        <v>2.4</v>
      </c>
      <c r="F76" s="13">
        <f t="shared" si="1"/>
        <v>2.6829736458164076E-2</v>
      </c>
    </row>
    <row r="77" spans="5:6" x14ac:dyDescent="0.25">
      <c r="E77" s="13">
        <v>2.5</v>
      </c>
      <c r="F77" s="13">
        <f t="shared" si="1"/>
        <v>2.1875639373835187E-2</v>
      </c>
    </row>
    <row r="78" spans="5:6" x14ac:dyDescent="0.25">
      <c r="E78" s="13">
        <v>2.6</v>
      </c>
      <c r="F78" s="13">
        <f t="shared" si="1"/>
        <v>1.7750020277715928E-2</v>
      </c>
    </row>
    <row r="79" spans="5:6" x14ac:dyDescent="0.25">
      <c r="E79" s="13">
        <v>2.7</v>
      </c>
      <c r="F79" s="13">
        <f t="shared" si="1"/>
        <v>1.4337005548725856E-2</v>
      </c>
    </row>
    <row r="80" spans="5:6" x14ac:dyDescent="0.25">
      <c r="E80" s="13">
        <v>2.8</v>
      </c>
      <c r="F80" s="13">
        <f t="shared" si="1"/>
        <v>1.1530941114839786E-2</v>
      </c>
    </row>
    <row r="81" spans="5:6" x14ac:dyDescent="0.25">
      <c r="E81" s="13">
        <v>2.9</v>
      </c>
      <c r="F81" s="13">
        <f t="shared" si="1"/>
        <v>9.2371948497963364E-3</v>
      </c>
    </row>
    <row r="82" spans="5:6" x14ac:dyDescent="0.25">
      <c r="E82" s="13">
        <v>3</v>
      </c>
      <c r="F82" s="13">
        <f t="shared" si="1"/>
        <v>7.3723126395608537E-3</v>
      </c>
    </row>
    <row r="83" spans="5:6" x14ac:dyDescent="0.25">
      <c r="E83" s="13">
        <v>3.1</v>
      </c>
      <c r="F83" s="13">
        <f t="shared" si="1"/>
        <v>5.8636978944924213E-3</v>
      </c>
    </row>
    <row r="84" spans="5:6" x14ac:dyDescent="0.25">
      <c r="E84" s="13">
        <v>3.2</v>
      </c>
      <c r="F84" s="13">
        <f t="shared" si="1"/>
        <v>4.6489624951230879E-3</v>
      </c>
    </row>
    <row r="85" spans="5:6" x14ac:dyDescent="0.25">
      <c r="E85" s="13">
        <v>3.3</v>
      </c>
      <c r="F85" s="13">
        <f t="shared" si="1"/>
        <v>3.6750721911118066E-3</v>
      </c>
    </row>
    <row r="86" spans="5:6" x14ac:dyDescent="0.25">
      <c r="E86" s="13">
        <v>3.4</v>
      </c>
      <c r="F86" s="13">
        <f t="shared" si="1"/>
        <v>2.8973842094988079E-3</v>
      </c>
    </row>
    <row r="87" spans="5:6" x14ac:dyDescent="0.25">
      <c r="E87" s="13">
        <v>3.5</v>
      </c>
      <c r="F87" s="13">
        <f t="shared" si="1"/>
        <v>2.278651225223945E-3</v>
      </c>
    </row>
    <row r="88" spans="5:6" x14ac:dyDescent="0.25">
      <c r="E88" s="13">
        <v>3.6</v>
      </c>
      <c r="F88" s="13">
        <f t="shared" si="1"/>
        <v>1.7880450668853064E-3</v>
      </c>
    </row>
    <row r="89" spans="5:6" x14ac:dyDescent="0.25">
      <c r="E89" s="13">
        <v>3.7</v>
      </c>
      <c r="F89" s="13">
        <f t="shared" si="1"/>
        <v>1.4002361140689329E-3</v>
      </c>
    </row>
    <row r="90" spans="5:6" x14ac:dyDescent="0.25">
      <c r="E90" s="13">
        <v>3.8</v>
      </c>
      <c r="F90" s="13">
        <f t="shared" si="1"/>
        <v>1.0945503777529081E-3</v>
      </c>
    </row>
    <row r="91" spans="5:6" x14ac:dyDescent="0.25">
      <c r="E91" s="13">
        <v>3.9</v>
      </c>
      <c r="F91" s="13">
        <f t="shared" si="1"/>
        <v>8.5421553211713645E-4</v>
      </c>
    </row>
    <row r="92" spans="5:6" x14ac:dyDescent="0.25">
      <c r="E92" s="13">
        <v>4</v>
      </c>
      <c r="F92" s="13">
        <f t="shared" si="1"/>
        <v>6.6569930117954101E-4</v>
      </c>
    </row>
    <row r="93" spans="5:6" x14ac:dyDescent="0.25">
      <c r="E93" s="13">
        <v>4.0999999999999996</v>
      </c>
      <c r="F93" s="13">
        <f t="shared" si="1"/>
        <v>5.1813813549870429E-4</v>
      </c>
    </row>
    <row r="94" spans="5:6" x14ac:dyDescent="0.25">
      <c r="E94" s="13">
        <v>4.2</v>
      </c>
      <c r="F94" s="13">
        <f t="shared" si="1"/>
        <v>4.0285056971879862E-4</v>
      </c>
    </row>
    <row r="95" spans="5:6" x14ac:dyDescent="0.25">
      <c r="E95" s="13">
        <v>4.3</v>
      </c>
      <c r="F95" s="13">
        <f t="shared" si="1"/>
        <v>3.1292758898924828E-4</v>
      </c>
    </row>
    <row r="96" spans="5:6" x14ac:dyDescent="0.25">
      <c r="E96" s="13">
        <v>4.4000000000000004</v>
      </c>
      <c r="F96" s="13">
        <f t="shared" si="1"/>
        <v>2.4289136387486981E-4</v>
      </c>
    </row>
    <row r="97" spans="5:6" x14ac:dyDescent="0.25">
      <c r="E97" s="13">
        <v>4.5</v>
      </c>
      <c r="F97" s="13">
        <f t="shared" si="1"/>
        <v>1.8841351629347321E-4</v>
      </c>
    </row>
    <row r="98" spans="5:6" x14ac:dyDescent="0.25">
      <c r="E98" s="13">
        <v>4.5999999999999996</v>
      </c>
      <c r="F98" s="13">
        <f t="shared" si="1"/>
        <v>1.4608439523534675E-4</v>
      </c>
    </row>
    <row r="99" spans="5:6" x14ac:dyDescent="0.25">
      <c r="E99" s="13">
        <v>4.7</v>
      </c>
      <c r="F99" s="13">
        <f t="shared" si="1"/>
        <v>1.1322547233945233E-4</v>
      </c>
    </row>
    <row r="100" spans="5:6" x14ac:dyDescent="0.25">
      <c r="E100" s="13">
        <v>4.8</v>
      </c>
      <c r="F100" s="13">
        <f t="shared" si="1"/>
        <v>8.773776745425236E-5</v>
      </c>
    </row>
    <row r="101" spans="5:6" x14ac:dyDescent="0.25">
      <c r="E101" s="13">
        <v>4.9000000000000004</v>
      </c>
      <c r="F101" s="13">
        <f t="shared" si="1"/>
        <v>6.7980079483886916E-5</v>
      </c>
    </row>
    <row r="102" spans="5:6" x14ac:dyDescent="0.25">
      <c r="E102" s="13">
        <v>5</v>
      </c>
      <c r="F102" s="13">
        <f t="shared" si="1"/>
        <v>5.2671658362090631E-5</v>
      </c>
    </row>
  </sheetData>
  <mergeCells count="2">
    <mergeCell ref="A20:B23"/>
    <mergeCell ref="P1:U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74E82-939D-4379-A13D-3BCD6029EEB6}">
  <dimension ref="A1:W51"/>
  <sheetViews>
    <sheetView showGridLines="0" zoomScale="85" zoomScaleNormal="85" workbookViewId="0"/>
  </sheetViews>
  <sheetFormatPr defaultRowHeight="15" x14ac:dyDescent="0.25"/>
  <cols>
    <col min="1" max="4" width="17.7109375" customWidth="1"/>
    <col min="6" max="6" width="9.140625" style="11"/>
    <col min="7" max="7" width="9.140625" style="1"/>
  </cols>
  <sheetData>
    <row r="1" spans="1:23" x14ac:dyDescent="0.25">
      <c r="A1" s="4" t="s">
        <v>167</v>
      </c>
      <c r="B1" s="4" t="s">
        <v>168</v>
      </c>
      <c r="C1" s="4" t="s">
        <v>169</v>
      </c>
      <c r="D1" s="4" t="s">
        <v>178</v>
      </c>
      <c r="F1" s="30" t="s">
        <v>130</v>
      </c>
      <c r="G1" s="2" t="s">
        <v>131</v>
      </c>
      <c r="R1" s="144" t="s">
        <v>264</v>
      </c>
      <c r="S1" s="145"/>
      <c r="T1" s="145"/>
      <c r="U1" s="145"/>
      <c r="V1" s="145"/>
      <c r="W1" s="146"/>
    </row>
    <row r="2" spans="1:23" x14ac:dyDescent="0.25">
      <c r="A2" s="83" t="s">
        <v>170</v>
      </c>
      <c r="B2" s="3">
        <v>35</v>
      </c>
      <c r="C2" s="3">
        <v>30</v>
      </c>
      <c r="D2" s="60">
        <f>((B2-C2)^2)/C2</f>
        <v>0.83333333333333337</v>
      </c>
      <c r="F2" s="85">
        <v>1</v>
      </c>
      <c r="G2" s="60">
        <f>_xlfn.CHISQ.DIST(F2,6,FALSE)</f>
        <v>3.7908166232039596E-2</v>
      </c>
      <c r="R2" s="147"/>
      <c r="S2" s="148"/>
      <c r="T2" s="148"/>
      <c r="U2" s="148"/>
      <c r="V2" s="148"/>
      <c r="W2" s="149"/>
    </row>
    <row r="3" spans="1:23" x14ac:dyDescent="0.25">
      <c r="A3" s="3" t="s">
        <v>171</v>
      </c>
      <c r="B3" s="3">
        <v>24</v>
      </c>
      <c r="C3" s="3">
        <v>30</v>
      </c>
      <c r="D3" s="60">
        <f t="shared" ref="D3:D8" si="0">((B3-C3)^2)/C3</f>
        <v>1.2</v>
      </c>
      <c r="F3" s="85">
        <v>1.5</v>
      </c>
      <c r="G3" s="60">
        <f t="shared" ref="G3:G51" si="1">_xlfn.CHISQ.DIST(F3,6,FALSE)</f>
        <v>6.6426546479205192E-2</v>
      </c>
      <c r="R3" s="147"/>
      <c r="S3" s="148"/>
      <c r="T3" s="148"/>
      <c r="U3" s="148"/>
      <c r="V3" s="148"/>
      <c r="W3" s="149"/>
    </row>
    <row r="4" spans="1:23" x14ac:dyDescent="0.25">
      <c r="A4" s="3" t="s">
        <v>172</v>
      </c>
      <c r="B4" s="3">
        <v>27</v>
      </c>
      <c r="C4" s="3">
        <v>30</v>
      </c>
      <c r="D4" s="60">
        <f t="shared" si="0"/>
        <v>0.3</v>
      </c>
      <c r="F4" s="85">
        <v>2</v>
      </c>
      <c r="G4" s="60">
        <f t="shared" si="1"/>
        <v>9.1969860292860584E-2</v>
      </c>
      <c r="R4" s="147"/>
      <c r="S4" s="148"/>
      <c r="T4" s="148"/>
      <c r="U4" s="148"/>
      <c r="V4" s="148"/>
      <c r="W4" s="149"/>
    </row>
    <row r="5" spans="1:23" x14ac:dyDescent="0.25">
      <c r="A5" s="3" t="s">
        <v>173</v>
      </c>
      <c r="B5" s="3">
        <v>32</v>
      </c>
      <c r="C5" s="3">
        <v>30</v>
      </c>
      <c r="D5" s="60">
        <f t="shared" si="0"/>
        <v>0.13333333333333333</v>
      </c>
      <c r="F5" s="85">
        <v>2.5</v>
      </c>
      <c r="G5" s="60">
        <f t="shared" si="1"/>
        <v>0.1119159362735118</v>
      </c>
      <c r="R5" s="147"/>
      <c r="S5" s="148"/>
      <c r="T5" s="148"/>
      <c r="U5" s="148"/>
      <c r="V5" s="148"/>
      <c r="W5" s="149"/>
    </row>
    <row r="6" spans="1:23" x14ac:dyDescent="0.25">
      <c r="A6" s="3" t="s">
        <v>130</v>
      </c>
      <c r="B6" s="84">
        <v>25</v>
      </c>
      <c r="C6" s="3">
        <v>30</v>
      </c>
      <c r="D6" s="60">
        <f t="shared" si="0"/>
        <v>0.83333333333333337</v>
      </c>
      <c r="F6" s="85">
        <v>3</v>
      </c>
      <c r="G6" s="60">
        <f t="shared" si="1"/>
        <v>0.12551071508349182</v>
      </c>
      <c r="R6" s="150"/>
      <c r="S6" s="151"/>
      <c r="T6" s="151"/>
      <c r="U6" s="151"/>
      <c r="V6" s="151"/>
      <c r="W6" s="152"/>
    </row>
    <row r="7" spans="1:23" x14ac:dyDescent="0.25">
      <c r="A7" s="3" t="s">
        <v>174</v>
      </c>
      <c r="B7" s="84">
        <v>36</v>
      </c>
      <c r="C7" s="3">
        <v>30</v>
      </c>
      <c r="D7" s="60">
        <f t="shared" si="0"/>
        <v>1.2</v>
      </c>
      <c r="F7" s="85">
        <v>3.5</v>
      </c>
      <c r="G7" s="60">
        <f t="shared" si="1"/>
        <v>0.13304567545424711</v>
      </c>
    </row>
    <row r="8" spans="1:23" x14ac:dyDescent="0.25">
      <c r="A8" s="3" t="s">
        <v>175</v>
      </c>
      <c r="B8" s="84">
        <v>31</v>
      </c>
      <c r="C8" s="3">
        <v>30</v>
      </c>
      <c r="D8" s="60">
        <f t="shared" si="0"/>
        <v>3.3333333333333333E-2</v>
      </c>
      <c r="F8" s="85">
        <v>4</v>
      </c>
      <c r="G8" s="60">
        <f t="shared" si="1"/>
        <v>0.13533528323661273</v>
      </c>
    </row>
    <row r="9" spans="1:23" x14ac:dyDescent="0.25">
      <c r="A9" s="157" t="s">
        <v>181</v>
      </c>
      <c r="B9" s="158"/>
      <c r="C9" s="159"/>
      <c r="D9" s="87">
        <f>+SUM(D2:D8)</f>
        <v>4.5333333333333332</v>
      </c>
      <c r="F9" s="85">
        <v>4.5</v>
      </c>
      <c r="G9" s="60">
        <f>_xlfn.CHISQ.DIST(F9,6,FALSE)</f>
        <v>0.13339589358610957</v>
      </c>
    </row>
    <row r="10" spans="1:23" x14ac:dyDescent="0.25">
      <c r="A10" s="160" t="s">
        <v>80</v>
      </c>
      <c r="B10" s="160"/>
      <c r="C10" s="160"/>
      <c r="D10" s="87">
        <f>_xlfn.CHISQ.DIST.RT(D9,6)</f>
        <v>0.60489693274193801</v>
      </c>
      <c r="F10" s="85">
        <v>5</v>
      </c>
      <c r="G10" s="60">
        <f t="shared" si="1"/>
        <v>0.12825781034984188</v>
      </c>
    </row>
    <row r="11" spans="1:23" x14ac:dyDescent="0.25">
      <c r="F11" s="85">
        <v>5.5</v>
      </c>
      <c r="G11" s="60">
        <f t="shared" si="1"/>
        <v>0.12086361259393152</v>
      </c>
    </row>
    <row r="12" spans="1:23" x14ac:dyDescent="0.25">
      <c r="A12" s="14" t="s">
        <v>37</v>
      </c>
      <c r="B12" s="15" t="s">
        <v>176</v>
      </c>
      <c r="F12" s="85">
        <v>6</v>
      </c>
      <c r="G12" s="60">
        <f t="shared" si="1"/>
        <v>0.11202090382769389</v>
      </c>
    </row>
    <row r="13" spans="1:23" x14ac:dyDescent="0.25">
      <c r="A13" s="14" t="s">
        <v>38</v>
      </c>
      <c r="B13" s="15" t="s">
        <v>177</v>
      </c>
      <c r="F13" s="85">
        <v>6.5</v>
      </c>
      <c r="G13" s="60">
        <f t="shared" si="1"/>
        <v>0.10238814255564095</v>
      </c>
    </row>
    <row r="14" spans="1:23" x14ac:dyDescent="0.25">
      <c r="B14" s="1"/>
      <c r="F14" s="85">
        <v>7</v>
      </c>
      <c r="G14" s="60">
        <f t="shared" si="1"/>
        <v>9.2479486730850408E-2</v>
      </c>
    </row>
    <row r="15" spans="1:23" x14ac:dyDescent="0.25">
      <c r="B15" s="1"/>
      <c r="F15" s="85">
        <v>7.5</v>
      </c>
      <c r="G15" s="60">
        <f t="shared" si="1"/>
        <v>8.2679575275032044E-2</v>
      </c>
    </row>
    <row r="16" spans="1:23" x14ac:dyDescent="0.25">
      <c r="A16" s="162" t="s">
        <v>34</v>
      </c>
      <c r="B16" s="162"/>
      <c r="C16" s="17">
        <v>0.05</v>
      </c>
      <c r="F16" s="85">
        <v>8</v>
      </c>
      <c r="G16" s="60">
        <f t="shared" si="1"/>
        <v>7.3262555554936729E-2</v>
      </c>
    </row>
    <row r="17" spans="1:7" x14ac:dyDescent="0.25">
      <c r="B17" s="11"/>
      <c r="C17" s="11"/>
      <c r="F17" s="85">
        <v>8.5</v>
      </c>
      <c r="G17" s="60">
        <f t="shared" si="1"/>
        <v>6.441193124532478E-2</v>
      </c>
    </row>
    <row r="18" spans="1:7" x14ac:dyDescent="0.25">
      <c r="A18" s="163" t="s">
        <v>179</v>
      </c>
      <c r="B18" s="163"/>
      <c r="C18" s="64">
        <f>_xlfn.CHISQ.INV.RT(C16,6)</f>
        <v>12.591587243743978</v>
      </c>
      <c r="F18" s="85">
        <v>9</v>
      </c>
      <c r="G18" s="60">
        <f t="shared" si="1"/>
        <v>5.6239294974851674E-2</v>
      </c>
    </row>
    <row r="19" spans="1:7" x14ac:dyDescent="0.25">
      <c r="F19" s="85">
        <v>9.5</v>
      </c>
      <c r="G19" s="60">
        <f t="shared" si="1"/>
        <v>4.8800968255102335E-2</v>
      </c>
    </row>
    <row r="20" spans="1:7" x14ac:dyDescent="0.25">
      <c r="A20" s="156" t="s">
        <v>180</v>
      </c>
      <c r="B20" s="156"/>
      <c r="C20" s="156"/>
      <c r="F20" s="85">
        <v>10</v>
      </c>
      <c r="G20" s="60">
        <f t="shared" si="1"/>
        <v>4.2112168744284174E-2</v>
      </c>
    </row>
    <row r="21" spans="1:7" ht="15" customHeight="1" x14ac:dyDescent="0.25">
      <c r="A21" s="156"/>
      <c r="B21" s="156"/>
      <c r="C21" s="156"/>
      <c r="D21" s="86"/>
      <c r="F21" s="85">
        <v>10.5</v>
      </c>
      <c r="G21" s="60">
        <f t="shared" si="1"/>
        <v>3.6158681469359244E-2</v>
      </c>
    </row>
    <row r="22" spans="1:7" ht="15" customHeight="1" x14ac:dyDescent="0.25">
      <c r="A22" s="156"/>
      <c r="B22" s="156"/>
      <c r="C22" s="156"/>
      <c r="D22" s="86"/>
      <c r="F22" s="85">
        <v>11</v>
      </c>
      <c r="G22" s="60">
        <f t="shared" si="1"/>
        <v>3.0906209003384512E-2</v>
      </c>
    </row>
    <row r="23" spans="1:7" x14ac:dyDescent="0.25">
      <c r="A23" s="156"/>
      <c r="B23" s="156"/>
      <c r="C23" s="156"/>
      <c r="D23" s="86"/>
      <c r="F23" s="85">
        <v>11.5</v>
      </c>
      <c r="G23" s="60">
        <f t="shared" si="1"/>
        <v>2.6307672521150224E-2</v>
      </c>
    </row>
    <row r="24" spans="1:7" x14ac:dyDescent="0.25">
      <c r="D24" s="86"/>
      <c r="F24" s="85">
        <v>12</v>
      </c>
      <c r="G24" s="60">
        <f t="shared" si="1"/>
        <v>2.2308769589997227E-2</v>
      </c>
    </row>
    <row r="25" spans="1:7" x14ac:dyDescent="0.25">
      <c r="D25" s="86"/>
      <c r="F25" s="85">
        <v>12.5</v>
      </c>
      <c r="G25" s="60">
        <f t="shared" si="1"/>
        <v>1.8852091174098726E-2</v>
      </c>
    </row>
    <row r="26" spans="1:7" x14ac:dyDescent="0.25">
      <c r="A26" s="161" t="s">
        <v>74</v>
      </c>
      <c r="B26" s="161"/>
      <c r="C26" s="161"/>
      <c r="F26" s="85">
        <v>13</v>
      </c>
      <c r="G26" s="60">
        <f t="shared" si="1"/>
        <v>1.5880076475825608E-2</v>
      </c>
    </row>
    <row r="27" spans="1:7" x14ac:dyDescent="0.25">
      <c r="A27" s="161"/>
      <c r="B27" s="161"/>
      <c r="C27" s="161"/>
      <c r="F27" s="85">
        <v>13.5</v>
      </c>
      <c r="G27" s="60">
        <f t="shared" si="1"/>
        <v>1.333705068057447E-2</v>
      </c>
    </row>
    <row r="28" spans="1:7" x14ac:dyDescent="0.25">
      <c r="A28" s="161"/>
      <c r="B28" s="161"/>
      <c r="C28" s="161"/>
      <c r="F28" s="85">
        <v>14</v>
      </c>
      <c r="G28" s="60">
        <f t="shared" si="1"/>
        <v>1.1170554078042828E-2</v>
      </c>
    </row>
    <row r="29" spans="1:7" x14ac:dyDescent="0.25">
      <c r="A29" s="161"/>
      <c r="B29" s="161"/>
      <c r="C29" s="161"/>
      <c r="F29" s="85">
        <v>14.5</v>
      </c>
      <c r="G29" s="60">
        <f t="shared" si="1"/>
        <v>9.3321353283841203E-3</v>
      </c>
    </row>
    <row r="30" spans="1:7" x14ac:dyDescent="0.25">
      <c r="A30" s="161"/>
      <c r="B30" s="161"/>
      <c r="C30" s="161"/>
      <c r="F30" s="85">
        <v>15</v>
      </c>
      <c r="G30" s="60">
        <f t="shared" si="1"/>
        <v>7.7777489552039092E-3</v>
      </c>
    </row>
    <row r="31" spans="1:7" x14ac:dyDescent="0.25">
      <c r="A31" s="161"/>
      <c r="B31" s="161"/>
      <c r="C31" s="161"/>
      <c r="F31" s="85">
        <v>15.5</v>
      </c>
      <c r="G31" s="60">
        <f t="shared" si="1"/>
        <v>6.4678684608318084E-3</v>
      </c>
    </row>
    <row r="32" spans="1:7" x14ac:dyDescent="0.25">
      <c r="F32" s="85">
        <v>16</v>
      </c>
      <c r="G32" s="60">
        <f t="shared" si="1"/>
        <v>5.3674020464401905E-3</v>
      </c>
    </row>
    <row r="33" spans="6:7" x14ac:dyDescent="0.25">
      <c r="F33" s="85">
        <v>16.5</v>
      </c>
      <c r="G33" s="60">
        <f t="shared" si="1"/>
        <v>4.4454776390861874E-3</v>
      </c>
    </row>
    <row r="34" spans="6:7" x14ac:dyDescent="0.25">
      <c r="F34" s="85">
        <v>17</v>
      </c>
      <c r="G34" s="60">
        <f t="shared" si="1"/>
        <v>3.6751474152547613E-3</v>
      </c>
    </row>
    <row r="35" spans="6:7" x14ac:dyDescent="0.25">
      <c r="F35" s="85">
        <v>17.5</v>
      </c>
      <c r="G35" s="60">
        <f t="shared" si="1"/>
        <v>3.033048801043678E-3</v>
      </c>
    </row>
    <row r="36" spans="6:7" x14ac:dyDescent="0.25">
      <c r="F36" s="85">
        <v>18</v>
      </c>
      <c r="G36" s="60">
        <f t="shared" si="1"/>
        <v>2.4990485327552612E-3</v>
      </c>
    </row>
    <row r="37" spans="6:7" x14ac:dyDescent="0.25">
      <c r="F37" s="85">
        <v>18.5</v>
      </c>
      <c r="G37" s="60">
        <f t="shared" si="1"/>
        <v>2.0558883073757707E-3</v>
      </c>
    </row>
    <row r="38" spans="6:7" x14ac:dyDescent="0.25">
      <c r="F38" s="85">
        <v>19</v>
      </c>
      <c r="G38" s="60">
        <f t="shared" si="1"/>
        <v>1.6888444118412448E-3</v>
      </c>
    </row>
    <row r="39" spans="6:7" x14ac:dyDescent="0.25">
      <c r="F39" s="85">
        <v>19.5</v>
      </c>
      <c r="G39" s="60">
        <f t="shared" si="1"/>
        <v>1.3854091177289295E-3</v>
      </c>
    </row>
    <row r="40" spans="6:7" x14ac:dyDescent="0.25">
      <c r="F40" s="85">
        <v>20</v>
      </c>
      <c r="G40" s="60">
        <f t="shared" si="1"/>
        <v>1.1349982440621222E-3</v>
      </c>
    </row>
    <row r="41" spans="6:7" x14ac:dyDescent="0.25">
      <c r="F41" s="85">
        <v>20.5</v>
      </c>
      <c r="G41" s="60">
        <f t="shared" si="1"/>
        <v>9.286868582740501E-4</v>
      </c>
    </row>
    <row r="42" spans="6:7" x14ac:dyDescent="0.25">
      <c r="F42" s="85">
        <v>21</v>
      </c>
      <c r="G42" s="60">
        <f t="shared" si="1"/>
        <v>7.5897338520240635E-4</v>
      </c>
    </row>
    <row r="43" spans="6:7" x14ac:dyDescent="0.25">
      <c r="F43" s="85">
        <v>21.5</v>
      </c>
      <c r="G43" s="60">
        <f t="shared" si="1"/>
        <v>6.1957124964645885E-4</v>
      </c>
    </row>
    <row r="44" spans="6:7" x14ac:dyDescent="0.25">
      <c r="F44" s="85">
        <v>22</v>
      </c>
      <c r="G44" s="60">
        <f t="shared" si="1"/>
        <v>5.0522644890493124E-4</v>
      </c>
    </row>
    <row r="45" spans="6:7" x14ac:dyDescent="0.25">
      <c r="F45" s="85">
        <v>22.5</v>
      </c>
      <c r="G45" s="60">
        <f t="shared" si="1"/>
        <v>4.1155902733573321E-4</v>
      </c>
    </row>
    <row r="46" spans="6:7" x14ac:dyDescent="0.25">
      <c r="F46" s="85">
        <v>23</v>
      </c>
      <c r="G46" s="60">
        <f t="shared" si="1"/>
        <v>3.3492621960472772E-4</v>
      </c>
    </row>
    <row r="47" spans="6:7" x14ac:dyDescent="0.25">
      <c r="F47" s="85">
        <v>23.5</v>
      </c>
      <c r="G47" s="60">
        <f t="shared" si="1"/>
        <v>2.7230497723883257E-4</v>
      </c>
    </row>
    <row r="48" spans="6:7" x14ac:dyDescent="0.25">
      <c r="F48" s="85">
        <v>24</v>
      </c>
      <c r="G48" s="60">
        <f t="shared" si="1"/>
        <v>2.2119164471981543E-4</v>
      </c>
    </row>
    <row r="49" spans="6:7" x14ac:dyDescent="0.25">
      <c r="F49" s="85">
        <v>24.5</v>
      </c>
      <c r="G49" s="60">
        <f t="shared" si="1"/>
        <v>1.7951666966408989E-4</v>
      </c>
    </row>
    <row r="50" spans="6:7" x14ac:dyDescent="0.25">
      <c r="F50" s="85">
        <v>25</v>
      </c>
      <c r="G50" s="60">
        <f t="shared" si="1"/>
        <v>1.4557238953432313E-4</v>
      </c>
    </row>
    <row r="51" spans="6:7" x14ac:dyDescent="0.25">
      <c r="F51" s="85">
        <v>25.5</v>
      </c>
      <c r="G51" s="60">
        <f t="shared" si="1"/>
        <v>1.1795211535780776E-4</v>
      </c>
    </row>
  </sheetData>
  <mergeCells count="7">
    <mergeCell ref="R1:W6"/>
    <mergeCell ref="A9:C9"/>
    <mergeCell ref="A10:C10"/>
    <mergeCell ref="A26:C31"/>
    <mergeCell ref="A16:B16"/>
    <mergeCell ref="A18:B18"/>
    <mergeCell ref="A20:C23"/>
  </mergeCell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373CB-D9F9-4DE5-8970-1C6F419F3DD8}">
  <dimension ref="A1:U101"/>
  <sheetViews>
    <sheetView showGridLines="0" zoomScale="85" zoomScaleNormal="85" workbookViewId="0"/>
  </sheetViews>
  <sheetFormatPr defaultRowHeight="15" x14ac:dyDescent="0.25"/>
  <cols>
    <col min="1" max="2" width="17.7109375" style="11" customWidth="1"/>
    <col min="3" max="3" width="9.140625" style="11"/>
    <col min="4" max="6" width="22.7109375" style="11" customWidth="1"/>
    <col min="7" max="18" width="9.140625" style="11"/>
    <col min="19" max="21" width="12.5703125" style="11" customWidth="1"/>
    <col min="22" max="16384" width="9.140625" style="11"/>
  </cols>
  <sheetData>
    <row r="1" spans="1:21" x14ac:dyDescent="0.25">
      <c r="A1" s="10" t="s">
        <v>42</v>
      </c>
      <c r="B1" s="10" t="s">
        <v>43</v>
      </c>
      <c r="D1" s="10" t="s">
        <v>28</v>
      </c>
      <c r="E1" s="10" t="s">
        <v>29</v>
      </c>
      <c r="F1" s="10" t="s">
        <v>30</v>
      </c>
      <c r="H1" s="30" t="s">
        <v>119</v>
      </c>
      <c r="I1" s="30" t="s">
        <v>120</v>
      </c>
      <c r="S1" t="s">
        <v>121</v>
      </c>
      <c r="T1"/>
      <c r="U1"/>
    </row>
    <row r="2" spans="1:21" ht="15.75" thickBot="1" x14ac:dyDescent="0.3">
      <c r="A2" s="12">
        <v>121</v>
      </c>
      <c r="B2" s="12">
        <v>90</v>
      </c>
      <c r="D2" s="10" t="s">
        <v>26</v>
      </c>
      <c r="E2" s="13">
        <f>AVERAGE(A2:A36)</f>
        <v>117.62857142857143</v>
      </c>
      <c r="F2" s="13">
        <f>_xlfn.VAR.S(A2:A36)</f>
        <v>110.24033613445374</v>
      </c>
      <c r="H2" s="13">
        <v>0</v>
      </c>
      <c r="I2" s="13">
        <f>_xlfn.F.DIST(H2,34,34,FALSE)</f>
        <v>0</v>
      </c>
      <c r="S2"/>
      <c r="T2"/>
      <c r="U2"/>
    </row>
    <row r="3" spans="1:21" x14ac:dyDescent="0.25">
      <c r="A3" s="12">
        <v>109</v>
      </c>
      <c r="B3" s="12">
        <v>120</v>
      </c>
      <c r="D3" s="10" t="s">
        <v>27</v>
      </c>
      <c r="E3" s="13">
        <f>AVERAGE(B2:B36)</f>
        <v>101.22857142857143</v>
      </c>
      <c r="F3" s="13">
        <f>_xlfn.VAR.S(B2:B36)</f>
        <v>266.41680672268984</v>
      </c>
      <c r="H3" s="13">
        <v>0.1</v>
      </c>
      <c r="I3" s="13">
        <f t="shared" ref="I3:I66" si="0">_xlfn.F.DIST(H3,34,34,FALSE)</f>
        <v>7.7641730056954206E-8</v>
      </c>
      <c r="S3" s="37"/>
      <c r="T3" s="37" t="s">
        <v>122</v>
      </c>
      <c r="U3" s="37" t="s">
        <v>123</v>
      </c>
    </row>
    <row r="4" spans="1:21" x14ac:dyDescent="0.25">
      <c r="A4" s="12">
        <v>107</v>
      </c>
      <c r="B4" s="12">
        <v>93</v>
      </c>
      <c r="H4" s="13">
        <v>0.15</v>
      </c>
      <c r="I4" s="13">
        <f t="shared" si="0"/>
        <v>1.125071367543686E-5</v>
      </c>
      <c r="S4" t="s">
        <v>29</v>
      </c>
      <c r="T4">
        <v>101.22857142857143</v>
      </c>
      <c r="U4">
        <v>117.62857142857143</v>
      </c>
    </row>
    <row r="5" spans="1:21" x14ac:dyDescent="0.25">
      <c r="A5" s="12">
        <v>111</v>
      </c>
      <c r="B5" s="12">
        <v>110</v>
      </c>
      <c r="D5" s="14" t="s">
        <v>37</v>
      </c>
      <c r="E5" s="15" t="s">
        <v>260</v>
      </c>
      <c r="H5" s="13">
        <v>0.2</v>
      </c>
      <c r="I5" s="13">
        <f t="shared" si="0"/>
        <v>2.6409736274788477E-4</v>
      </c>
      <c r="S5" t="s">
        <v>30</v>
      </c>
      <c r="T5">
        <v>266.41680672268984</v>
      </c>
      <c r="U5">
        <v>110.24033613445374</v>
      </c>
    </row>
    <row r="6" spans="1:21" x14ac:dyDescent="0.25">
      <c r="A6" s="12">
        <v>101</v>
      </c>
      <c r="B6" s="12">
        <v>91</v>
      </c>
      <c r="D6" s="14" t="s">
        <v>38</v>
      </c>
      <c r="E6" s="15" t="s">
        <v>39</v>
      </c>
      <c r="H6" s="13">
        <v>0.25</v>
      </c>
      <c r="I6" s="13">
        <f t="shared" si="0"/>
        <v>2.3417805569781311E-3</v>
      </c>
      <c r="S6" t="s">
        <v>124</v>
      </c>
      <c r="T6">
        <v>35</v>
      </c>
      <c r="U6">
        <v>35</v>
      </c>
    </row>
    <row r="7" spans="1:21" x14ac:dyDescent="0.25">
      <c r="A7" s="12">
        <v>132</v>
      </c>
      <c r="B7" s="12">
        <v>115</v>
      </c>
      <c r="H7" s="13">
        <v>0.3</v>
      </c>
      <c r="I7" s="13">
        <f t="shared" si="0"/>
        <v>1.1410708119939324E-2</v>
      </c>
      <c r="S7" t="s">
        <v>125</v>
      </c>
      <c r="T7">
        <v>34</v>
      </c>
      <c r="U7">
        <v>34</v>
      </c>
    </row>
    <row r="8" spans="1:21" x14ac:dyDescent="0.25">
      <c r="A8" s="12">
        <v>110</v>
      </c>
      <c r="B8" s="12">
        <v>88</v>
      </c>
      <c r="D8" s="16" t="s">
        <v>31</v>
      </c>
      <c r="E8" s="58">
        <f>F3/F2</f>
        <v>2.4166908054213181</v>
      </c>
      <c r="H8" s="13">
        <v>0.35</v>
      </c>
      <c r="I8" s="13">
        <f t="shared" si="0"/>
        <v>3.7255215524757794E-2</v>
      </c>
      <c r="S8" t="s">
        <v>119</v>
      </c>
      <c r="T8">
        <v>2.4166908054213181</v>
      </c>
      <c r="U8"/>
    </row>
    <row r="9" spans="1:21" x14ac:dyDescent="0.25">
      <c r="A9" s="12">
        <v>117</v>
      </c>
      <c r="B9" s="12">
        <v>124</v>
      </c>
      <c r="D9" s="16" t="s">
        <v>128</v>
      </c>
      <c r="E9" s="59">
        <f>_xlfn.F.DIST.RT(E8,34,34)</f>
        <v>5.9624258710783357E-3</v>
      </c>
      <c r="H9" s="13">
        <v>0.4</v>
      </c>
      <c r="I9" s="13">
        <f t="shared" si="0"/>
        <v>9.1633262115155489E-2</v>
      </c>
      <c r="S9" t="s">
        <v>126</v>
      </c>
      <c r="T9">
        <v>5.9624258710783357E-3</v>
      </c>
      <c r="U9"/>
    </row>
    <row r="10" spans="1:21" ht="15.75" thickBot="1" x14ac:dyDescent="0.3">
      <c r="A10" s="12">
        <v>132</v>
      </c>
      <c r="B10" s="12">
        <v>99</v>
      </c>
      <c r="H10" s="13">
        <v>0.45</v>
      </c>
      <c r="I10" s="13">
        <f t="shared" si="0"/>
        <v>0.18295093940461751</v>
      </c>
      <c r="S10" s="25" t="s">
        <v>127</v>
      </c>
      <c r="T10" s="25">
        <v>1.7720664771705754</v>
      </c>
      <c r="U10" s="25"/>
    </row>
    <row r="11" spans="1:21" x14ac:dyDescent="0.25">
      <c r="A11" s="12">
        <v>104</v>
      </c>
      <c r="B11" s="12">
        <v>74</v>
      </c>
      <c r="D11" s="16" t="s">
        <v>32</v>
      </c>
      <c r="E11" s="16">
        <v>34</v>
      </c>
      <c r="F11" s="15" t="s">
        <v>36</v>
      </c>
      <c r="H11" s="13">
        <v>0.5</v>
      </c>
      <c r="I11" s="13">
        <f t="shared" si="0"/>
        <v>0.31179113351371812</v>
      </c>
    </row>
    <row r="12" spans="1:21" x14ac:dyDescent="0.25">
      <c r="A12" s="12">
        <v>127</v>
      </c>
      <c r="B12" s="12">
        <v>81</v>
      </c>
      <c r="D12" s="16" t="s">
        <v>33</v>
      </c>
      <c r="E12" s="16">
        <v>34</v>
      </c>
      <c r="F12" s="15" t="s">
        <v>35</v>
      </c>
      <c r="H12" s="13">
        <v>0.55000000000000004</v>
      </c>
      <c r="I12" s="13">
        <f t="shared" si="0"/>
        <v>0.46986359099498431</v>
      </c>
    </row>
    <row r="13" spans="1:21" x14ac:dyDescent="0.25">
      <c r="A13" s="12">
        <v>120</v>
      </c>
      <c r="B13" s="12">
        <v>104</v>
      </c>
      <c r="H13" s="13">
        <v>0.6</v>
      </c>
      <c r="I13" s="13">
        <f t="shared" si="0"/>
        <v>0.64237272887374564</v>
      </c>
    </row>
    <row r="14" spans="1:21" x14ac:dyDescent="0.25">
      <c r="A14" s="12">
        <v>126</v>
      </c>
      <c r="B14" s="12">
        <v>77</v>
      </c>
      <c r="D14" s="16" t="s">
        <v>34</v>
      </c>
      <c r="E14" s="17">
        <v>0.05</v>
      </c>
      <c r="H14" s="13">
        <v>0.65</v>
      </c>
      <c r="I14" s="13">
        <f t="shared" si="0"/>
        <v>0.81209362715962186</v>
      </c>
    </row>
    <row r="15" spans="1:21" x14ac:dyDescent="0.25">
      <c r="A15" s="12">
        <v>112</v>
      </c>
      <c r="B15" s="12">
        <v>79</v>
      </c>
      <c r="H15" s="13">
        <v>0.7</v>
      </c>
      <c r="I15" s="13">
        <f t="shared" si="0"/>
        <v>0.96327837946080908</v>
      </c>
    </row>
    <row r="16" spans="1:21" x14ac:dyDescent="0.25">
      <c r="A16" s="12">
        <v>108</v>
      </c>
      <c r="B16" s="12">
        <v>115</v>
      </c>
      <c r="D16" s="18" t="s">
        <v>41</v>
      </c>
      <c r="E16" s="19">
        <f>_xlfn.F.INV.RT(E14,E12,E11)</f>
        <v>1.7720664771705754</v>
      </c>
      <c r="H16" s="13">
        <v>0.75</v>
      </c>
      <c r="I16" s="13">
        <f t="shared" si="0"/>
        <v>1.0842590564028871</v>
      </c>
    </row>
    <row r="17" spans="1:9" x14ac:dyDescent="0.25">
      <c r="A17" s="12">
        <v>138</v>
      </c>
      <c r="B17" s="12">
        <v>88</v>
      </c>
      <c r="H17" s="13">
        <v>0.8</v>
      </c>
      <c r="I17" s="13">
        <f t="shared" si="0"/>
        <v>1.1684795546118549</v>
      </c>
    </row>
    <row r="18" spans="1:9" x14ac:dyDescent="0.25">
      <c r="A18" s="12">
        <v>116</v>
      </c>
      <c r="B18" s="12">
        <v>119</v>
      </c>
      <c r="H18" s="13">
        <v>0.85</v>
      </c>
      <c r="I18" s="13">
        <f t="shared" si="0"/>
        <v>1.2142568024225471</v>
      </c>
    </row>
    <row r="19" spans="1:9" x14ac:dyDescent="0.25">
      <c r="A19" s="12">
        <v>105</v>
      </c>
      <c r="B19" s="12">
        <v>81</v>
      </c>
      <c r="D19" s="156" t="s">
        <v>40</v>
      </c>
      <c r="E19" s="156"/>
      <c r="H19" s="13">
        <v>0.9</v>
      </c>
      <c r="I19" s="13">
        <f t="shared" si="0"/>
        <v>1.2237824422517205</v>
      </c>
    </row>
    <row r="20" spans="1:9" x14ac:dyDescent="0.25">
      <c r="A20" s="12">
        <v>117</v>
      </c>
      <c r="B20" s="12">
        <v>120</v>
      </c>
      <c r="D20" s="156"/>
      <c r="E20" s="156"/>
      <c r="H20" s="13">
        <v>0.95</v>
      </c>
      <c r="I20" s="13">
        <f t="shared" si="0"/>
        <v>1.2018420574016655</v>
      </c>
    </row>
    <row r="21" spans="1:9" x14ac:dyDescent="0.25">
      <c r="A21" s="12">
        <v>129</v>
      </c>
      <c r="B21" s="12">
        <v>80</v>
      </c>
      <c r="D21" s="156"/>
      <c r="E21" s="156"/>
      <c r="H21" s="13">
        <v>1</v>
      </c>
      <c r="I21" s="13">
        <f t="shared" si="0"/>
        <v>1.1545869562542066</v>
      </c>
    </row>
    <row r="22" spans="1:9" x14ac:dyDescent="0.25">
      <c r="A22" s="12">
        <v>133</v>
      </c>
      <c r="B22" s="12">
        <v>116</v>
      </c>
      <c r="D22" s="156"/>
      <c r="E22" s="156"/>
      <c r="H22" s="13">
        <v>1.05</v>
      </c>
      <c r="I22" s="13">
        <f t="shared" si="0"/>
        <v>1.0885390379323703</v>
      </c>
    </row>
    <row r="23" spans="1:9" x14ac:dyDescent="0.25">
      <c r="A23" s="12">
        <v>109</v>
      </c>
      <c r="B23" s="12">
        <v>133</v>
      </c>
      <c r="D23" s="20"/>
      <c r="E23" s="20"/>
      <c r="H23" s="13">
        <v>1.1000000000000001</v>
      </c>
      <c r="I23" s="13">
        <f t="shared" si="0"/>
        <v>1.0098885330951271</v>
      </c>
    </row>
    <row r="24" spans="1:9" x14ac:dyDescent="0.25">
      <c r="A24" s="12">
        <v>105</v>
      </c>
      <c r="B24" s="12">
        <v>93</v>
      </c>
      <c r="D24" s="20"/>
      <c r="E24" s="20"/>
      <c r="H24" s="13">
        <v>1.1499999999999999</v>
      </c>
      <c r="I24" s="13">
        <f t="shared" si="0"/>
        <v>0.92406880176977479</v>
      </c>
    </row>
    <row r="25" spans="1:9" x14ac:dyDescent="0.25">
      <c r="A25" s="12">
        <v>122</v>
      </c>
      <c r="B25" s="12">
        <v>111</v>
      </c>
      <c r="H25" s="13">
        <v>1.2</v>
      </c>
      <c r="I25" s="13">
        <f t="shared" si="0"/>
        <v>0.83555547292975096</v>
      </c>
    </row>
    <row r="26" spans="1:9" x14ac:dyDescent="0.25">
      <c r="A26" s="12">
        <v>137</v>
      </c>
      <c r="B26" s="12">
        <v>114</v>
      </c>
      <c r="H26" s="13">
        <v>1.25</v>
      </c>
      <c r="I26" s="13">
        <f t="shared" si="0"/>
        <v>0.74782691495158649</v>
      </c>
    </row>
    <row r="27" spans="1:9" x14ac:dyDescent="0.25">
      <c r="A27" s="12">
        <v>119</v>
      </c>
      <c r="B27" s="12">
        <v>87</v>
      </c>
      <c r="H27" s="13">
        <v>1.3</v>
      </c>
      <c r="I27" s="13">
        <f t="shared" si="0"/>
        <v>0.66342786973789802</v>
      </c>
    </row>
    <row r="28" spans="1:9" x14ac:dyDescent="0.25">
      <c r="A28" s="12">
        <v>120</v>
      </c>
      <c r="B28" s="12">
        <v>103</v>
      </c>
      <c r="H28" s="13">
        <v>1.35</v>
      </c>
      <c r="I28" s="13">
        <f t="shared" si="0"/>
        <v>0.58408960618201322</v>
      </c>
    </row>
    <row r="29" spans="1:9" x14ac:dyDescent="0.25">
      <c r="A29" s="12">
        <v>124</v>
      </c>
      <c r="B29" s="12">
        <v>99</v>
      </c>
      <c r="H29" s="13">
        <v>1.4</v>
      </c>
      <c r="I29" s="13">
        <f t="shared" si="0"/>
        <v>0.51087288417708587</v>
      </c>
    </row>
    <row r="30" spans="1:9" x14ac:dyDescent="0.25">
      <c r="A30" s="12">
        <v>106</v>
      </c>
      <c r="B30" s="12">
        <v>116</v>
      </c>
      <c r="H30" s="13">
        <v>1.45</v>
      </c>
      <c r="I30" s="13">
        <f t="shared" si="0"/>
        <v>0.44431161524438617</v>
      </c>
    </row>
    <row r="31" spans="1:9" x14ac:dyDescent="0.25">
      <c r="A31" s="12">
        <v>108</v>
      </c>
      <c r="B31" s="12">
        <v>102</v>
      </c>
      <c r="H31" s="13">
        <v>1.5</v>
      </c>
      <c r="I31" s="13">
        <f t="shared" si="0"/>
        <v>0.3845442744425287</v>
      </c>
    </row>
    <row r="32" spans="1:9" x14ac:dyDescent="0.25">
      <c r="A32" s="12">
        <v>136</v>
      </c>
      <c r="B32" s="12">
        <v>81</v>
      </c>
      <c r="H32" s="13">
        <v>1.55</v>
      </c>
      <c r="I32" s="13">
        <f t="shared" si="0"/>
        <v>0.33142673263626338</v>
      </c>
    </row>
    <row r="33" spans="1:9" x14ac:dyDescent="0.25">
      <c r="A33" s="12">
        <v>116</v>
      </c>
      <c r="B33" s="12">
        <v>99</v>
      </c>
      <c r="H33" s="13">
        <v>1.6</v>
      </c>
      <c r="I33" s="13">
        <f t="shared" si="0"/>
        <v>0.28462457221388043</v>
      </c>
    </row>
    <row r="34" spans="1:9" x14ac:dyDescent="0.25">
      <c r="A34" s="12">
        <v>113</v>
      </c>
      <c r="B34" s="12">
        <v>118</v>
      </c>
      <c r="H34" s="13">
        <v>1.65</v>
      </c>
      <c r="I34" s="13">
        <f t="shared" si="0"/>
        <v>0.24368561491947191</v>
      </c>
    </row>
    <row r="35" spans="1:9" x14ac:dyDescent="0.25">
      <c r="A35" s="12">
        <v>118</v>
      </c>
      <c r="B35" s="12">
        <v>126</v>
      </c>
      <c r="H35" s="13">
        <v>1.7</v>
      </c>
      <c r="I35" s="13">
        <f t="shared" si="0"/>
        <v>0.20809481538789493</v>
      </c>
    </row>
    <row r="36" spans="1:9" x14ac:dyDescent="0.25">
      <c r="A36" s="12">
        <v>109</v>
      </c>
      <c r="B36" s="12">
        <v>97</v>
      </c>
      <c r="H36" s="13">
        <v>1.75</v>
      </c>
      <c r="I36" s="13">
        <f t="shared" si="0"/>
        <v>0.1773142698946327</v>
      </c>
    </row>
    <row r="37" spans="1:9" x14ac:dyDescent="0.25">
      <c r="H37" s="13">
        <v>1.8</v>
      </c>
      <c r="I37" s="13">
        <f t="shared" si="0"/>
        <v>0.15081117214575718</v>
      </c>
    </row>
    <row r="38" spans="1:9" x14ac:dyDescent="0.25">
      <c r="H38" s="13">
        <v>1.85</v>
      </c>
      <c r="I38" s="13">
        <f t="shared" si="0"/>
        <v>0.12807634152627856</v>
      </c>
    </row>
    <row r="39" spans="1:9" x14ac:dyDescent="0.25">
      <c r="H39" s="13">
        <v>1.9</v>
      </c>
      <c r="I39" s="13">
        <f t="shared" si="0"/>
        <v>0.10863560468917201</v>
      </c>
    </row>
    <row r="40" spans="1:9" x14ac:dyDescent="0.25">
      <c r="H40" s="13">
        <v>1.95</v>
      </c>
      <c r="I40" s="13">
        <f t="shared" si="0"/>
        <v>9.2055923237559498E-2</v>
      </c>
    </row>
    <row r="41" spans="1:9" x14ac:dyDescent="0.25">
      <c r="H41" s="13">
        <v>2</v>
      </c>
      <c r="I41" s="13">
        <f t="shared" si="0"/>
        <v>7.794778337842953E-2</v>
      </c>
    </row>
    <row r="42" spans="1:9" x14ac:dyDescent="0.25">
      <c r="H42" s="13">
        <v>2.0499999999999998</v>
      </c>
      <c r="I42" s="13">
        <f t="shared" si="0"/>
        <v>6.5965026083539102E-2</v>
      </c>
    </row>
    <row r="43" spans="1:9" x14ac:dyDescent="0.25">
      <c r="H43" s="13">
        <v>2.1</v>
      </c>
      <c r="I43" s="13">
        <f t="shared" si="0"/>
        <v>5.5803009932488414E-2</v>
      </c>
    </row>
    <row r="44" spans="1:9" x14ac:dyDescent="0.25">
      <c r="H44" s="13">
        <v>2.15</v>
      </c>
      <c r="I44" s="13">
        <f t="shared" si="0"/>
        <v>4.7195764913598032E-2</v>
      </c>
    </row>
    <row r="45" spans="1:9" x14ac:dyDescent="0.25">
      <c r="H45" s="13">
        <v>2.2000000000000002</v>
      </c>
      <c r="I45" s="13">
        <f t="shared" si="0"/>
        <v>3.9912610110620313E-2</v>
      </c>
    </row>
    <row r="46" spans="1:9" x14ac:dyDescent="0.25">
      <c r="H46" s="13">
        <v>2.25</v>
      </c>
      <c r="I46" s="13">
        <f t="shared" si="0"/>
        <v>3.3754565027560988E-2</v>
      </c>
    </row>
    <row r="47" spans="1:9" x14ac:dyDescent="0.25">
      <c r="H47" s="13">
        <v>2.2999999999999998</v>
      </c>
      <c r="I47" s="13">
        <f t="shared" si="0"/>
        <v>2.8550776205087822E-2</v>
      </c>
    </row>
    <row r="48" spans="1:9" x14ac:dyDescent="0.25">
      <c r="H48" s="13">
        <v>2.35</v>
      </c>
      <c r="I48" s="13">
        <f t="shared" si="0"/>
        <v>2.4155100930329285E-2</v>
      </c>
    </row>
    <row r="49" spans="8:9" x14ac:dyDescent="0.25">
      <c r="H49" s="13">
        <v>2.4</v>
      </c>
      <c r="I49" s="13">
        <f t="shared" si="0"/>
        <v>2.044293215613089E-2</v>
      </c>
    </row>
    <row r="50" spans="8:9" x14ac:dyDescent="0.25">
      <c r="H50" s="13">
        <v>2.4500000000000002</v>
      </c>
      <c r="I50" s="13">
        <f t="shared" si="0"/>
        <v>1.7308308076050102E-2</v>
      </c>
    </row>
    <row r="51" spans="8:9" x14ac:dyDescent="0.25">
      <c r="H51" s="13">
        <v>2.5</v>
      </c>
      <c r="I51" s="13">
        <f t="shared" si="0"/>
        <v>1.4661321938424829E-2</v>
      </c>
    </row>
    <row r="52" spans="8:9" x14ac:dyDescent="0.25">
      <c r="H52" s="13">
        <v>2.5499999999999998</v>
      </c>
      <c r="I52" s="13">
        <f t="shared" si="0"/>
        <v>1.2425829279329073E-2</v>
      </c>
    </row>
    <row r="53" spans="8:9" x14ac:dyDescent="0.25">
      <c r="H53" s="13">
        <v>2.6</v>
      </c>
      <c r="I53" s="13">
        <f t="shared" si="0"/>
        <v>1.0537438206206678E-2</v>
      </c>
    </row>
    <row r="54" spans="8:9" x14ac:dyDescent="0.25">
      <c r="H54" s="13">
        <v>2.65</v>
      </c>
      <c r="I54" s="13">
        <f t="shared" si="0"/>
        <v>8.9417616841305086E-3</v>
      </c>
    </row>
    <row r="55" spans="8:9" x14ac:dyDescent="0.25">
      <c r="H55" s="13">
        <v>2.7</v>
      </c>
      <c r="I55" s="13">
        <f t="shared" si="0"/>
        <v>7.5929074740096122E-3</v>
      </c>
    </row>
    <row r="56" spans="8:9" x14ac:dyDescent="0.25">
      <c r="H56" s="13">
        <v>2.75</v>
      </c>
      <c r="I56" s="13">
        <f t="shared" si="0"/>
        <v>6.4521803462189225E-3</v>
      </c>
    </row>
    <row r="57" spans="8:9" x14ac:dyDescent="0.25">
      <c r="H57" s="13">
        <v>2.8</v>
      </c>
      <c r="I57" s="13">
        <f t="shared" si="0"/>
        <v>5.4869716450374499E-3</v>
      </c>
    </row>
    <row r="58" spans="8:9" x14ac:dyDescent="0.25">
      <c r="H58" s="13">
        <v>2.85</v>
      </c>
      <c r="I58" s="13">
        <f t="shared" si="0"/>
        <v>4.6698126387861461E-3</v>
      </c>
    </row>
    <row r="59" spans="8:9" x14ac:dyDescent="0.25">
      <c r="H59" s="13">
        <v>2.9</v>
      </c>
      <c r="I59" s="13">
        <f t="shared" si="0"/>
        <v>3.9775699586390391E-3</v>
      </c>
    </row>
    <row r="60" spans="8:9" x14ac:dyDescent="0.25">
      <c r="H60" s="13">
        <v>2.95</v>
      </c>
      <c r="I60" s="13">
        <f t="shared" si="0"/>
        <v>3.3907635329383039E-3</v>
      </c>
    </row>
    <row r="61" spans="8:9" x14ac:dyDescent="0.25">
      <c r="H61" s="13">
        <v>3</v>
      </c>
      <c r="I61" s="13">
        <f t="shared" si="0"/>
        <v>2.8929895823887747E-3</v>
      </c>
    </row>
    <row r="62" spans="8:9" x14ac:dyDescent="0.25">
      <c r="H62" s="13">
        <v>3.05</v>
      </c>
      <c r="I62" s="13">
        <f t="shared" si="0"/>
        <v>2.4704333393497781E-3</v>
      </c>
    </row>
    <row r="63" spans="8:9" x14ac:dyDescent="0.25">
      <c r="H63" s="13">
        <v>3.1</v>
      </c>
      <c r="I63" s="13">
        <f t="shared" si="0"/>
        <v>2.111458122442757E-3</v>
      </c>
    </row>
    <row r="64" spans="8:9" x14ac:dyDescent="0.25">
      <c r="H64" s="13">
        <v>3.15</v>
      </c>
      <c r="I64" s="13">
        <f t="shared" si="0"/>
        <v>1.8062591986689632E-3</v>
      </c>
    </row>
    <row r="65" spans="8:9" x14ac:dyDescent="0.25">
      <c r="H65" s="13">
        <v>3.2</v>
      </c>
      <c r="I65" s="13">
        <f t="shared" si="0"/>
        <v>1.5465724835450126E-3</v>
      </c>
    </row>
    <row r="66" spans="8:9" x14ac:dyDescent="0.25">
      <c r="H66" s="13">
        <v>3.25</v>
      </c>
      <c r="I66" s="13">
        <f t="shared" si="0"/>
        <v>1.3254295638559651E-3</v>
      </c>
    </row>
    <row r="67" spans="8:9" x14ac:dyDescent="0.25">
      <c r="H67" s="13">
        <v>3.3</v>
      </c>
      <c r="I67" s="13">
        <f t="shared" ref="I67:I101" si="1">_xlfn.F.DIST(H67,34,34,FALSE)</f>
        <v>1.1369517847286993E-3</v>
      </c>
    </row>
    <row r="68" spans="8:9" x14ac:dyDescent="0.25">
      <c r="H68" s="13">
        <v>3.35</v>
      </c>
      <c r="I68" s="13">
        <f t="shared" si="1"/>
        <v>9.7617723518659888E-4</v>
      </c>
    </row>
    <row r="69" spans="8:9" x14ac:dyDescent="0.25">
      <c r="H69" s="13">
        <v>3.4</v>
      </c>
      <c r="I69" s="13">
        <f t="shared" si="1"/>
        <v>8.3891540910933449E-4</v>
      </c>
    </row>
    <row r="70" spans="8:9" x14ac:dyDescent="0.25">
      <c r="H70" s="13">
        <v>3.45</v>
      </c>
      <c r="I70" s="13">
        <f t="shared" si="1"/>
        <v>7.2162512746682935E-4</v>
      </c>
    </row>
    <row r="71" spans="8:9" x14ac:dyDescent="0.25">
      <c r="H71" s="13">
        <v>3.5</v>
      </c>
      <c r="I71" s="13">
        <f t="shared" si="1"/>
        <v>6.2131199856662494E-4</v>
      </c>
    </row>
    <row r="72" spans="8:9" x14ac:dyDescent="0.25">
      <c r="H72" s="13">
        <v>3.55</v>
      </c>
      <c r="I72" s="13">
        <f t="shared" si="1"/>
        <v>5.3544228079294696E-4</v>
      </c>
    </row>
    <row r="73" spans="8:9" x14ac:dyDescent="0.25">
      <c r="H73" s="13">
        <v>3.6</v>
      </c>
      <c r="I73" s="13">
        <f t="shared" si="1"/>
        <v>4.618705107092052E-4</v>
      </c>
    </row>
    <row r="74" spans="8:9" x14ac:dyDescent="0.25">
      <c r="H74" s="13">
        <v>3.65</v>
      </c>
      <c r="I74" s="13">
        <f t="shared" si="1"/>
        <v>3.9877868089420497E-4</v>
      </c>
    </row>
    <row r="75" spans="8:9" x14ac:dyDescent="0.25">
      <c r="H75" s="13">
        <v>3.7</v>
      </c>
      <c r="I75" s="13">
        <f t="shared" si="1"/>
        <v>3.4462510755710123E-4</v>
      </c>
    </row>
    <row r="76" spans="8:9" x14ac:dyDescent="0.25">
      <c r="H76" s="13">
        <v>3.75</v>
      </c>
      <c r="I76" s="13">
        <f t="shared" si="1"/>
        <v>2.9810142755508216E-4</v>
      </c>
    </row>
    <row r="77" spans="8:9" x14ac:dyDescent="0.25">
      <c r="H77" s="13">
        <v>3.8</v>
      </c>
      <c r="I77" s="13">
        <f t="shared" si="1"/>
        <v>2.5809641638550754E-4</v>
      </c>
    </row>
    <row r="78" spans="8:9" x14ac:dyDescent="0.25">
      <c r="H78" s="13">
        <v>3.85</v>
      </c>
      <c r="I78" s="13">
        <f t="shared" si="1"/>
        <v>2.2366553035266801E-4</v>
      </c>
    </row>
    <row r="79" spans="8:9" x14ac:dyDescent="0.25">
      <c r="H79" s="13">
        <v>3.9</v>
      </c>
      <c r="I79" s="13">
        <f t="shared" si="1"/>
        <v>1.9400525369337013E-4</v>
      </c>
    </row>
    <row r="80" spans="8:9" x14ac:dyDescent="0.25">
      <c r="H80" s="13">
        <v>3.95</v>
      </c>
      <c r="I80" s="13">
        <f t="shared" si="1"/>
        <v>1.6843148034489532E-4</v>
      </c>
    </row>
    <row r="81" spans="8:9" x14ac:dyDescent="0.25">
      <c r="H81" s="13">
        <v>4</v>
      </c>
      <c r="I81" s="13">
        <f t="shared" si="1"/>
        <v>1.4636128481113319E-4</v>
      </c>
    </row>
    <row r="82" spans="8:9" x14ac:dyDescent="0.25">
      <c r="H82" s="13">
        <v>4.05</v>
      </c>
      <c r="I82" s="13">
        <f t="shared" si="1"/>
        <v>1.2729754109047167E-4</v>
      </c>
    </row>
    <row r="83" spans="8:9" x14ac:dyDescent="0.25">
      <c r="H83" s="13">
        <v>4.0999999999999996</v>
      </c>
      <c r="I83" s="13">
        <f t="shared" si="1"/>
        <v>1.1081593613665859E-4</v>
      </c>
    </row>
    <row r="84" spans="8:9" x14ac:dyDescent="0.25">
      <c r="H84" s="13">
        <v>4.1500000000000004</v>
      </c>
      <c r="I84" s="13">
        <f t="shared" si="1"/>
        <v>9.6553997582929425E-5</v>
      </c>
    </row>
    <row r="85" spans="8:9" x14ac:dyDescent="0.25">
      <c r="H85" s="13">
        <v>4.2</v>
      </c>
      <c r="I85" s="13">
        <f t="shared" si="1"/>
        <v>8.420181678568427E-5</v>
      </c>
    </row>
    <row r="86" spans="8:9" x14ac:dyDescent="0.25">
      <c r="H86" s="13">
        <v>4.25</v>
      </c>
      <c r="I86" s="13">
        <f t="shared" si="1"/>
        <v>7.3494199581455812E-5</v>
      </c>
    </row>
    <row r="87" spans="8:9" x14ac:dyDescent="0.25">
      <c r="H87" s="13">
        <v>4.3</v>
      </c>
      <c r="I87" s="13">
        <f t="shared" si="1"/>
        <v>6.4204020131241262E-5</v>
      </c>
    </row>
    <row r="88" spans="8:9" x14ac:dyDescent="0.25">
      <c r="H88" s="13">
        <v>4.3499999999999996</v>
      </c>
      <c r="I88" s="13">
        <f t="shared" si="1"/>
        <v>5.6136589216362434E-5</v>
      </c>
    </row>
    <row r="89" spans="8:9" x14ac:dyDescent="0.25">
      <c r="H89" s="13">
        <v>4.4000000000000004</v>
      </c>
      <c r="I89" s="13">
        <f t="shared" si="1"/>
        <v>4.9124878494114489E-5</v>
      </c>
    </row>
    <row r="90" spans="8:9" x14ac:dyDescent="0.25">
      <c r="H90" s="13">
        <v>4.45</v>
      </c>
      <c r="I90" s="13">
        <f t="shared" si="1"/>
        <v>4.3025467476996541E-5</v>
      </c>
    </row>
    <row r="91" spans="8:9" x14ac:dyDescent="0.25">
      <c r="H91" s="13">
        <v>4.5</v>
      </c>
      <c r="I91" s="13">
        <f t="shared" si="1"/>
        <v>3.7715101166579346E-5</v>
      </c>
    </row>
    <row r="92" spans="8:9" x14ac:dyDescent="0.25">
      <c r="H92" s="13">
        <v>4.55</v>
      </c>
      <c r="I92" s="13">
        <f t="shared" si="1"/>
        <v>3.3087764021214557E-5</v>
      </c>
    </row>
    <row r="93" spans="8:9" x14ac:dyDescent="0.25">
      <c r="H93" s="13">
        <v>4.5999999999999996</v>
      </c>
      <c r="I93" s="13">
        <f t="shared" si="1"/>
        <v>2.9052190824731612E-5</v>
      </c>
    </row>
    <row r="94" spans="8:9" x14ac:dyDescent="0.25">
      <c r="H94" s="13">
        <v>4.6500000000000004</v>
      </c>
      <c r="I94" s="13">
        <f t="shared" si="1"/>
        <v>2.5529747518111361E-5</v>
      </c>
    </row>
    <row r="95" spans="8:9" x14ac:dyDescent="0.25">
      <c r="H95" s="13">
        <v>4.7</v>
      </c>
      <c r="I95" s="13">
        <f t="shared" si="1"/>
        <v>2.2452625548007224E-5</v>
      </c>
    </row>
    <row r="96" spans="8:9" x14ac:dyDescent="0.25">
      <c r="H96" s="13">
        <v>4.75</v>
      </c>
      <c r="I96" s="13">
        <f t="shared" si="1"/>
        <v>1.9762302100873927E-5</v>
      </c>
    </row>
    <row r="97" spans="8:9" x14ac:dyDescent="0.25">
      <c r="H97" s="13">
        <v>4.8</v>
      </c>
      <c r="I97" s="13">
        <f t="shared" si="1"/>
        <v>1.7408226001727576E-5</v>
      </c>
    </row>
    <row r="98" spans="8:9" x14ac:dyDescent="0.25">
      <c r="H98" s="13">
        <v>4.8499999999999996</v>
      </c>
      <c r="I98" s="13">
        <f t="shared" si="1"/>
        <v>1.5346695289778699E-5</v>
      </c>
    </row>
    <row r="99" spans="8:9" x14ac:dyDescent="0.25">
      <c r="H99" s="13">
        <v>4.9000000000000004</v>
      </c>
      <c r="I99" s="13">
        <f t="shared" si="1"/>
        <v>1.3539897729634468E-5</v>
      </c>
    </row>
    <row r="100" spans="8:9" x14ac:dyDescent="0.25">
      <c r="H100" s="13">
        <v>4.95</v>
      </c>
      <c r="I100" s="13">
        <f t="shared" si="1"/>
        <v>1.1955089935501129E-5</v>
      </c>
    </row>
    <row r="101" spans="8:9" x14ac:dyDescent="0.25">
      <c r="H101" s="13">
        <v>5</v>
      </c>
      <c r="I101" s="13">
        <f t="shared" si="1"/>
        <v>1.056389450991539E-5</v>
      </c>
    </row>
  </sheetData>
  <mergeCells count="1">
    <mergeCell ref="D19:E2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7753-BA20-4393-900B-FF3E06F6626A}">
  <dimension ref="A1:B15"/>
  <sheetViews>
    <sheetView showGridLines="0" zoomScale="85" zoomScaleNormal="85" workbookViewId="0"/>
  </sheetViews>
  <sheetFormatPr defaultRowHeight="15" x14ac:dyDescent="0.25"/>
  <cols>
    <col min="1" max="2" width="22.7109375" style="11" customWidth="1"/>
    <col min="3" max="16384" width="9.140625" style="11"/>
  </cols>
  <sheetData>
    <row r="1" spans="1:2" x14ac:dyDescent="0.25">
      <c r="A1" s="10" t="s">
        <v>142</v>
      </c>
      <c r="B1" s="10" t="s">
        <v>183</v>
      </c>
    </row>
    <row r="2" spans="1:2" x14ac:dyDescent="0.25">
      <c r="A2" s="12" t="s">
        <v>29</v>
      </c>
      <c r="B2" s="13">
        <v>47</v>
      </c>
    </row>
    <row r="3" spans="1:2" x14ac:dyDescent="0.25">
      <c r="A3" s="12" t="s">
        <v>54</v>
      </c>
      <c r="B3" s="13">
        <v>1</v>
      </c>
    </row>
    <row r="5" spans="1:2" x14ac:dyDescent="0.25">
      <c r="A5" s="12" t="s">
        <v>182</v>
      </c>
      <c r="B5" s="12">
        <v>25</v>
      </c>
    </row>
    <row r="7" spans="1:2" x14ac:dyDescent="0.25">
      <c r="A7" s="16" t="s">
        <v>184</v>
      </c>
      <c r="B7" s="17">
        <v>0.95</v>
      </c>
    </row>
    <row r="8" spans="1:2" x14ac:dyDescent="0.25">
      <c r="A8" s="31"/>
    </row>
    <row r="9" spans="1:2" x14ac:dyDescent="0.25">
      <c r="A9" s="62" t="s">
        <v>187</v>
      </c>
      <c r="B9" s="90">
        <f>_xlfn.CONFIDENCE.T(1-B7,B3,B5)</f>
        <v>0.41277971232560512</v>
      </c>
    </row>
    <row r="10" spans="1:2" x14ac:dyDescent="0.25">
      <c r="A10" s="31"/>
      <c r="B10" s="88"/>
    </row>
    <row r="11" spans="1:2" x14ac:dyDescent="0.25">
      <c r="A11" s="91" t="s">
        <v>185</v>
      </c>
      <c r="B11" s="92">
        <f>B2-B9</f>
        <v>46.587220287674398</v>
      </c>
    </row>
    <row r="12" spans="1:2" x14ac:dyDescent="0.25">
      <c r="A12" s="91" t="s">
        <v>186</v>
      </c>
      <c r="B12" s="92">
        <f>B2+B9</f>
        <v>47.412779712325602</v>
      </c>
    </row>
    <row r="13" spans="1:2" x14ac:dyDescent="0.25">
      <c r="A13" s="31"/>
      <c r="B13" s="77"/>
    </row>
    <row r="15" spans="1:2" x14ac:dyDescent="0.25">
      <c r="A15" s="30" t="s">
        <v>188</v>
      </c>
      <c r="B15" s="89">
        <f>_xlfn.T.INV.2T(0.05,24)</f>
        <v>2.0638985616280254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4D9C-2181-4CCB-A967-3853C1B7AFEB}">
  <dimension ref="A1:O27"/>
  <sheetViews>
    <sheetView showGridLines="0" zoomScale="85" zoomScaleNormal="85" workbookViewId="0"/>
  </sheetViews>
  <sheetFormatPr defaultRowHeight="15" x14ac:dyDescent="0.25"/>
  <cols>
    <col min="1" max="2" width="12.85546875" customWidth="1"/>
    <col min="4" max="4" width="20.7109375" customWidth="1"/>
    <col min="9" max="9" width="30.7109375" customWidth="1"/>
    <col min="13" max="13" width="34.5703125" customWidth="1"/>
  </cols>
  <sheetData>
    <row r="1" spans="1:15" x14ac:dyDescent="0.25">
      <c r="A1" s="4" t="s">
        <v>208</v>
      </c>
      <c r="B1" s="4" t="s">
        <v>209</v>
      </c>
      <c r="D1" s="98"/>
      <c r="E1" s="4" t="s">
        <v>210</v>
      </c>
      <c r="F1" s="4" t="s">
        <v>211</v>
      </c>
      <c r="I1" s="154" t="s">
        <v>189</v>
      </c>
      <c r="J1" s="155"/>
      <c r="M1" t="s">
        <v>190</v>
      </c>
    </row>
    <row r="2" spans="1:15" ht="15.75" thickBot="1" x14ac:dyDescent="0.3">
      <c r="A2" s="60">
        <v>197.5</v>
      </c>
      <c r="B2" s="60">
        <v>189.3</v>
      </c>
      <c r="D2" s="99" t="s">
        <v>48</v>
      </c>
      <c r="E2" s="3">
        <f>COUNT(A2:A16)</f>
        <v>15</v>
      </c>
      <c r="F2" s="3">
        <f>COUNT(B2:B16)</f>
        <v>15</v>
      </c>
      <c r="G2" s="1"/>
      <c r="I2" s="43" t="s">
        <v>191</v>
      </c>
      <c r="J2" s="3">
        <f>SQRT(((E2-1)*E3+(F2-1)*F3)/(E2+F2-2))</f>
        <v>2.8757276511883916</v>
      </c>
      <c r="K2" s="1"/>
      <c r="L2" s="1"/>
    </row>
    <row r="3" spans="1:15" x14ac:dyDescent="0.25">
      <c r="A3" s="60">
        <v>190.9</v>
      </c>
      <c r="B3" s="60">
        <v>188.3</v>
      </c>
      <c r="D3" s="99" t="s">
        <v>30</v>
      </c>
      <c r="E3" s="60">
        <f>_xlfn.VAR.S(A2:A16)</f>
        <v>9.9098095238095034</v>
      </c>
      <c r="F3" s="60">
        <f>_xlfn.VAR.S(B2:B16)</f>
        <v>6.6298095238095076</v>
      </c>
      <c r="G3" s="100"/>
      <c r="I3" s="112"/>
      <c r="J3" s="111"/>
      <c r="M3" s="37"/>
      <c r="N3" s="37" t="s">
        <v>210</v>
      </c>
      <c r="O3" s="37" t="s">
        <v>211</v>
      </c>
    </row>
    <row r="4" spans="1:15" x14ac:dyDescent="0.25">
      <c r="A4" s="60">
        <v>188.3</v>
      </c>
      <c r="B4" s="60">
        <v>196</v>
      </c>
      <c r="D4" s="99" t="s">
        <v>29</v>
      </c>
      <c r="E4" s="97">
        <f>AVERAGE(A2:A16)</f>
        <v>195.04666666666665</v>
      </c>
      <c r="F4" s="97">
        <f>AVERAGE(B2:B16)</f>
        <v>190.78666666666669</v>
      </c>
      <c r="G4" s="101"/>
      <c r="I4" s="43" t="s">
        <v>93</v>
      </c>
      <c r="J4" s="108">
        <f>(E4-F4)/(J2*SQRT((1/E2)+(1/F2)))</f>
        <v>4.0568829492732981</v>
      </c>
      <c r="K4" s="93"/>
      <c r="L4" s="93"/>
      <c r="M4" t="s">
        <v>29</v>
      </c>
      <c r="N4">
        <v>195.04666666666665</v>
      </c>
      <c r="O4">
        <v>190.78666666666669</v>
      </c>
    </row>
    <row r="5" spans="1:15" x14ac:dyDescent="0.25">
      <c r="A5" s="60">
        <v>192.6</v>
      </c>
      <c r="B5" s="60">
        <v>188.8</v>
      </c>
      <c r="I5" s="43" t="s">
        <v>34</v>
      </c>
      <c r="J5" s="109">
        <v>0.05</v>
      </c>
      <c r="K5" s="94"/>
      <c r="L5" s="94"/>
      <c r="M5" t="s">
        <v>30</v>
      </c>
      <c r="N5">
        <v>9.9098095238095034</v>
      </c>
      <c r="O5">
        <v>6.6298095238095076</v>
      </c>
    </row>
    <row r="6" spans="1:15" x14ac:dyDescent="0.25">
      <c r="A6" s="60">
        <v>199.2</v>
      </c>
      <c r="B6" s="60">
        <v>190.7</v>
      </c>
      <c r="D6" s="104" t="s">
        <v>192</v>
      </c>
      <c r="E6" s="105">
        <f>E3/F3</f>
        <v>1.4947351787740801</v>
      </c>
      <c r="I6" s="43" t="s">
        <v>193</v>
      </c>
      <c r="J6" s="3">
        <f>+E2+F2-2</f>
        <v>28</v>
      </c>
      <c r="K6" s="1"/>
      <c r="L6" s="1"/>
      <c r="M6" t="s">
        <v>124</v>
      </c>
      <c r="N6">
        <v>15</v>
      </c>
      <c r="O6">
        <v>15</v>
      </c>
    </row>
    <row r="7" spans="1:15" x14ac:dyDescent="0.25">
      <c r="A7" s="60">
        <v>196.9</v>
      </c>
      <c r="B7" s="60">
        <v>194.9</v>
      </c>
      <c r="D7" s="104" t="s">
        <v>34</v>
      </c>
      <c r="E7" s="106">
        <v>0.05</v>
      </c>
      <c r="I7" s="43" t="s">
        <v>194</v>
      </c>
      <c r="J7" s="110">
        <f>_xlfn.T.INV.2T(J5,J6)</f>
        <v>2.0484071417952445</v>
      </c>
      <c r="K7" s="39"/>
      <c r="L7" s="39"/>
      <c r="M7" t="s">
        <v>195</v>
      </c>
      <c r="N7">
        <v>8.2698095238095046</v>
      </c>
    </row>
    <row r="8" spans="1:15" x14ac:dyDescent="0.25">
      <c r="A8" s="60">
        <v>196.9</v>
      </c>
      <c r="B8" s="60">
        <v>186.9</v>
      </c>
      <c r="D8" s="104" t="s">
        <v>196</v>
      </c>
      <c r="E8" s="107">
        <f>_xlfn.F.INV.RT(E7,E2-1,F2-1)</f>
        <v>2.4837257411282234</v>
      </c>
      <c r="M8" t="s">
        <v>197</v>
      </c>
      <c r="N8">
        <v>0</v>
      </c>
    </row>
    <row r="9" spans="1:15" x14ac:dyDescent="0.25">
      <c r="A9" s="60">
        <v>198.6</v>
      </c>
      <c r="B9" s="60">
        <v>190</v>
      </c>
      <c r="E9" s="93"/>
      <c r="M9" t="s">
        <v>125</v>
      </c>
      <c r="N9">
        <v>28</v>
      </c>
    </row>
    <row r="10" spans="1:15" x14ac:dyDescent="0.25">
      <c r="A10" s="60">
        <v>192</v>
      </c>
      <c r="B10" s="60">
        <v>191.7</v>
      </c>
      <c r="D10" s="95" t="s">
        <v>37</v>
      </c>
      <c r="E10" s="96" t="s">
        <v>198</v>
      </c>
      <c r="I10" s="95" t="s">
        <v>37</v>
      </c>
      <c r="J10" s="96" t="s">
        <v>143</v>
      </c>
      <c r="M10" t="s">
        <v>199</v>
      </c>
      <c r="N10">
        <v>4.0568829492732981</v>
      </c>
    </row>
    <row r="11" spans="1:15" ht="15" customHeight="1" x14ac:dyDescent="0.25">
      <c r="A11" s="60">
        <v>197.5</v>
      </c>
      <c r="B11" s="60">
        <v>189.2</v>
      </c>
      <c r="D11" s="95" t="s">
        <v>38</v>
      </c>
      <c r="E11" s="96" t="s">
        <v>200</v>
      </c>
      <c r="I11" s="95" t="s">
        <v>38</v>
      </c>
      <c r="J11" s="96" t="s">
        <v>201</v>
      </c>
      <c r="M11" t="s">
        <v>202</v>
      </c>
      <c r="N11">
        <v>1.8034940853772942E-4</v>
      </c>
    </row>
    <row r="12" spans="1:15" x14ac:dyDescent="0.25">
      <c r="A12" s="60">
        <v>195</v>
      </c>
      <c r="B12" s="60">
        <v>190.3</v>
      </c>
      <c r="M12" t="s">
        <v>203</v>
      </c>
      <c r="N12">
        <v>1.7011309342659326</v>
      </c>
    </row>
    <row r="13" spans="1:15" ht="15" customHeight="1" x14ac:dyDescent="0.25">
      <c r="A13" s="60">
        <v>193.9</v>
      </c>
      <c r="B13" s="60">
        <v>191.1</v>
      </c>
      <c r="D13" s="173" t="s">
        <v>204</v>
      </c>
      <c r="E13" s="173"/>
      <c r="F13" s="173"/>
      <c r="G13" s="173"/>
      <c r="I13" s="164" t="s">
        <v>205</v>
      </c>
      <c r="J13" s="165"/>
      <c r="K13" s="166"/>
      <c r="L13" s="102"/>
      <c r="M13" t="s">
        <v>206</v>
      </c>
      <c r="N13">
        <v>3.6069881707545884E-4</v>
      </c>
    </row>
    <row r="14" spans="1:15" ht="15.75" thickBot="1" x14ac:dyDescent="0.3">
      <c r="A14" s="60">
        <v>197.7</v>
      </c>
      <c r="B14" s="60">
        <v>189.6</v>
      </c>
      <c r="D14" s="173"/>
      <c r="E14" s="173"/>
      <c r="F14" s="173"/>
      <c r="G14" s="173"/>
      <c r="I14" s="167"/>
      <c r="J14" s="168"/>
      <c r="K14" s="169"/>
      <c r="L14" s="102"/>
      <c r="M14" s="25" t="s">
        <v>207</v>
      </c>
      <c r="N14" s="25">
        <v>2.0484071417952445</v>
      </c>
      <c r="O14" s="25"/>
    </row>
    <row r="15" spans="1:15" x14ac:dyDescent="0.25">
      <c r="A15" s="60">
        <v>195.5</v>
      </c>
      <c r="B15" s="60">
        <v>194.7</v>
      </c>
      <c r="D15" s="173"/>
      <c r="E15" s="173"/>
      <c r="F15" s="173"/>
      <c r="G15" s="173"/>
      <c r="I15" s="167"/>
      <c r="J15" s="168"/>
      <c r="K15" s="169"/>
      <c r="L15" s="102"/>
    </row>
    <row r="16" spans="1:15" x14ac:dyDescent="0.25">
      <c r="A16" s="60">
        <v>193.2</v>
      </c>
      <c r="B16" s="60">
        <v>190.3</v>
      </c>
      <c r="D16" s="173"/>
      <c r="E16" s="173"/>
      <c r="F16" s="173"/>
      <c r="G16" s="173"/>
      <c r="I16" s="170"/>
      <c r="J16" s="171"/>
      <c r="K16" s="172"/>
      <c r="L16" s="102"/>
    </row>
    <row r="18" spans="4:7" x14ac:dyDescent="0.25">
      <c r="D18" t="s">
        <v>121</v>
      </c>
    </row>
    <row r="19" spans="4:7" ht="15.75" thickBot="1" x14ac:dyDescent="0.3"/>
    <row r="20" spans="4:7" x14ac:dyDescent="0.25">
      <c r="D20" s="37"/>
      <c r="E20" s="37" t="s">
        <v>210</v>
      </c>
      <c r="F20" s="37" t="s">
        <v>211</v>
      </c>
      <c r="G20" s="103"/>
    </row>
    <row r="21" spans="4:7" x14ac:dyDescent="0.25">
      <c r="D21" t="s">
        <v>29</v>
      </c>
      <c r="E21">
        <v>195.04666666666665</v>
      </c>
      <c r="F21">
        <v>190.78666666666669</v>
      </c>
    </row>
    <row r="22" spans="4:7" x14ac:dyDescent="0.25">
      <c r="D22" t="s">
        <v>30</v>
      </c>
      <c r="E22">
        <v>9.9098095238095034</v>
      </c>
      <c r="F22">
        <v>6.6298095238095076</v>
      </c>
    </row>
    <row r="23" spans="4:7" x14ac:dyDescent="0.25">
      <c r="D23" t="s">
        <v>124</v>
      </c>
      <c r="E23">
        <v>15</v>
      </c>
      <c r="F23">
        <v>15</v>
      </c>
    </row>
    <row r="24" spans="4:7" x14ac:dyDescent="0.25">
      <c r="D24" t="s">
        <v>125</v>
      </c>
      <c r="E24">
        <v>14</v>
      </c>
      <c r="F24">
        <v>14</v>
      </c>
    </row>
    <row r="25" spans="4:7" x14ac:dyDescent="0.25">
      <c r="D25" t="s">
        <v>119</v>
      </c>
      <c r="E25">
        <v>1.4947351787740801</v>
      </c>
    </row>
    <row r="26" spans="4:7" x14ac:dyDescent="0.25">
      <c r="D26" t="s">
        <v>126</v>
      </c>
      <c r="E26">
        <v>0.2307858039396018</v>
      </c>
    </row>
    <row r="27" spans="4:7" ht="15.75" thickBot="1" x14ac:dyDescent="0.3">
      <c r="D27" s="25" t="s">
        <v>127</v>
      </c>
      <c r="E27" s="25">
        <v>2.4837257411282234</v>
      </c>
      <c r="F27" s="25"/>
    </row>
  </sheetData>
  <mergeCells count="3">
    <mergeCell ref="I13:K16"/>
    <mergeCell ref="I1:J1"/>
    <mergeCell ref="D13:G16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EA8E1-C2D7-471A-9E9B-691AEB96D1A5}">
  <dimension ref="A1:O37"/>
  <sheetViews>
    <sheetView showGridLines="0" workbookViewId="0"/>
  </sheetViews>
  <sheetFormatPr defaultRowHeight="15" x14ac:dyDescent="0.25"/>
  <sheetData>
    <row r="1" spans="1:15" x14ac:dyDescent="0.25">
      <c r="A1" s="117" t="s">
        <v>108</v>
      </c>
      <c r="B1" s="118">
        <v>0</v>
      </c>
      <c r="C1" s="119">
        <v>0.01</v>
      </c>
      <c r="D1" s="119">
        <v>0.02</v>
      </c>
      <c r="E1" s="119">
        <v>0.03</v>
      </c>
      <c r="F1" s="119">
        <v>0.04</v>
      </c>
      <c r="G1" s="119">
        <v>0.05</v>
      </c>
      <c r="H1" s="119">
        <v>0.06</v>
      </c>
      <c r="I1" s="119">
        <v>7.0000000000000007E-2</v>
      </c>
      <c r="J1" s="119">
        <v>0.08</v>
      </c>
      <c r="K1" s="119">
        <v>0.09</v>
      </c>
      <c r="M1" s="174" t="s">
        <v>233</v>
      </c>
      <c r="N1" s="175"/>
      <c r="O1" s="176"/>
    </row>
    <row r="2" spans="1:15" x14ac:dyDescent="0.25">
      <c r="A2" s="120">
        <v>0</v>
      </c>
      <c r="B2" s="121">
        <f>1-_xlfn.NORM.S.DIST($A2+B$1,TRUE)</f>
        <v>0.5</v>
      </c>
      <c r="C2" s="121">
        <f t="shared" ref="C2:K17" si="0">1-_xlfn.NORM.S.DIST($A2+C$1,TRUE)</f>
        <v>0.4960106436853684</v>
      </c>
      <c r="D2" s="121">
        <f t="shared" si="0"/>
        <v>0.49202168628309795</v>
      </c>
      <c r="E2" s="121">
        <f t="shared" si="0"/>
        <v>0.48803352658588728</v>
      </c>
      <c r="F2" s="121">
        <f t="shared" si="0"/>
        <v>0.48404656314716932</v>
      </c>
      <c r="G2" s="121">
        <f t="shared" si="0"/>
        <v>0.48006119416162751</v>
      </c>
      <c r="H2" s="121">
        <f t="shared" si="0"/>
        <v>0.47607781734589316</v>
      </c>
      <c r="I2" s="121">
        <f t="shared" si="0"/>
        <v>0.47209682981947887</v>
      </c>
      <c r="J2" s="121">
        <f t="shared" si="0"/>
        <v>0.46811862798601256</v>
      </c>
      <c r="K2" s="121">
        <f t="shared" si="0"/>
        <v>0.46414360741482796</v>
      </c>
      <c r="M2" s="177"/>
      <c r="N2" s="178"/>
      <c r="O2" s="179"/>
    </row>
    <row r="3" spans="1:15" x14ac:dyDescent="0.25">
      <c r="A3" s="120">
        <v>0.1</v>
      </c>
      <c r="B3" s="121">
        <f t="shared" ref="B3:K18" si="1">1-_xlfn.NORM.S.DIST($A3+B$1,TRUE)</f>
        <v>0.46017216272297101</v>
      </c>
      <c r="C3" s="121">
        <f t="shared" si="0"/>
        <v>0.45620468745768328</v>
      </c>
      <c r="D3" s="121">
        <f t="shared" si="0"/>
        <v>0.45224157397941611</v>
      </c>
      <c r="E3" s="121">
        <f t="shared" si="0"/>
        <v>0.44828321334543886</v>
      </c>
      <c r="F3" s="121">
        <f t="shared" si="0"/>
        <v>0.44432999519409355</v>
      </c>
      <c r="G3" s="121">
        <f t="shared" si="0"/>
        <v>0.4403823076297575</v>
      </c>
      <c r="H3" s="121">
        <f t="shared" si="0"/>
        <v>0.43644053710856712</v>
      </c>
      <c r="I3" s="121">
        <f t="shared" si="0"/>
        <v>0.43250506832496161</v>
      </c>
      <c r="J3" s="121">
        <f t="shared" si="0"/>
        <v>0.4285762840990992</v>
      </c>
      <c r="K3" s="121">
        <f t="shared" si="0"/>
        <v>0.42465456526520451</v>
      </c>
      <c r="M3" s="177"/>
      <c r="N3" s="178"/>
      <c r="O3" s="179"/>
    </row>
    <row r="4" spans="1:15" x14ac:dyDescent="0.25">
      <c r="A4" s="120">
        <v>0.2</v>
      </c>
      <c r="B4" s="121">
        <f t="shared" si="1"/>
        <v>0.42074029056089701</v>
      </c>
      <c r="C4" s="121">
        <f t="shared" si="0"/>
        <v>0.41683383651755768</v>
      </c>
      <c r="D4" s="121">
        <f t="shared" si="0"/>
        <v>0.41293557735178532</v>
      </c>
      <c r="E4" s="121">
        <f t="shared" si="0"/>
        <v>0.40904588485799409</v>
      </c>
      <c r="F4" s="121">
        <f t="shared" si="0"/>
        <v>0.40516512830220419</v>
      </c>
      <c r="G4" s="121">
        <f t="shared" si="0"/>
        <v>0.4012936743170763</v>
      </c>
      <c r="H4" s="121">
        <f t="shared" si="0"/>
        <v>0.39743188679823949</v>
      </c>
      <c r="I4" s="121">
        <f t="shared" si="0"/>
        <v>0.39358012680196053</v>
      </c>
      <c r="J4" s="121">
        <f t="shared" si="0"/>
        <v>0.38973875244420275</v>
      </c>
      <c r="K4" s="121">
        <f t="shared" si="0"/>
        <v>0.38590811880112263</v>
      </c>
      <c r="M4" s="180"/>
      <c r="N4" s="181"/>
      <c r="O4" s="182"/>
    </row>
    <row r="5" spans="1:15" x14ac:dyDescent="0.25">
      <c r="A5" s="120">
        <v>0.3</v>
      </c>
      <c r="B5" s="121">
        <f t="shared" si="1"/>
        <v>0.38208857781104733</v>
      </c>
      <c r="C5" s="121">
        <f t="shared" si="0"/>
        <v>0.37828047817798072</v>
      </c>
      <c r="D5" s="121">
        <f t="shared" si="0"/>
        <v>0.37448416527667994</v>
      </c>
      <c r="E5" s="121">
        <f t="shared" si="0"/>
        <v>0.37069998105934654</v>
      </c>
      <c r="F5" s="121">
        <f t="shared" si="0"/>
        <v>0.36692826396397193</v>
      </c>
      <c r="G5" s="121">
        <f t="shared" si="0"/>
        <v>0.3631693488243809</v>
      </c>
      <c r="H5" s="121">
        <f t="shared" si="0"/>
        <v>0.35942356678200871</v>
      </c>
      <c r="I5" s="121">
        <f t="shared" si="0"/>
        <v>0.35569124519945317</v>
      </c>
      <c r="J5" s="121">
        <f t="shared" si="0"/>
        <v>0.35197270757583721</v>
      </c>
      <c r="K5" s="121">
        <f t="shared" si="0"/>
        <v>0.34826827346401756</v>
      </c>
    </row>
    <row r="6" spans="1:15" x14ac:dyDescent="0.25">
      <c r="A6" s="120">
        <v>0.4</v>
      </c>
      <c r="B6" s="121">
        <f t="shared" si="1"/>
        <v>0.34457825838967571</v>
      </c>
      <c r="C6" s="121">
        <f t="shared" si="0"/>
        <v>0.34090297377232259</v>
      </c>
      <c r="D6" s="121">
        <f t="shared" si="0"/>
        <v>0.33724272684824941</v>
      </c>
      <c r="E6" s="121">
        <f t="shared" si="0"/>
        <v>0.33359782059545762</v>
      </c>
      <c r="F6" s="121">
        <f t="shared" si="0"/>
        <v>0.32996855366059363</v>
      </c>
      <c r="G6" s="121">
        <f t="shared" si="0"/>
        <v>0.32635522028791997</v>
      </c>
      <c r="H6" s="121">
        <f t="shared" si="0"/>
        <v>0.32275811025034773</v>
      </c>
      <c r="I6" s="121">
        <f t="shared" si="0"/>
        <v>0.3191775087825558</v>
      </c>
      <c r="J6" s="121">
        <f t="shared" si="0"/>
        <v>0.31561369651622251</v>
      </c>
      <c r="K6" s="121">
        <f t="shared" si="0"/>
        <v>0.31206694941739055</v>
      </c>
    </row>
    <row r="7" spans="1:15" x14ac:dyDescent="0.25">
      <c r="A7" s="120">
        <v>0.5</v>
      </c>
      <c r="B7" s="121">
        <f t="shared" si="1"/>
        <v>0.30853753872598688</v>
      </c>
      <c r="C7" s="121">
        <f t="shared" si="0"/>
        <v>0.30502573089751939</v>
      </c>
      <c r="D7" s="121">
        <f t="shared" si="0"/>
        <v>0.30153178754696619</v>
      </c>
      <c r="E7" s="121">
        <f t="shared" si="0"/>
        <v>0.29805596539487644</v>
      </c>
      <c r="F7" s="121">
        <f t="shared" si="0"/>
        <v>0.29459851621569799</v>
      </c>
      <c r="G7" s="121">
        <f t="shared" si="0"/>
        <v>0.29115968678834636</v>
      </c>
      <c r="H7" s="121">
        <f t="shared" si="0"/>
        <v>0.28773971884902705</v>
      </c>
      <c r="I7" s="121">
        <f t="shared" si="0"/>
        <v>0.28433884904632412</v>
      </c>
      <c r="J7" s="121">
        <f t="shared" si="0"/>
        <v>0.2809573088985643</v>
      </c>
      <c r="K7" s="121">
        <f t="shared" si="0"/>
        <v>0.27759532475346493</v>
      </c>
    </row>
    <row r="8" spans="1:15" x14ac:dyDescent="0.25">
      <c r="A8" s="120">
        <v>0.6</v>
      </c>
      <c r="B8" s="121">
        <f t="shared" si="1"/>
        <v>0.27425311775007355</v>
      </c>
      <c r="C8" s="121">
        <f t="shared" si="0"/>
        <v>0.27093090378300566</v>
      </c>
      <c r="D8" s="121">
        <f t="shared" si="0"/>
        <v>0.267628893468983</v>
      </c>
      <c r="E8" s="121">
        <f t="shared" si="0"/>
        <v>0.26434729211567753</v>
      </c>
      <c r="F8" s="121">
        <f t="shared" si="0"/>
        <v>0.26108629969286157</v>
      </c>
      <c r="G8" s="121">
        <f t="shared" si="0"/>
        <v>0.25784611080586473</v>
      </c>
      <c r="H8" s="121">
        <f t="shared" si="0"/>
        <v>0.25462691467133614</v>
      </c>
      <c r="I8" s="121">
        <f t="shared" si="0"/>
        <v>0.25142889509531008</v>
      </c>
      <c r="J8" s="121">
        <f t="shared" si="0"/>
        <v>0.24825223045357048</v>
      </c>
      <c r="K8" s="121">
        <f t="shared" si="0"/>
        <v>0.24509709367430943</v>
      </c>
    </row>
    <row r="9" spans="1:15" x14ac:dyDescent="0.25">
      <c r="A9" s="120">
        <v>0.7</v>
      </c>
      <c r="B9" s="121">
        <f t="shared" si="1"/>
        <v>0.24196365222307303</v>
      </c>
      <c r="C9" s="121">
        <f t="shared" si="0"/>
        <v>0.23885206808998671</v>
      </c>
      <c r="D9" s="121">
        <f t="shared" si="0"/>
        <v>0.23576249777925118</v>
      </c>
      <c r="E9" s="121">
        <f t="shared" si="0"/>
        <v>0.23269509230089747</v>
      </c>
      <c r="F9" s="121">
        <f t="shared" si="0"/>
        <v>0.22964999716479062</v>
      </c>
      <c r="G9" s="121">
        <f t="shared" si="0"/>
        <v>0.22662735237686826</v>
      </c>
      <c r="H9" s="121">
        <f t="shared" si="0"/>
        <v>0.22362729243759938</v>
      </c>
      <c r="I9" s="121">
        <f t="shared" si="0"/>
        <v>0.22064994634264956</v>
      </c>
      <c r="J9" s="121">
        <f t="shared" si="0"/>
        <v>0.21769543758573318</v>
      </c>
      <c r="K9" s="121">
        <f t="shared" si="0"/>
        <v>0.21476388416363723</v>
      </c>
    </row>
    <row r="10" spans="1:15" x14ac:dyDescent="0.25">
      <c r="A10" s="120">
        <v>0.8</v>
      </c>
      <c r="B10" s="121">
        <f t="shared" si="1"/>
        <v>0.21185539858339664</v>
      </c>
      <c r="C10" s="121">
        <f t="shared" si="0"/>
        <v>0.20897008787160165</v>
      </c>
      <c r="D10" s="121">
        <f t="shared" si="0"/>
        <v>0.20610805358581308</v>
      </c>
      <c r="E10" s="121">
        <f t="shared" si="0"/>
        <v>0.20326939182806836</v>
      </c>
      <c r="F10" s="121">
        <f t="shared" si="0"/>
        <v>0.20045419326044966</v>
      </c>
      <c r="G10" s="121">
        <f t="shared" si="0"/>
        <v>0.19766254312269238</v>
      </c>
      <c r="H10" s="121">
        <f t="shared" si="0"/>
        <v>0.19489452125180828</v>
      </c>
      <c r="I10" s="121">
        <f t="shared" si="0"/>
        <v>0.19215020210369615</v>
      </c>
      <c r="J10" s="121">
        <f t="shared" si="0"/>
        <v>0.18942965477671214</v>
      </c>
      <c r="K10" s="121">
        <f t="shared" si="0"/>
        <v>0.18673294303717258</v>
      </c>
    </row>
    <row r="11" spans="1:15" x14ac:dyDescent="0.25">
      <c r="A11" s="120">
        <v>0.9</v>
      </c>
      <c r="B11" s="121">
        <f t="shared" si="1"/>
        <v>0.18406012534675953</v>
      </c>
      <c r="C11" s="121">
        <f t="shared" si="0"/>
        <v>0.18141125489179721</v>
      </c>
      <c r="D11" s="121">
        <f t="shared" si="0"/>
        <v>0.17878637961437172</v>
      </c>
      <c r="E11" s="121">
        <f t="shared" si="0"/>
        <v>0.17618554224525784</v>
      </c>
      <c r="F11" s="121">
        <f t="shared" si="0"/>
        <v>0.17360878033862448</v>
      </c>
      <c r="G11" s="121">
        <f t="shared" si="0"/>
        <v>0.17105612630848177</v>
      </c>
      <c r="H11" s="121">
        <f t="shared" si="0"/>
        <v>0.16852760746683781</v>
      </c>
      <c r="I11" s="121">
        <f t="shared" si="0"/>
        <v>0.16602324606352958</v>
      </c>
      <c r="J11" s="121">
        <f t="shared" si="0"/>
        <v>0.16354305932769231</v>
      </c>
      <c r="K11" s="121">
        <f t="shared" si="0"/>
        <v>0.16108705951083091</v>
      </c>
    </row>
    <row r="12" spans="1:15" x14ac:dyDescent="0.25">
      <c r="A12" s="120">
        <v>1</v>
      </c>
      <c r="B12" s="121">
        <f t="shared" si="1"/>
        <v>0.15865525393145696</v>
      </c>
      <c r="C12" s="121">
        <f t="shared" si="0"/>
        <v>0.15624764502125454</v>
      </c>
      <c r="D12" s="121">
        <f t="shared" si="0"/>
        <v>0.15386423037273489</v>
      </c>
      <c r="E12" s="121">
        <f t="shared" si="0"/>
        <v>0.15150500278834367</v>
      </c>
      <c r="F12" s="121">
        <f t="shared" si="0"/>
        <v>0.14916995033098135</v>
      </c>
      <c r="G12" s="121">
        <f t="shared" si="0"/>
        <v>0.14685905637589591</v>
      </c>
      <c r="H12" s="121">
        <f t="shared" si="0"/>
        <v>0.14457229966390961</v>
      </c>
      <c r="I12" s="121">
        <f t="shared" si="0"/>
        <v>0.14230965435593923</v>
      </c>
      <c r="J12" s="121">
        <f t="shared" si="0"/>
        <v>0.14007109008876906</v>
      </c>
      <c r="K12" s="121">
        <f t="shared" si="0"/>
        <v>0.1378565720320355</v>
      </c>
    </row>
    <row r="13" spans="1:15" x14ac:dyDescent="0.25">
      <c r="A13" s="120">
        <v>1.1000000000000001</v>
      </c>
      <c r="B13" s="121">
        <f t="shared" si="1"/>
        <v>0.13566606094638267</v>
      </c>
      <c r="C13" s="121">
        <f t="shared" si="0"/>
        <v>0.13349951324274723</v>
      </c>
      <c r="D13" s="121">
        <f t="shared" si="0"/>
        <v>0.13135688104273069</v>
      </c>
      <c r="E13" s="121">
        <f t="shared" si="0"/>
        <v>0.1292381122400178</v>
      </c>
      <c r="F13" s="121">
        <f t="shared" si="0"/>
        <v>0.12714315056279824</v>
      </c>
      <c r="G13" s="121">
        <f t="shared" si="0"/>
        <v>0.12507193563715013</v>
      </c>
      <c r="H13" s="121">
        <f t="shared" si="0"/>
        <v>0.12302440305134332</v>
      </c>
      <c r="I13" s="121">
        <f t="shared" si="0"/>
        <v>0.12100048442101818</v>
      </c>
      <c r="J13" s="121">
        <f t="shared" si="0"/>
        <v>0.11900010745520062</v>
      </c>
      <c r="K13" s="121">
        <f t="shared" si="0"/>
        <v>0.11702319602310873</v>
      </c>
    </row>
    <row r="14" spans="1:15" x14ac:dyDescent="0.25">
      <c r="A14" s="120">
        <v>1.2</v>
      </c>
      <c r="B14" s="121">
        <f t="shared" si="1"/>
        <v>0.11506967022170822</v>
      </c>
      <c r="C14" s="121">
        <f t="shared" si="0"/>
        <v>0.11313944644397722</v>
      </c>
      <c r="D14" s="121">
        <f t="shared" si="0"/>
        <v>0.11123243744783462</v>
      </c>
      <c r="E14" s="121">
        <f t="shared" si="0"/>
        <v>0.10934855242569186</v>
      </c>
      <c r="F14" s="121">
        <f t="shared" si="0"/>
        <v>0.10748769707458694</v>
      </c>
      <c r="G14" s="121">
        <f t="shared" si="0"/>
        <v>0.10564977366685524</v>
      </c>
      <c r="H14" s="121">
        <f t="shared" si="0"/>
        <v>0.10383468112130034</v>
      </c>
      <c r="I14" s="121">
        <f t="shared" si="0"/>
        <v>0.10204231507481909</v>
      </c>
      <c r="J14" s="121">
        <f t="shared" si="0"/>
        <v>0.10027256795444206</v>
      </c>
      <c r="K14" s="121">
        <f t="shared" si="0"/>
        <v>9.8525329049747867E-2</v>
      </c>
    </row>
    <row r="15" spans="1:15" x14ac:dyDescent="0.25">
      <c r="A15" s="120">
        <v>1.3</v>
      </c>
      <c r="B15" s="121">
        <f t="shared" si="1"/>
        <v>9.6800484585610302E-2</v>
      </c>
      <c r="C15" s="121">
        <f t="shared" si="0"/>
        <v>9.5097917795239018E-2</v>
      </c>
      <c r="D15" s="121">
        <f t="shared" si="0"/>
        <v>9.3417508993471787E-2</v>
      </c>
      <c r="E15" s="121">
        <f t="shared" si="0"/>
        <v>9.1759135650280821E-2</v>
      </c>
      <c r="F15" s="121">
        <f t="shared" si="0"/>
        <v>9.0122672464452491E-2</v>
      </c>
      <c r="G15" s="121">
        <f t="shared" si="0"/>
        <v>8.8507991437401956E-2</v>
      </c>
      <c r="H15" s="121">
        <f t="shared" si="0"/>
        <v>8.6914961947085034E-2</v>
      </c>
      <c r="I15" s="121">
        <f t="shared" si="0"/>
        <v>8.5343450821966926E-2</v>
      </c>
      <c r="J15" s="121">
        <f t="shared" si="0"/>
        <v>8.3793322415014249E-2</v>
      </c>
      <c r="K15" s="121">
        <f t="shared" si="0"/>
        <v>8.2264438677668861E-2</v>
      </c>
    </row>
    <row r="16" spans="1:15" x14ac:dyDescent="0.25">
      <c r="A16" s="120">
        <v>1.4</v>
      </c>
      <c r="B16" s="121">
        <f t="shared" si="1"/>
        <v>8.0756659233771066E-2</v>
      </c>
      <c r="C16" s="121">
        <f t="shared" si="0"/>
        <v>7.9269841453392442E-2</v>
      </c>
      <c r="D16" s="121">
        <f t="shared" si="0"/>
        <v>7.780384052654632E-2</v>
      </c>
      <c r="E16" s="121">
        <f t="shared" si="0"/>
        <v>7.6358509536739172E-2</v>
      </c>
      <c r="F16" s="121">
        <f t="shared" si="0"/>
        <v>7.4933699534327047E-2</v>
      </c>
      <c r="G16" s="121">
        <f t="shared" si="0"/>
        <v>7.3529259609648401E-2</v>
      </c>
      <c r="H16" s="121">
        <f t="shared" si="0"/>
        <v>7.2145036965893805E-2</v>
      </c>
      <c r="I16" s="121">
        <f t="shared" si="0"/>
        <v>7.078087699168556E-2</v>
      </c>
      <c r="J16" s="121">
        <f t="shared" si="0"/>
        <v>6.9436623333331671E-2</v>
      </c>
      <c r="K16" s="121">
        <f t="shared" si="0"/>
        <v>6.8112117966725449E-2</v>
      </c>
    </row>
    <row r="17" spans="1:11" x14ac:dyDescent="0.25">
      <c r="A17" s="120">
        <v>1.5</v>
      </c>
      <c r="B17" s="121">
        <f t="shared" si="1"/>
        <v>6.6807201268858085E-2</v>
      </c>
      <c r="C17" s="121">
        <f t="shared" si="0"/>
        <v>6.5521712088916439E-2</v>
      </c>
      <c r="D17" s="121">
        <f t="shared" si="0"/>
        <v>6.4255487818935753E-2</v>
      </c>
      <c r="E17" s="121">
        <f t="shared" si="0"/>
        <v>6.3008364463978395E-2</v>
      </c>
      <c r="F17" s="121">
        <f t="shared" si="0"/>
        <v>6.1780176711811907E-2</v>
      </c>
      <c r="G17" s="121">
        <f t="shared" si="0"/>
        <v>6.0570758002059022E-2</v>
      </c>
      <c r="H17" s="121">
        <f t="shared" si="0"/>
        <v>5.9379940594793013E-2</v>
      </c>
      <c r="I17" s="121">
        <f t="shared" si="0"/>
        <v>5.8207555638553066E-2</v>
      </c>
      <c r="J17" s="121">
        <f t="shared" si="0"/>
        <v>5.7053433237754136E-2</v>
      </c>
      <c r="K17" s="121">
        <f t="shared" si="0"/>
        <v>5.5917402519469417E-2</v>
      </c>
    </row>
    <row r="18" spans="1:11" x14ac:dyDescent="0.25">
      <c r="A18" s="120">
        <v>1.6</v>
      </c>
      <c r="B18" s="121">
        <f t="shared" si="1"/>
        <v>5.4799291699557995E-2</v>
      </c>
      <c r="C18" s="121">
        <f t="shared" si="1"/>
        <v>5.3698928148119718E-2</v>
      </c>
      <c r="D18" s="121">
        <f t="shared" si="1"/>
        <v>5.2616138454252059E-2</v>
      </c>
      <c r="E18" s="121">
        <f t="shared" si="1"/>
        <v>5.1550748490089338E-2</v>
      </c>
      <c r="F18" s="121">
        <f t="shared" si="1"/>
        <v>5.0502583474103746E-2</v>
      </c>
      <c r="G18" s="121">
        <f t="shared" si="1"/>
        <v>4.9471468033648103E-2</v>
      </c>
      <c r="H18" s="121">
        <f t="shared" si="1"/>
        <v>4.8457226266722775E-2</v>
      </c>
      <c r="I18" s="121">
        <f t="shared" si="1"/>
        <v>4.7459681802947351E-2</v>
      </c>
      <c r="J18" s="121">
        <f t="shared" si="1"/>
        <v>4.6478657863719963E-2</v>
      </c>
      <c r="K18" s="121">
        <f t="shared" si="1"/>
        <v>4.5513977321549826E-2</v>
      </c>
    </row>
    <row r="19" spans="1:11" x14ac:dyDescent="0.25">
      <c r="A19" s="120">
        <v>1.7</v>
      </c>
      <c r="B19" s="121">
        <f t="shared" ref="B19:K34" si="2">1-_xlfn.NORM.S.DIST($A19+B$1,TRUE)</f>
        <v>4.4565462758543006E-2</v>
      </c>
      <c r="C19" s="121">
        <f t="shared" si="2"/>
        <v>4.3632936524031884E-2</v>
      </c>
      <c r="D19" s="121">
        <f t="shared" si="2"/>
        <v>4.2716220791328863E-2</v>
      </c>
      <c r="E19" s="121">
        <f t="shared" si="2"/>
        <v>4.1815137613594899E-2</v>
      </c>
      <c r="F19" s="121">
        <f t="shared" si="2"/>
        <v>4.0929508978807316E-2</v>
      </c>
      <c r="G19" s="121">
        <f t="shared" si="2"/>
        <v>4.0059156863817114E-2</v>
      </c>
      <c r="H19" s="121">
        <f t="shared" si="2"/>
        <v>3.9203903287482689E-2</v>
      </c>
      <c r="I19" s="121">
        <f t="shared" si="2"/>
        <v>3.8363570362871191E-2</v>
      </c>
      <c r="J19" s="121">
        <f t="shared" si="2"/>
        <v>3.7537980348516742E-2</v>
      </c>
      <c r="K19" s="121">
        <f t="shared" si="2"/>
        <v>3.6726955698726305E-2</v>
      </c>
    </row>
    <row r="20" spans="1:11" x14ac:dyDescent="0.25">
      <c r="A20" s="120">
        <v>1.8</v>
      </c>
      <c r="B20" s="121">
        <f t="shared" si="2"/>
        <v>3.5930319112925768E-2</v>
      </c>
      <c r="C20" s="121">
        <f t="shared" si="2"/>
        <v>3.5147893584038803E-2</v>
      </c>
      <c r="D20" s="121">
        <f t="shared" si="2"/>
        <v>3.4379502445889942E-2</v>
      </c>
      <c r="E20" s="121">
        <f t="shared" si="2"/>
        <v>3.3624969419628337E-2</v>
      </c>
      <c r="F20" s="121">
        <f t="shared" si="2"/>
        <v>3.2884118659163852E-2</v>
      </c>
      <c r="G20" s="121">
        <f t="shared" si="2"/>
        <v>3.2156774795613741E-2</v>
      </c>
      <c r="H20" s="121">
        <f t="shared" si="2"/>
        <v>3.1442762980752659E-2</v>
      </c>
      <c r="I20" s="121">
        <f t="shared" si="2"/>
        <v>3.0741908929465933E-2</v>
      </c>
      <c r="J20" s="121">
        <f t="shared" si="2"/>
        <v>3.0054038961199736E-2</v>
      </c>
      <c r="K20" s="121">
        <f t="shared" si="2"/>
        <v>2.9378980040409397E-2</v>
      </c>
    </row>
    <row r="21" spans="1:11" x14ac:dyDescent="0.25">
      <c r="A21" s="120">
        <v>1.9</v>
      </c>
      <c r="B21" s="121">
        <f t="shared" si="2"/>
        <v>2.8716559816001852E-2</v>
      </c>
      <c r="C21" s="121">
        <f t="shared" si="2"/>
        <v>2.8066606659772564E-2</v>
      </c>
      <c r="D21" s="121">
        <f t="shared" si="2"/>
        <v>2.7428949703836802E-2</v>
      </c>
      <c r="E21" s="121">
        <f t="shared" si="2"/>
        <v>2.6803418877054952E-2</v>
      </c>
      <c r="F21" s="121">
        <f t="shared" si="2"/>
        <v>2.6189844940452733E-2</v>
      </c>
      <c r="G21" s="121">
        <f t="shared" si="2"/>
        <v>2.5588059521638562E-2</v>
      </c>
      <c r="H21" s="121">
        <f t="shared" si="2"/>
        <v>2.4997895148220484E-2</v>
      </c>
      <c r="I21" s="121">
        <f t="shared" si="2"/>
        <v>2.4419185280222577E-2</v>
      </c>
      <c r="J21" s="121">
        <f t="shared" si="2"/>
        <v>2.3851764341508486E-2</v>
      </c>
      <c r="K21" s="121">
        <f t="shared" si="2"/>
        <v>2.3295467750211851E-2</v>
      </c>
    </row>
    <row r="22" spans="1:11" x14ac:dyDescent="0.25">
      <c r="A22" s="120">
        <v>2</v>
      </c>
      <c r="B22" s="121">
        <f t="shared" si="2"/>
        <v>2.2750131948179209E-2</v>
      </c>
      <c r="C22" s="121">
        <f t="shared" si="2"/>
        <v>2.221559442943144E-2</v>
      </c>
      <c r="D22" s="121">
        <f t="shared" si="2"/>
        <v>2.1691693767646791E-2</v>
      </c>
      <c r="E22" s="121">
        <f t="shared" si="2"/>
        <v>2.1178269642672221E-2</v>
      </c>
      <c r="F22" s="121">
        <f t="shared" si="2"/>
        <v>2.0675162866070074E-2</v>
      </c>
      <c r="G22" s="121">
        <f t="shared" si="2"/>
        <v>2.0182215405704418E-2</v>
      </c>
      <c r="H22" s="121">
        <f t="shared" si="2"/>
        <v>1.9699270409376912E-2</v>
      </c>
      <c r="I22" s="121">
        <f t="shared" si="2"/>
        <v>1.9226172227517324E-2</v>
      </c>
      <c r="J22" s="121">
        <f t="shared" si="2"/>
        <v>1.8762766434937794E-2</v>
      </c>
      <c r="K22" s="121">
        <f t="shared" si="2"/>
        <v>1.8308899851658955E-2</v>
      </c>
    </row>
    <row r="23" spans="1:11" x14ac:dyDescent="0.25">
      <c r="A23" s="120">
        <v>2.1</v>
      </c>
      <c r="B23" s="121">
        <f t="shared" si="2"/>
        <v>1.7864420562816563E-2</v>
      </c>
      <c r="C23" s="121">
        <f t="shared" si="2"/>
        <v>1.7429177937657081E-2</v>
      </c>
      <c r="D23" s="121">
        <f t="shared" si="2"/>
        <v>1.700302264763276E-2</v>
      </c>
      <c r="E23" s="121">
        <f t="shared" si="2"/>
        <v>1.6585806683604987E-2</v>
      </c>
      <c r="F23" s="121">
        <f t="shared" si="2"/>
        <v>1.6177383372166121E-2</v>
      </c>
      <c r="G23" s="121">
        <f t="shared" si="2"/>
        <v>1.5777607391090465E-2</v>
      </c>
      <c r="H23" s="121">
        <f t="shared" si="2"/>
        <v>1.5386334783925482E-2</v>
      </c>
      <c r="I23" s="121">
        <f t="shared" si="2"/>
        <v>1.500342297373225E-2</v>
      </c>
      <c r="J23" s="121">
        <f t="shared" si="2"/>
        <v>1.4628730775989252E-2</v>
      </c>
      <c r="K23" s="121">
        <f t="shared" si="2"/>
        <v>1.4262118410668823E-2</v>
      </c>
    </row>
    <row r="24" spans="1:11" x14ac:dyDescent="0.25">
      <c r="A24" s="120">
        <v>2.2000000000000002</v>
      </c>
      <c r="B24" s="121">
        <f t="shared" si="2"/>
        <v>1.390344751349859E-2</v>
      </c>
      <c r="C24" s="121">
        <f t="shared" si="2"/>
        <v>1.3552581146419995E-2</v>
      </c>
      <c r="D24" s="121">
        <f t="shared" si="2"/>
        <v>1.3209383807256225E-2</v>
      </c>
      <c r="E24" s="121">
        <f t="shared" si="2"/>
        <v>1.2873721438601993E-2</v>
      </c>
      <c r="F24" s="121">
        <f t="shared" si="2"/>
        <v>1.2545461435946592E-2</v>
      </c>
      <c r="G24" s="121">
        <f t="shared" si="2"/>
        <v>1.2224472655044671E-2</v>
      </c>
      <c r="H24" s="121">
        <f t="shared" si="2"/>
        <v>1.1910625418547038E-2</v>
      </c>
      <c r="I24" s="121">
        <f t="shared" si="2"/>
        <v>1.1603791521903495E-2</v>
      </c>
      <c r="J24" s="121">
        <f t="shared" si="2"/>
        <v>1.1303844238552796E-2</v>
      </c>
      <c r="K24" s="121">
        <f t="shared" si="2"/>
        <v>1.1010658324411393E-2</v>
      </c>
    </row>
    <row r="25" spans="1:11" x14ac:dyDescent="0.25">
      <c r="A25" s="120">
        <v>2.2999999999999998</v>
      </c>
      <c r="B25" s="121">
        <f t="shared" si="2"/>
        <v>1.0724110021675837E-2</v>
      </c>
      <c r="C25" s="121">
        <f t="shared" si="2"/>
        <v>1.0444077061951051E-2</v>
      </c>
      <c r="D25" s="121">
        <f t="shared" si="2"/>
        <v>1.0170438668719695E-2</v>
      </c>
      <c r="E25" s="121">
        <f t="shared" si="2"/>
        <v>9.9030755591642539E-3</v>
      </c>
      <c r="F25" s="121">
        <f t="shared" si="2"/>
        <v>9.6418699453583168E-3</v>
      </c>
      <c r="G25" s="121">
        <f t="shared" si="2"/>
        <v>9.3867055348385575E-3</v>
      </c>
      <c r="H25" s="121">
        <f t="shared" si="2"/>
        <v>9.1374675305726516E-3</v>
      </c>
      <c r="I25" s="121">
        <f t="shared" si="2"/>
        <v>8.8940426303367737E-3</v>
      </c>
      <c r="J25" s="121">
        <f t="shared" si="2"/>
        <v>8.6563190255165567E-3</v>
      </c>
      <c r="K25" s="121">
        <f t="shared" si="2"/>
        <v>8.4241863993457233E-3</v>
      </c>
    </row>
    <row r="26" spans="1:11" x14ac:dyDescent="0.25">
      <c r="A26" s="120">
        <v>2.4</v>
      </c>
      <c r="B26" s="121">
        <f t="shared" si="2"/>
        <v>8.1975359245961554E-3</v>
      </c>
      <c r="C26" s="121">
        <f t="shared" si="2"/>
        <v>7.9762602607337252E-3</v>
      </c>
      <c r="D26" s="121">
        <f t="shared" si="2"/>
        <v>7.760253550553653E-3</v>
      </c>
      <c r="E26" s="121">
        <f t="shared" si="2"/>
        <v>7.5494114163091597E-3</v>
      </c>
      <c r="F26" s="121">
        <f t="shared" si="2"/>
        <v>7.3436309553482904E-3</v>
      </c>
      <c r="G26" s="121">
        <f t="shared" si="2"/>
        <v>7.1428107352714543E-3</v>
      </c>
      <c r="H26" s="121">
        <f t="shared" si="2"/>
        <v>6.9468507886243369E-3</v>
      </c>
      <c r="I26" s="121">
        <f t="shared" si="2"/>
        <v>6.7556526071406164E-3</v>
      </c>
      <c r="J26" s="121">
        <f t="shared" si="2"/>
        <v>6.5691191355468082E-3</v>
      </c>
      <c r="K26" s="121">
        <f t="shared" si="2"/>
        <v>6.3871547649432259E-3</v>
      </c>
    </row>
    <row r="27" spans="1:11" x14ac:dyDescent="0.25">
      <c r="A27" s="120">
        <v>2.5</v>
      </c>
      <c r="B27" s="121">
        <f t="shared" si="2"/>
        <v>6.2096653257761592E-3</v>
      </c>
      <c r="C27" s="121">
        <f t="shared" si="2"/>
        <v>6.0365580804127017E-3</v>
      </c>
      <c r="D27" s="121">
        <f t="shared" si="2"/>
        <v>5.8677417153325528E-3</v>
      </c>
      <c r="E27" s="121">
        <f t="shared" si="2"/>
        <v>5.7031263329506698E-3</v>
      </c>
      <c r="F27" s="121">
        <f t="shared" si="2"/>
        <v>5.5426234430826504E-3</v>
      </c>
      <c r="G27" s="121">
        <f t="shared" si="2"/>
        <v>5.3861459540667234E-3</v>
      </c>
      <c r="H27" s="121">
        <f t="shared" si="2"/>
        <v>5.2336081635557807E-3</v>
      </c>
      <c r="I27" s="121">
        <f t="shared" si="2"/>
        <v>5.0849257489909983E-3</v>
      </c>
      <c r="J27" s="121">
        <f t="shared" si="2"/>
        <v>4.9400157577705883E-3</v>
      </c>
      <c r="K27" s="121">
        <f t="shared" si="2"/>
        <v>4.7987965971262314E-3</v>
      </c>
    </row>
    <row r="28" spans="1:11" x14ac:dyDescent="0.25">
      <c r="A28" s="120">
        <v>2.6</v>
      </c>
      <c r="B28" s="121">
        <f t="shared" si="2"/>
        <v>4.661188023718732E-3</v>
      </c>
      <c r="C28" s="121">
        <f t="shared" si="2"/>
        <v>4.5271111329673319E-3</v>
      </c>
      <c r="D28" s="121">
        <f t="shared" si="2"/>
        <v>4.3964883481213413E-3</v>
      </c>
      <c r="E28" s="121">
        <f t="shared" si="2"/>
        <v>4.2692434090892961E-3</v>
      </c>
      <c r="F28" s="121">
        <f t="shared" si="2"/>
        <v>4.14530136103608E-3</v>
      </c>
      <c r="G28" s="121">
        <f t="shared" si="2"/>
        <v>4.0245885427583339E-3</v>
      </c>
      <c r="H28" s="121">
        <f t="shared" si="2"/>
        <v>3.907032574852809E-3</v>
      </c>
      <c r="I28" s="121">
        <f t="shared" si="2"/>
        <v>3.7925623476854353E-3</v>
      </c>
      <c r="J28" s="121">
        <f t="shared" si="2"/>
        <v>3.6811080091749826E-3</v>
      </c>
      <c r="K28" s="121">
        <f t="shared" si="2"/>
        <v>3.5726009523997515E-3</v>
      </c>
    </row>
    <row r="29" spans="1:11" x14ac:dyDescent="0.25">
      <c r="A29" s="120">
        <v>2.7</v>
      </c>
      <c r="B29" s="121">
        <f t="shared" si="2"/>
        <v>3.4669738030406183E-3</v>
      </c>
      <c r="C29" s="121">
        <f t="shared" si="2"/>
        <v>3.3641604066692032E-3</v>
      </c>
      <c r="D29" s="121">
        <f t="shared" si="2"/>
        <v>3.2640958158912659E-3</v>
      </c>
      <c r="E29" s="121">
        <f t="shared" si="2"/>
        <v>3.1667162773577617E-3</v>
      </c>
      <c r="F29" s="121">
        <f t="shared" si="2"/>
        <v>3.0719592186504441E-3</v>
      </c>
      <c r="G29" s="121">
        <f t="shared" si="2"/>
        <v>2.9797632350545555E-3</v>
      </c>
      <c r="H29" s="121">
        <f t="shared" si="2"/>
        <v>2.8900680762261599E-3</v>
      </c>
      <c r="I29" s="121">
        <f t="shared" si="2"/>
        <v>2.8028146327649939E-3</v>
      </c>
      <c r="J29" s="121">
        <f t="shared" si="2"/>
        <v>2.7179449227012764E-3</v>
      </c>
      <c r="K29" s="121">
        <f t="shared" si="2"/>
        <v>2.6354020779049137E-3</v>
      </c>
    </row>
    <row r="30" spans="1:11" x14ac:dyDescent="0.25">
      <c r="A30" s="120">
        <v>2.8</v>
      </c>
      <c r="B30" s="121">
        <f t="shared" si="2"/>
        <v>2.5551303304279793E-3</v>
      </c>
      <c r="C30" s="121">
        <f t="shared" si="2"/>
        <v>2.4770749987859109E-3</v>
      </c>
      <c r="D30" s="121">
        <f t="shared" si="2"/>
        <v>2.4011824741893006E-3</v>
      </c>
      <c r="E30" s="121">
        <f t="shared" si="2"/>
        <v>2.3274002067315003E-3</v>
      </c>
      <c r="F30" s="121">
        <f t="shared" si="2"/>
        <v>2.2556766915423632E-3</v>
      </c>
      <c r="G30" s="121">
        <f t="shared" si="2"/>
        <v>2.1859614549132322E-3</v>
      </c>
      <c r="H30" s="121">
        <f t="shared" si="2"/>
        <v>2.1182050404046082E-3</v>
      </c>
      <c r="I30" s="121">
        <f t="shared" si="2"/>
        <v>2.0523589949397181E-3</v>
      </c>
      <c r="J30" s="121">
        <f t="shared" si="2"/>
        <v>1.9883758548943087E-3</v>
      </c>
      <c r="K30" s="121">
        <f t="shared" si="2"/>
        <v>1.9262091321878838E-3</v>
      </c>
    </row>
    <row r="31" spans="1:11" x14ac:dyDescent="0.25">
      <c r="A31" s="120">
        <v>2.9</v>
      </c>
      <c r="B31" s="121">
        <f t="shared" si="2"/>
        <v>1.8658133003840449E-3</v>
      </c>
      <c r="C31" s="121">
        <f t="shared" si="2"/>
        <v>1.8071437808064861E-3</v>
      </c>
      <c r="D31" s="121">
        <f t="shared" si="2"/>
        <v>1.7501569286760832E-3</v>
      </c>
      <c r="E31" s="121">
        <f t="shared" si="2"/>
        <v>1.694810019277293E-3</v>
      </c>
      <c r="F31" s="121">
        <f t="shared" si="2"/>
        <v>1.6410612341569708E-3</v>
      </c>
      <c r="G31" s="121">
        <f t="shared" si="2"/>
        <v>1.5888696473648212E-3</v>
      </c>
      <c r="H31" s="121">
        <f t="shared" si="2"/>
        <v>1.538195211738036E-3</v>
      </c>
      <c r="I31" s="121">
        <f t="shared" si="2"/>
        <v>1.4889987452374465E-3</v>
      </c>
      <c r="J31" s="121">
        <f t="shared" si="2"/>
        <v>1.4412419173399638E-3</v>
      </c>
      <c r="K31" s="121">
        <f t="shared" si="2"/>
        <v>1.3948872354923036E-3</v>
      </c>
    </row>
    <row r="32" spans="1:11" x14ac:dyDescent="0.25">
      <c r="A32" s="120">
        <v>3</v>
      </c>
      <c r="B32" s="121">
        <f t="shared" si="2"/>
        <v>1.3498980316301035E-3</v>
      </c>
      <c r="C32" s="121">
        <f t="shared" si="2"/>
        <v>1.3062384487694256E-3</v>
      </c>
      <c r="D32" s="121">
        <f t="shared" si="2"/>
        <v>1.2638734276723129E-3</v>
      </c>
      <c r="E32" s="121">
        <f t="shared" si="2"/>
        <v>1.2227686935922799E-3</v>
      </c>
      <c r="F32" s="121">
        <f t="shared" si="2"/>
        <v>1.1828907431044033E-3</v>
      </c>
      <c r="G32" s="121">
        <f t="shared" si="2"/>
        <v>1.1442068310226761E-3</v>
      </c>
      <c r="H32" s="121">
        <f t="shared" si="2"/>
        <v>1.1066849574092874E-3</v>
      </c>
      <c r="I32" s="121">
        <f t="shared" si="2"/>
        <v>1.0702938546789387E-3</v>
      </c>
      <c r="J32" s="121">
        <f t="shared" si="2"/>
        <v>1.0350029748028566E-3</v>
      </c>
      <c r="K32" s="121">
        <f t="shared" si="2"/>
        <v>1.0007824766140594E-3</v>
      </c>
    </row>
    <row r="33" spans="1:11" x14ac:dyDescent="0.25">
      <c r="A33" s="120">
        <v>3.1</v>
      </c>
      <c r="B33" s="121">
        <f t="shared" si="2"/>
        <v>9.6760321321831544E-4</v>
      </c>
      <c r="C33" s="121">
        <f t="shared" si="2"/>
        <v>9.3543671951412666E-4</v>
      </c>
      <c r="D33" s="121">
        <f t="shared" si="2"/>
        <v>9.042551998222903E-4</v>
      </c>
      <c r="E33" s="121">
        <f t="shared" si="2"/>
        <v>8.7403151563159032E-4</v>
      </c>
      <c r="F33" s="121">
        <f t="shared" si="2"/>
        <v>8.447391734586196E-4</v>
      </c>
      <c r="G33" s="121">
        <f t="shared" si="2"/>
        <v>8.1635231282861653E-4</v>
      </c>
      <c r="H33" s="121">
        <f t="shared" si="2"/>
        <v>7.8884569437553953E-4</v>
      </c>
      <c r="I33" s="121">
        <f t="shared" si="2"/>
        <v>7.6219468806726365E-4</v>
      </c>
      <c r="J33" s="121">
        <f t="shared" si="2"/>
        <v>7.3637526155390098E-4</v>
      </c>
      <c r="K33" s="121">
        <f t="shared" si="2"/>
        <v>7.1136396864535101E-4</v>
      </c>
    </row>
    <row r="34" spans="1:11" x14ac:dyDescent="0.25">
      <c r="A34" s="120">
        <v>3.2</v>
      </c>
      <c r="B34" s="121">
        <f t="shared" si="2"/>
        <v>6.8713793791586042E-4</v>
      </c>
      <c r="C34" s="121">
        <f t="shared" si="2"/>
        <v>6.6367486143992238E-4</v>
      </c>
      <c r="D34" s="121">
        <f t="shared" si="2"/>
        <v>6.4095298366007025E-4</v>
      </c>
      <c r="E34" s="121">
        <f t="shared" si="2"/>
        <v>6.1895109038678786E-4</v>
      </c>
      <c r="F34" s="121">
        <f t="shared" si="2"/>
        <v>5.976484979344221E-4</v>
      </c>
      <c r="G34" s="121">
        <f t="shared" si="2"/>
        <v>5.7702504239076635E-4</v>
      </c>
      <c r="H34" s="121">
        <f t="shared" si="2"/>
        <v>5.5706106902464469E-4</v>
      </c>
      <c r="I34" s="121">
        <f t="shared" si="2"/>
        <v>5.377374218297204E-4</v>
      </c>
      <c r="J34" s="121">
        <f t="shared" si="2"/>
        <v>5.1903543320697132E-4</v>
      </c>
      <c r="K34" s="121">
        <f t="shared" si="2"/>
        <v>5.0093691378572114E-4</v>
      </c>
    </row>
    <row r="35" spans="1:11" x14ac:dyDescent="0.25">
      <c r="A35" s="120">
        <v>3.3</v>
      </c>
      <c r="B35" s="121">
        <f t="shared" ref="B35:K37" si="3">1-_xlfn.NORM.S.DIST($A35+B$1,TRUE)</f>
        <v>4.8342414238378151E-4</v>
      </c>
      <c r="C35" s="121">
        <f t="shared" si="3"/>
        <v>4.6647985610759335E-4</v>
      </c>
      <c r="D35" s="121">
        <f t="shared" si="3"/>
        <v>4.5008724059214522E-4</v>
      </c>
      <c r="E35" s="121">
        <f t="shared" si="3"/>
        <v>4.3422992038166797E-4</v>
      </c>
      <c r="F35" s="121">
        <f t="shared" si="3"/>
        <v>4.1889194945032848E-4</v>
      </c>
      <c r="G35" s="121">
        <f t="shared" si="3"/>
        <v>4.0405780186403284E-4</v>
      </c>
      <c r="H35" s="121">
        <f t="shared" si="3"/>
        <v>3.8971236258200648E-4</v>
      </c>
      <c r="I35" s="121">
        <f t="shared" si="3"/>
        <v>3.7584091840003886E-4</v>
      </c>
      <c r="J35" s="121">
        <f t="shared" si="3"/>
        <v>3.6242914903306112E-4</v>
      </c>
      <c r="K35" s="121">
        <f t="shared" si="3"/>
        <v>3.4946311833794486E-4</v>
      </c>
    </row>
    <row r="36" spans="1:11" x14ac:dyDescent="0.25">
      <c r="A36" s="120">
        <v>3.4</v>
      </c>
      <c r="B36" s="121">
        <f t="shared" si="3"/>
        <v>3.3692926567685522E-4</v>
      </c>
      <c r="C36" s="121">
        <f t="shared" si="3"/>
        <v>3.2481439741882667E-4</v>
      </c>
      <c r="D36" s="121">
        <f t="shared" si="3"/>
        <v>3.1310567858122695E-4</v>
      </c>
      <c r="E36" s="121">
        <f t="shared" si="3"/>
        <v>3.0179062460866657E-4</v>
      </c>
      <c r="F36" s="121">
        <f t="shared" si="3"/>
        <v>2.9085709329079723E-4</v>
      </c>
      <c r="G36" s="121">
        <f t="shared" si="3"/>
        <v>2.8029327681622362E-4</v>
      </c>
      <c r="H36" s="121">
        <f t="shared" si="3"/>
        <v>2.7008769396352772E-4</v>
      </c>
      <c r="I36" s="121">
        <f t="shared" si="3"/>
        <v>2.6022918242751825E-4</v>
      </c>
      <c r="J36" s="121">
        <f t="shared" si="3"/>
        <v>2.5070689128048329E-4</v>
      </c>
      <c r="K36" s="121">
        <f t="shared" si="3"/>
        <v>2.415102735678909E-4</v>
      </c>
    </row>
    <row r="37" spans="1:11" x14ac:dyDescent="0.25">
      <c r="A37" s="120">
        <v>3.5</v>
      </c>
      <c r="B37" s="121">
        <f t="shared" si="3"/>
        <v>2.3262907903554009E-4</v>
      </c>
      <c r="C37" s="121">
        <f t="shared" si="3"/>
        <v>2.2405334699104884E-4</v>
      </c>
      <c r="D37" s="121">
        <f t="shared" si="3"/>
        <v>2.1577339929468309E-4</v>
      </c>
      <c r="E37" s="121">
        <f t="shared" si="3"/>
        <v>2.0777983348063689E-4</v>
      </c>
      <c r="F37" s="121">
        <f t="shared" si="3"/>
        <v>2.0006351600732053E-4</v>
      </c>
      <c r="G37" s="121">
        <f t="shared" si="3"/>
        <v>1.9261557563565734E-4</v>
      </c>
      <c r="H37" s="121">
        <f t="shared" si="3"/>
        <v>1.8542739693327981E-4</v>
      </c>
      <c r="I37" s="121">
        <f t="shared" si="3"/>
        <v>1.78490613904847E-4</v>
      </c>
      <c r="J37" s="121">
        <f t="shared" si="3"/>
        <v>1.7179710374592982E-4</v>
      </c>
      <c r="K37" s="121">
        <f t="shared" si="3"/>
        <v>1.6533898072013109E-4</v>
      </c>
    </row>
  </sheetData>
  <mergeCells count="1">
    <mergeCell ref="M1:O4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8EDB9-C473-40DF-AA30-5EACAC5C559A}">
  <dimension ref="A1:J32"/>
  <sheetViews>
    <sheetView showGridLines="0" workbookViewId="0"/>
  </sheetViews>
  <sheetFormatPr defaultRowHeight="15" x14ac:dyDescent="0.25"/>
  <sheetData>
    <row r="1" spans="1:10" ht="15" customHeight="1" x14ac:dyDescent="0.25">
      <c r="A1" s="117" t="s">
        <v>234</v>
      </c>
      <c r="B1" s="183">
        <v>0.01</v>
      </c>
      <c r="C1" s="185">
        <v>2.5000000000000001E-2</v>
      </c>
      <c r="D1" s="183">
        <v>0.05</v>
      </c>
      <c r="E1" s="183">
        <v>0.1</v>
      </c>
      <c r="G1" s="174" t="s">
        <v>235</v>
      </c>
      <c r="H1" s="175"/>
      <c r="I1" s="175"/>
      <c r="J1" s="176"/>
    </row>
    <row r="2" spans="1:10" x14ac:dyDescent="0.25">
      <c r="A2" s="117" t="s">
        <v>236</v>
      </c>
      <c r="B2" s="184"/>
      <c r="C2" s="186"/>
      <c r="D2" s="184"/>
      <c r="E2" s="184"/>
      <c r="G2" s="177"/>
      <c r="H2" s="178"/>
      <c r="I2" s="178"/>
      <c r="J2" s="179"/>
    </row>
    <row r="3" spans="1:10" x14ac:dyDescent="0.25">
      <c r="A3" s="122">
        <v>1</v>
      </c>
      <c r="B3" s="110">
        <f t="shared" ref="B3:E18" si="0">_xlfn.CHISQ.INV.RT(B$1,$A3)</f>
        <v>6.6348966010212118</v>
      </c>
      <c r="C3" s="110">
        <f t="shared" si="0"/>
        <v>5.0238861873148863</v>
      </c>
      <c r="D3" s="110">
        <f t="shared" si="0"/>
        <v>3.8414588206941236</v>
      </c>
      <c r="E3" s="110">
        <f t="shared" si="0"/>
        <v>2.7055434540954142</v>
      </c>
      <c r="G3" s="177"/>
      <c r="H3" s="178"/>
      <c r="I3" s="178"/>
      <c r="J3" s="179"/>
    </row>
    <row r="4" spans="1:10" x14ac:dyDescent="0.25">
      <c r="A4" s="122">
        <v>2</v>
      </c>
      <c r="B4" s="110">
        <f t="shared" si="0"/>
        <v>9.2103403719761818</v>
      </c>
      <c r="C4" s="110">
        <f t="shared" si="0"/>
        <v>7.3777589082278725</v>
      </c>
      <c r="D4" s="110">
        <f t="shared" si="0"/>
        <v>5.9914645471079817</v>
      </c>
      <c r="E4" s="110">
        <f t="shared" si="0"/>
        <v>4.6051701859880909</v>
      </c>
      <c r="G4" s="177"/>
      <c r="H4" s="178"/>
      <c r="I4" s="178"/>
      <c r="J4" s="179"/>
    </row>
    <row r="5" spans="1:10" x14ac:dyDescent="0.25">
      <c r="A5" s="122">
        <v>3</v>
      </c>
      <c r="B5" s="110">
        <f t="shared" si="0"/>
        <v>11.344866730144371</v>
      </c>
      <c r="C5" s="110">
        <f t="shared" si="0"/>
        <v>9.3484036044961485</v>
      </c>
      <c r="D5" s="110">
        <f t="shared" si="0"/>
        <v>7.8147279032511792</v>
      </c>
      <c r="E5" s="110">
        <f t="shared" si="0"/>
        <v>6.2513886311703235</v>
      </c>
      <c r="G5" s="180"/>
      <c r="H5" s="181"/>
      <c r="I5" s="181"/>
      <c r="J5" s="182"/>
    </row>
    <row r="6" spans="1:10" x14ac:dyDescent="0.25">
      <c r="A6" s="122">
        <v>4</v>
      </c>
      <c r="B6" s="110">
        <f t="shared" si="0"/>
        <v>13.276704135987623</v>
      </c>
      <c r="C6" s="110">
        <f t="shared" si="0"/>
        <v>11.143286781877798</v>
      </c>
      <c r="D6" s="110">
        <f t="shared" si="0"/>
        <v>9.4877290367811575</v>
      </c>
      <c r="E6" s="110">
        <f t="shared" si="0"/>
        <v>7.7794403397348582</v>
      </c>
    </row>
    <row r="7" spans="1:10" x14ac:dyDescent="0.25">
      <c r="A7" s="122">
        <v>5</v>
      </c>
      <c r="B7" s="110">
        <f t="shared" si="0"/>
        <v>15.086272469388991</v>
      </c>
      <c r="C7" s="110">
        <f t="shared" si="0"/>
        <v>12.832501994030029</v>
      </c>
      <c r="D7" s="110">
        <f t="shared" si="0"/>
        <v>11.070497693516353</v>
      </c>
      <c r="E7" s="110">
        <f t="shared" si="0"/>
        <v>9.2363568997811178</v>
      </c>
    </row>
    <row r="8" spans="1:10" x14ac:dyDescent="0.25">
      <c r="A8" s="122">
        <v>6</v>
      </c>
      <c r="B8" s="110">
        <f t="shared" si="0"/>
        <v>16.811893829770931</v>
      </c>
      <c r="C8" s="110">
        <f t="shared" si="0"/>
        <v>14.449375335447922</v>
      </c>
      <c r="D8" s="110">
        <f t="shared" si="0"/>
        <v>12.591587243743978</v>
      </c>
      <c r="E8" s="110">
        <f t="shared" si="0"/>
        <v>10.64464067566842</v>
      </c>
    </row>
    <row r="9" spans="1:10" x14ac:dyDescent="0.25">
      <c r="A9" s="122">
        <v>7</v>
      </c>
      <c r="B9" s="110">
        <f t="shared" si="0"/>
        <v>18.475306906582361</v>
      </c>
      <c r="C9" s="110">
        <f t="shared" si="0"/>
        <v>16.012764274629326</v>
      </c>
      <c r="D9" s="110">
        <f t="shared" si="0"/>
        <v>14.067140449340167</v>
      </c>
      <c r="E9" s="110">
        <f t="shared" si="0"/>
        <v>12.01703662378053</v>
      </c>
    </row>
    <row r="10" spans="1:10" x14ac:dyDescent="0.25">
      <c r="A10" s="122">
        <v>8</v>
      </c>
      <c r="B10" s="110">
        <f t="shared" si="0"/>
        <v>20.090235029663233</v>
      </c>
      <c r="C10" s="110">
        <f t="shared" si="0"/>
        <v>17.53454613948465</v>
      </c>
      <c r="D10" s="110">
        <f t="shared" si="0"/>
        <v>15.507313055865453</v>
      </c>
      <c r="E10" s="110">
        <f t="shared" si="0"/>
        <v>13.361566136511726</v>
      </c>
    </row>
    <row r="11" spans="1:10" x14ac:dyDescent="0.25">
      <c r="A11" s="122">
        <v>9</v>
      </c>
      <c r="B11" s="110">
        <f t="shared" si="0"/>
        <v>21.665994333461931</v>
      </c>
      <c r="C11" s="110">
        <f t="shared" si="0"/>
        <v>19.022767798641635</v>
      </c>
      <c r="D11" s="110">
        <f t="shared" si="0"/>
        <v>16.918977604620451</v>
      </c>
      <c r="E11" s="110">
        <f t="shared" si="0"/>
        <v>14.683656573259835</v>
      </c>
    </row>
    <row r="12" spans="1:10" x14ac:dyDescent="0.25">
      <c r="A12" s="122">
        <v>10</v>
      </c>
      <c r="B12" s="110">
        <f t="shared" si="0"/>
        <v>23.209251158954359</v>
      </c>
      <c r="C12" s="110">
        <f t="shared" si="0"/>
        <v>20.483177350807395</v>
      </c>
      <c r="D12" s="110">
        <f t="shared" si="0"/>
        <v>18.307038053275146</v>
      </c>
      <c r="E12" s="110">
        <f t="shared" si="0"/>
        <v>15.987179172105261</v>
      </c>
    </row>
    <row r="13" spans="1:10" x14ac:dyDescent="0.25">
      <c r="A13" s="122">
        <v>11</v>
      </c>
      <c r="B13" s="110">
        <f t="shared" si="0"/>
        <v>24.724970311318284</v>
      </c>
      <c r="C13" s="110">
        <f t="shared" si="0"/>
        <v>21.920049261021205</v>
      </c>
      <c r="D13" s="110">
        <f t="shared" si="0"/>
        <v>19.675137572682498</v>
      </c>
      <c r="E13" s="110">
        <f t="shared" si="0"/>
        <v>17.275008517500069</v>
      </c>
    </row>
    <row r="14" spans="1:10" x14ac:dyDescent="0.25">
      <c r="A14" s="122">
        <v>12</v>
      </c>
      <c r="B14" s="110">
        <f t="shared" si="0"/>
        <v>26.216967305535849</v>
      </c>
      <c r="C14" s="110">
        <f t="shared" si="0"/>
        <v>23.336664158645338</v>
      </c>
      <c r="D14" s="110">
        <f t="shared" si="0"/>
        <v>21.026069817483066</v>
      </c>
      <c r="E14" s="110">
        <f t="shared" si="0"/>
        <v>18.549347786703244</v>
      </c>
    </row>
    <row r="15" spans="1:10" x14ac:dyDescent="0.25">
      <c r="A15" s="122">
        <v>13</v>
      </c>
      <c r="B15" s="110">
        <f t="shared" si="0"/>
        <v>27.688249610457049</v>
      </c>
      <c r="C15" s="110">
        <f t="shared" si="0"/>
        <v>24.73560488493154</v>
      </c>
      <c r="D15" s="110">
        <f t="shared" si="0"/>
        <v>22.362032494826938</v>
      </c>
      <c r="E15" s="110">
        <f t="shared" si="0"/>
        <v>19.81192930712756</v>
      </c>
    </row>
    <row r="16" spans="1:10" x14ac:dyDescent="0.25">
      <c r="A16" s="122">
        <v>14</v>
      </c>
      <c r="B16" s="110">
        <f t="shared" si="0"/>
        <v>29.141237740672796</v>
      </c>
      <c r="C16" s="110">
        <f t="shared" si="0"/>
        <v>26.118948045037371</v>
      </c>
      <c r="D16" s="110">
        <f t="shared" si="0"/>
        <v>23.68479130484058</v>
      </c>
      <c r="E16" s="110">
        <f t="shared" si="0"/>
        <v>21.064144212997057</v>
      </c>
    </row>
    <row r="17" spans="1:5" x14ac:dyDescent="0.25">
      <c r="A17" s="122">
        <v>15</v>
      </c>
      <c r="B17" s="110">
        <f t="shared" si="0"/>
        <v>30.577914166892494</v>
      </c>
      <c r="C17" s="110">
        <f t="shared" si="0"/>
        <v>27.488392863442982</v>
      </c>
      <c r="D17" s="110">
        <f t="shared" si="0"/>
        <v>24.99579013972863</v>
      </c>
      <c r="E17" s="110">
        <f t="shared" si="0"/>
        <v>22.307129581578689</v>
      </c>
    </row>
    <row r="18" spans="1:5" x14ac:dyDescent="0.25">
      <c r="A18" s="122">
        <v>16</v>
      </c>
      <c r="B18" s="110">
        <f t="shared" si="0"/>
        <v>31.999926908815183</v>
      </c>
      <c r="C18" s="110">
        <f t="shared" si="0"/>
        <v>28.84535072340476</v>
      </c>
      <c r="D18" s="110">
        <f t="shared" si="0"/>
        <v>26.296227604864239</v>
      </c>
      <c r="E18" s="110">
        <f t="shared" si="0"/>
        <v>23.541828923096112</v>
      </c>
    </row>
    <row r="19" spans="1:5" x14ac:dyDescent="0.25">
      <c r="A19" s="122">
        <v>17</v>
      </c>
      <c r="B19" s="110">
        <f t="shared" ref="B19:E32" si="1">_xlfn.CHISQ.INV.RT(B$1,$A19)</f>
        <v>33.408663605004612</v>
      </c>
      <c r="C19" s="110">
        <f t="shared" si="1"/>
        <v>30.191009121639812</v>
      </c>
      <c r="D19" s="110">
        <f t="shared" si="1"/>
        <v>27.587111638275324</v>
      </c>
      <c r="E19" s="110">
        <f t="shared" si="1"/>
        <v>24.76903534390145</v>
      </c>
    </row>
    <row r="20" spans="1:5" x14ac:dyDescent="0.25">
      <c r="A20" s="122">
        <v>18</v>
      </c>
      <c r="B20" s="110">
        <f t="shared" si="1"/>
        <v>34.805305734705072</v>
      </c>
      <c r="C20" s="110">
        <f t="shared" si="1"/>
        <v>31.52637844038663</v>
      </c>
      <c r="D20" s="110">
        <f t="shared" si="1"/>
        <v>28.869299430392633</v>
      </c>
      <c r="E20" s="110">
        <f t="shared" si="1"/>
        <v>25.989423082637209</v>
      </c>
    </row>
    <row r="21" spans="1:5" x14ac:dyDescent="0.25">
      <c r="A21" s="122">
        <v>19</v>
      </c>
      <c r="B21" s="110">
        <f t="shared" si="1"/>
        <v>36.190869129270048</v>
      </c>
      <c r="C21" s="110">
        <f t="shared" si="1"/>
        <v>32.852326861729708</v>
      </c>
      <c r="D21" s="110">
        <f t="shared" si="1"/>
        <v>30.143527205646155</v>
      </c>
      <c r="E21" s="110">
        <f t="shared" si="1"/>
        <v>27.203571029356826</v>
      </c>
    </row>
    <row r="22" spans="1:5" x14ac:dyDescent="0.25">
      <c r="A22" s="122">
        <v>20</v>
      </c>
      <c r="B22" s="110">
        <f t="shared" si="1"/>
        <v>37.566234786625053</v>
      </c>
      <c r="C22" s="110">
        <f t="shared" si="1"/>
        <v>34.169606902838339</v>
      </c>
      <c r="D22" s="110">
        <f t="shared" si="1"/>
        <v>31.410432844230925</v>
      </c>
      <c r="E22" s="110">
        <f t="shared" si="1"/>
        <v>28.411980584305635</v>
      </c>
    </row>
    <row r="23" spans="1:5" x14ac:dyDescent="0.25">
      <c r="A23" s="122">
        <v>21</v>
      </c>
      <c r="B23" s="110">
        <f t="shared" si="1"/>
        <v>38.932172683516065</v>
      </c>
      <c r="C23" s="110">
        <f t="shared" si="1"/>
        <v>35.478875905727257</v>
      </c>
      <c r="D23" s="110">
        <f t="shared" si="1"/>
        <v>32.670573340917308</v>
      </c>
      <c r="E23" s="110">
        <f t="shared" si="1"/>
        <v>29.615089436182725</v>
      </c>
    </row>
    <row r="24" spans="1:5" x14ac:dyDescent="0.25">
      <c r="A24" s="122">
        <v>22</v>
      </c>
      <c r="B24" s="110">
        <f t="shared" si="1"/>
        <v>40.289360437593864</v>
      </c>
      <c r="C24" s="110">
        <f t="shared" si="1"/>
        <v>36.780712084035557</v>
      </c>
      <c r="D24" s="110">
        <f t="shared" si="1"/>
        <v>33.9244384714438</v>
      </c>
      <c r="E24" s="110">
        <f t="shared" si="1"/>
        <v>30.813282343953034</v>
      </c>
    </row>
    <row r="25" spans="1:5" x14ac:dyDescent="0.25">
      <c r="A25" s="122">
        <v>23</v>
      </c>
      <c r="B25" s="110">
        <f t="shared" si="1"/>
        <v>41.638398118858476</v>
      </c>
      <c r="C25" s="110">
        <f t="shared" si="1"/>
        <v>38.075627250355801</v>
      </c>
      <c r="D25" s="110">
        <f t="shared" si="1"/>
        <v>35.172461626908053</v>
      </c>
      <c r="E25" s="110">
        <f t="shared" si="1"/>
        <v>32.006899681704304</v>
      </c>
    </row>
    <row r="26" spans="1:5" x14ac:dyDescent="0.25">
      <c r="A26" s="122">
        <v>24</v>
      </c>
      <c r="B26" s="110">
        <f t="shared" si="1"/>
        <v>42.979820139351638</v>
      </c>
      <c r="C26" s="110">
        <f t="shared" si="1"/>
        <v>39.364077026603915</v>
      </c>
      <c r="D26" s="110">
        <f t="shared" si="1"/>
        <v>36.415028501807313</v>
      </c>
      <c r="E26" s="110">
        <f t="shared" si="1"/>
        <v>33.196244288628179</v>
      </c>
    </row>
    <row r="27" spans="1:5" x14ac:dyDescent="0.25">
      <c r="A27" s="122">
        <v>25</v>
      </c>
      <c r="B27" s="110">
        <f t="shared" si="1"/>
        <v>44.314104896219156</v>
      </c>
      <c r="C27" s="110">
        <f t="shared" si="1"/>
        <v>40.646469120275199</v>
      </c>
      <c r="D27" s="110">
        <f t="shared" si="1"/>
        <v>37.65248413348278</v>
      </c>
      <c r="E27" s="110">
        <f t="shared" si="1"/>
        <v>34.381587017552953</v>
      </c>
    </row>
    <row r="28" spans="1:5" x14ac:dyDescent="0.25">
      <c r="A28" s="122">
        <v>26</v>
      </c>
      <c r="B28" s="110">
        <f t="shared" si="1"/>
        <v>45.641682666283153</v>
      </c>
      <c r="C28" s="110">
        <f t="shared" si="1"/>
        <v>41.923170096353914</v>
      </c>
      <c r="D28" s="110">
        <f t="shared" si="1"/>
        <v>38.885138659830041</v>
      </c>
      <c r="E28" s="110">
        <f t="shared" si="1"/>
        <v>35.563171271923459</v>
      </c>
    </row>
    <row r="29" spans="1:5" x14ac:dyDescent="0.25">
      <c r="A29" s="122">
        <v>27</v>
      </c>
      <c r="B29" s="110">
        <f t="shared" si="1"/>
        <v>46.962942124751443</v>
      </c>
      <c r="C29" s="110">
        <f t="shared" si="1"/>
        <v>43.194510966156031</v>
      </c>
      <c r="D29" s="110">
        <f t="shared" si="1"/>
        <v>40.113272069413625</v>
      </c>
      <c r="E29" s="110">
        <f t="shared" si="1"/>
        <v>36.741216747797637</v>
      </c>
    </row>
    <row r="30" spans="1:5" x14ac:dyDescent="0.25">
      <c r="A30" s="122">
        <v>28</v>
      </c>
      <c r="B30" s="110">
        <f t="shared" si="1"/>
        <v>48.27823577031549</v>
      </c>
      <c r="C30" s="110">
        <f t="shared" si="1"/>
        <v>44.460791836317753</v>
      </c>
      <c r="D30" s="110">
        <f t="shared" si="1"/>
        <v>41.337138151427396</v>
      </c>
      <c r="E30" s="110">
        <f t="shared" si="1"/>
        <v>37.915922544697068</v>
      </c>
    </row>
    <row r="31" spans="1:5" x14ac:dyDescent="0.25">
      <c r="A31" s="122">
        <v>29</v>
      </c>
      <c r="B31" s="110">
        <f t="shared" si="1"/>
        <v>49.587884472898835</v>
      </c>
      <c r="C31" s="110">
        <f t="shared" si="1"/>
        <v>45.722285804174533</v>
      </c>
      <c r="D31" s="110">
        <f t="shared" si="1"/>
        <v>42.556967804292682</v>
      </c>
      <c r="E31" s="110">
        <f t="shared" si="1"/>
        <v>39.087469770693957</v>
      </c>
    </row>
    <row r="32" spans="1:5" x14ac:dyDescent="0.25">
      <c r="A32" s="122">
        <v>30</v>
      </c>
      <c r="B32" s="110">
        <f t="shared" si="1"/>
        <v>50.892181311517092</v>
      </c>
      <c r="C32" s="110">
        <f t="shared" si="1"/>
        <v>46.979242243671159</v>
      </c>
      <c r="D32" s="110">
        <f t="shared" si="1"/>
        <v>43.772971825742189</v>
      </c>
      <c r="E32" s="110">
        <f t="shared" si="1"/>
        <v>40.256023738711804</v>
      </c>
    </row>
  </sheetData>
  <mergeCells count="5">
    <mergeCell ref="B1:B2"/>
    <mergeCell ref="C1:C2"/>
    <mergeCell ref="D1:D2"/>
    <mergeCell ref="E1:E2"/>
    <mergeCell ref="G1:J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E480E-C22C-483B-B905-788B1C25F1BD}">
  <dimension ref="A1:L104"/>
  <sheetViews>
    <sheetView showGridLines="0" zoomScale="90" zoomScaleNormal="90" workbookViewId="0"/>
  </sheetViews>
  <sheetFormatPr defaultRowHeight="15" x14ac:dyDescent="0.25"/>
  <cols>
    <col min="1" max="2" width="17.7109375" style="11" customWidth="1"/>
    <col min="3" max="4" width="17.7109375" style="11" hidden="1" customWidth="1"/>
    <col min="5" max="5" width="9.140625" style="11"/>
    <col min="6" max="7" width="24.7109375" style="11" customWidth="1"/>
    <col min="8" max="8" width="9.140625" style="11"/>
    <col min="9" max="9" width="17.7109375" style="11" customWidth="1"/>
    <col min="10" max="10" width="9.140625" style="11"/>
    <col min="11" max="11" width="20.42578125" style="11" bestFit="1" customWidth="1"/>
    <col min="12" max="12" width="13.28515625" style="11" bestFit="1" customWidth="1"/>
    <col min="13" max="16384" width="9.140625" style="11"/>
  </cols>
  <sheetData>
    <row r="1" spans="1:12" x14ac:dyDescent="0.25">
      <c r="A1" s="10" t="s">
        <v>44</v>
      </c>
      <c r="B1" s="10" t="s">
        <v>45</v>
      </c>
      <c r="C1" s="10" t="s">
        <v>117</v>
      </c>
      <c r="D1" s="10" t="s">
        <v>118</v>
      </c>
      <c r="F1" s="10" t="s">
        <v>52</v>
      </c>
      <c r="G1" s="10" t="s">
        <v>45</v>
      </c>
      <c r="I1" s="24" t="s">
        <v>45</v>
      </c>
      <c r="K1" s="26" t="s">
        <v>45</v>
      </c>
      <c r="L1" s="26"/>
    </row>
    <row r="2" spans="1:12" x14ac:dyDescent="0.25">
      <c r="A2" s="12">
        <v>1</v>
      </c>
      <c r="B2" s="13">
        <v>189</v>
      </c>
      <c r="C2" s="56">
        <f>(B2-$G$3)^3</f>
        <v>-5.5452330000000964</v>
      </c>
      <c r="D2" s="56">
        <f>(B2-$G$3)^4</f>
        <v>9.8150624100002268</v>
      </c>
      <c r="F2" s="22" t="s">
        <v>48</v>
      </c>
      <c r="G2" s="21">
        <f>COUNT($B$2:$B$101)</f>
        <v>100</v>
      </c>
      <c r="I2" s="13">
        <v>149</v>
      </c>
      <c r="K2"/>
      <c r="L2"/>
    </row>
    <row r="3" spans="1:12" x14ac:dyDescent="0.25">
      <c r="A3" s="12">
        <v>2</v>
      </c>
      <c r="B3" s="13">
        <v>195</v>
      </c>
      <c r="C3" s="56">
        <f t="shared" ref="C3:C66" si="0">(B3-$G$3)^3</f>
        <v>75.686966999999441</v>
      </c>
      <c r="D3" s="56">
        <f t="shared" ref="D3:D66" si="1">(B3-$G$3)^4</f>
        <v>320.15587040999685</v>
      </c>
      <c r="F3" s="22" t="s">
        <v>29</v>
      </c>
      <c r="G3" s="13">
        <f>SUM($B$2:$B$101)/G2</f>
        <v>190.77</v>
      </c>
      <c r="I3" s="13">
        <v>159</v>
      </c>
      <c r="K3" t="s">
        <v>29</v>
      </c>
      <c r="L3">
        <v>190.77</v>
      </c>
    </row>
    <row r="4" spans="1:12" x14ac:dyDescent="0.25">
      <c r="A4" s="12">
        <v>3</v>
      </c>
      <c r="B4" s="13">
        <v>199</v>
      </c>
      <c r="C4" s="56">
        <f t="shared" si="0"/>
        <v>557.44176699999787</v>
      </c>
      <c r="D4" s="56">
        <f t="shared" si="1"/>
        <v>4587.7457424099766</v>
      </c>
      <c r="F4" s="22" t="s">
        <v>46</v>
      </c>
      <c r="G4" s="13">
        <f>MEDIAN($B$2:$B$101)</f>
        <v>189</v>
      </c>
      <c r="I4" s="13">
        <v>159</v>
      </c>
      <c r="K4" t="s">
        <v>62</v>
      </c>
      <c r="L4">
        <v>1.5621052228555949</v>
      </c>
    </row>
    <row r="5" spans="1:12" x14ac:dyDescent="0.25">
      <c r="A5" s="12">
        <v>4</v>
      </c>
      <c r="B5" s="13">
        <v>189</v>
      </c>
      <c r="C5" s="56">
        <f t="shared" si="0"/>
        <v>-5.5452330000000964</v>
      </c>
      <c r="D5" s="56">
        <f t="shared" si="1"/>
        <v>9.8150624100002268</v>
      </c>
      <c r="F5" s="22" t="s">
        <v>47</v>
      </c>
      <c r="G5" s="13">
        <f>_xlfn.MODE.SNGL($B$2:$B$101)</f>
        <v>199</v>
      </c>
      <c r="I5" s="13">
        <v>159</v>
      </c>
      <c r="K5" t="s">
        <v>46</v>
      </c>
      <c r="L5">
        <v>189</v>
      </c>
    </row>
    <row r="6" spans="1:12" x14ac:dyDescent="0.25">
      <c r="A6" s="12">
        <v>5</v>
      </c>
      <c r="B6" s="13">
        <v>197</v>
      </c>
      <c r="C6" s="56">
        <f t="shared" si="0"/>
        <v>241.80436699999879</v>
      </c>
      <c r="D6" s="56">
        <f t="shared" si="1"/>
        <v>1506.4412064099899</v>
      </c>
      <c r="F6" s="22" t="s">
        <v>49</v>
      </c>
      <c r="G6" s="13">
        <f>_xlfn.QUARTILE.INC($B$2:$B$101,1)</f>
        <v>179</v>
      </c>
      <c r="I6" s="13">
        <v>165</v>
      </c>
      <c r="K6" t="s">
        <v>63</v>
      </c>
      <c r="L6">
        <v>199</v>
      </c>
    </row>
    <row r="7" spans="1:12" x14ac:dyDescent="0.25">
      <c r="A7" s="12">
        <v>6</v>
      </c>
      <c r="B7" s="13">
        <v>189</v>
      </c>
      <c r="C7" s="56">
        <f t="shared" si="0"/>
        <v>-5.5452330000000964</v>
      </c>
      <c r="D7" s="56">
        <f t="shared" si="1"/>
        <v>9.8150624100002268</v>
      </c>
      <c r="F7" s="22" t="s">
        <v>50</v>
      </c>
      <c r="G7" s="13">
        <f>_xlfn.QUARTILE.INC($B$2:$B$101,3)</f>
        <v>199</v>
      </c>
      <c r="I7" s="13">
        <v>169</v>
      </c>
      <c r="K7" t="s">
        <v>64</v>
      </c>
      <c r="L7">
        <v>15.62105222855595</v>
      </c>
    </row>
    <row r="8" spans="1:12" x14ac:dyDescent="0.25">
      <c r="A8" s="12">
        <v>7</v>
      </c>
      <c r="B8" s="13">
        <v>199</v>
      </c>
      <c r="C8" s="56">
        <f t="shared" si="0"/>
        <v>557.44176699999787</v>
      </c>
      <c r="D8" s="56">
        <f t="shared" si="1"/>
        <v>4587.7457424099766</v>
      </c>
      <c r="F8" s="22" t="s">
        <v>60</v>
      </c>
      <c r="G8" s="13">
        <f>_xlfn.PERCENTILE.INC($B$2:$B$101,0.2)</f>
        <v>179</v>
      </c>
      <c r="I8" s="13">
        <v>169</v>
      </c>
      <c r="K8" t="s">
        <v>65</v>
      </c>
      <c r="L8">
        <v>244.01727272727283</v>
      </c>
    </row>
    <row r="9" spans="1:12" x14ac:dyDescent="0.25">
      <c r="A9" s="12">
        <v>8</v>
      </c>
      <c r="B9" s="13">
        <v>202</v>
      </c>
      <c r="C9" s="56">
        <f t="shared" si="0"/>
        <v>1416.2478669999962</v>
      </c>
      <c r="D9" s="56">
        <f t="shared" si="1"/>
        <v>15904.463546409941</v>
      </c>
      <c r="F9" s="22" t="s">
        <v>61</v>
      </c>
      <c r="G9" s="13">
        <f>_xlfn.PERCENTILE.INC($B$2:$B$101,0.6)</f>
        <v>196.4</v>
      </c>
      <c r="I9" s="13">
        <v>169</v>
      </c>
      <c r="K9" t="s">
        <v>66</v>
      </c>
      <c r="L9">
        <v>0.66945316043880654</v>
      </c>
    </row>
    <row r="10" spans="1:12" x14ac:dyDescent="0.25">
      <c r="A10" s="12">
        <v>9</v>
      </c>
      <c r="B10" s="13">
        <v>199</v>
      </c>
      <c r="C10" s="56">
        <f t="shared" si="0"/>
        <v>557.44176699999787</v>
      </c>
      <c r="D10" s="56">
        <f t="shared" si="1"/>
        <v>4587.7457424099766</v>
      </c>
      <c r="F10" s="22" t="s">
        <v>53</v>
      </c>
      <c r="G10" s="13">
        <f>_xlfn.PERCENTILE.INC($B$2:$B$101,0.44)</f>
        <v>189</v>
      </c>
      <c r="I10" s="13">
        <v>169</v>
      </c>
      <c r="K10" t="s">
        <v>67</v>
      </c>
      <c r="L10">
        <v>8.9905641126457075E-2</v>
      </c>
    </row>
    <row r="11" spans="1:12" x14ac:dyDescent="0.25">
      <c r="A11" s="12">
        <v>10</v>
      </c>
      <c r="B11" s="13">
        <v>209</v>
      </c>
      <c r="C11" s="56">
        <f t="shared" si="0"/>
        <v>6058.4287669999903</v>
      </c>
      <c r="D11" s="56">
        <f t="shared" si="1"/>
        <v>110445.15642240977</v>
      </c>
      <c r="F11" s="22" t="s">
        <v>51</v>
      </c>
      <c r="G11" s="13">
        <f>_xlfn.PERCENTILE.INC($B$2:$B$101,0.85)</f>
        <v>205</v>
      </c>
      <c r="I11" s="13">
        <v>169</v>
      </c>
      <c r="K11" t="s">
        <v>68</v>
      </c>
      <c r="L11">
        <v>90</v>
      </c>
    </row>
    <row r="12" spans="1:12" x14ac:dyDescent="0.25">
      <c r="A12" s="12">
        <v>11</v>
      </c>
      <c r="B12" s="13">
        <v>189</v>
      </c>
      <c r="C12" s="56">
        <f t="shared" si="0"/>
        <v>-5.5452330000000964</v>
      </c>
      <c r="D12" s="56">
        <f t="shared" si="1"/>
        <v>9.8150624100002268</v>
      </c>
      <c r="F12" s="22" t="s">
        <v>57</v>
      </c>
      <c r="G12" s="13">
        <f>MIN(B2:B101)</f>
        <v>149</v>
      </c>
      <c r="I12" s="13">
        <v>169</v>
      </c>
      <c r="K12" t="s">
        <v>69</v>
      </c>
      <c r="L12">
        <v>149</v>
      </c>
    </row>
    <row r="13" spans="1:12" x14ac:dyDescent="0.25">
      <c r="A13" s="12">
        <v>12</v>
      </c>
      <c r="B13" s="13">
        <v>179</v>
      </c>
      <c r="C13" s="56">
        <f t="shared" si="0"/>
        <v>-1630.5322330000042</v>
      </c>
      <c r="D13" s="56">
        <f t="shared" si="1"/>
        <v>19191.364382410065</v>
      </c>
      <c r="F13" s="22" t="s">
        <v>58</v>
      </c>
      <c r="G13" s="13">
        <f>MAX(B2:B101)</f>
        <v>239</v>
      </c>
      <c r="I13" s="13">
        <v>169</v>
      </c>
      <c r="K13" t="s">
        <v>70</v>
      </c>
      <c r="L13">
        <v>239</v>
      </c>
    </row>
    <row r="14" spans="1:12" x14ac:dyDescent="0.25">
      <c r="A14" s="12">
        <v>13</v>
      </c>
      <c r="B14" s="13">
        <v>175</v>
      </c>
      <c r="C14" s="56">
        <f t="shared" si="0"/>
        <v>-3921.8870330000077</v>
      </c>
      <c r="D14" s="56">
        <f t="shared" si="1"/>
        <v>61848.158510410161</v>
      </c>
      <c r="F14" s="22" t="s">
        <v>56</v>
      </c>
      <c r="G14" s="13">
        <f>G13-G12</f>
        <v>90</v>
      </c>
      <c r="I14" s="13">
        <v>170</v>
      </c>
      <c r="K14" t="s">
        <v>71</v>
      </c>
      <c r="L14">
        <v>19077</v>
      </c>
    </row>
    <row r="15" spans="1:12" ht="15.75" thickBot="1" x14ac:dyDescent="0.3">
      <c r="A15" s="12">
        <v>14</v>
      </c>
      <c r="B15" s="13">
        <v>199</v>
      </c>
      <c r="C15" s="56">
        <f t="shared" si="0"/>
        <v>557.44176699999787</v>
      </c>
      <c r="D15" s="56">
        <f t="shared" si="1"/>
        <v>4587.7457424099766</v>
      </c>
      <c r="F15" s="22" t="s">
        <v>30</v>
      </c>
      <c r="G15" s="13">
        <f>_xlfn.VAR.S($B$2:$B$101)</f>
        <v>244.01727272727283</v>
      </c>
      <c r="I15" s="13">
        <v>170</v>
      </c>
      <c r="K15" s="25" t="s">
        <v>72</v>
      </c>
      <c r="L15" s="25">
        <v>100</v>
      </c>
    </row>
    <row r="16" spans="1:12" x14ac:dyDescent="0.25">
      <c r="A16" s="12">
        <v>15</v>
      </c>
      <c r="B16" s="13">
        <v>205</v>
      </c>
      <c r="C16" s="56">
        <f t="shared" si="0"/>
        <v>2881.473966999994</v>
      </c>
      <c r="D16" s="56">
        <f t="shared" si="1"/>
        <v>41003.374550409884</v>
      </c>
      <c r="F16" s="22" t="s">
        <v>54</v>
      </c>
      <c r="G16" s="13">
        <f>_xlfn.STDEV.S($B$2:$B$101)</f>
        <v>15.62105222855595</v>
      </c>
      <c r="I16" s="13">
        <v>175</v>
      </c>
    </row>
    <row r="17" spans="1:9" x14ac:dyDescent="0.25">
      <c r="A17" s="12">
        <v>16</v>
      </c>
      <c r="B17" s="13">
        <v>219</v>
      </c>
      <c r="C17" s="56">
        <f t="shared" si="0"/>
        <v>22497.415766999977</v>
      </c>
      <c r="D17" s="56">
        <f t="shared" si="1"/>
        <v>635102.04710240907</v>
      </c>
      <c r="F17" s="22" t="s">
        <v>55</v>
      </c>
      <c r="G17" s="13">
        <f>G16/SQRT(G2)</f>
        <v>1.5621052228555949</v>
      </c>
      <c r="I17" s="13">
        <v>175</v>
      </c>
    </row>
    <row r="18" spans="1:9" x14ac:dyDescent="0.25">
      <c r="A18" s="12">
        <v>17</v>
      </c>
      <c r="B18" s="13">
        <v>229</v>
      </c>
      <c r="C18" s="56">
        <f t="shared" si="0"/>
        <v>55874.402766999956</v>
      </c>
      <c r="D18" s="56">
        <f t="shared" si="1"/>
        <v>2136078.4177824077</v>
      </c>
      <c r="F18" s="22" t="s">
        <v>59</v>
      </c>
      <c r="G18" s="23">
        <f>G16/G3</f>
        <v>8.1884217793971537E-2</v>
      </c>
      <c r="I18" s="13">
        <v>179</v>
      </c>
    </row>
    <row r="19" spans="1:9" x14ac:dyDescent="0.25">
      <c r="A19" s="12">
        <v>18</v>
      </c>
      <c r="B19" s="13">
        <v>205</v>
      </c>
      <c r="C19" s="56">
        <f t="shared" si="0"/>
        <v>2881.473966999994</v>
      </c>
      <c r="D19" s="56">
        <f t="shared" si="1"/>
        <v>41003.374550409884</v>
      </c>
      <c r="F19" s="36" t="s">
        <v>116</v>
      </c>
      <c r="G19" s="35">
        <f>SKEW($B$2:$B$101)</f>
        <v>8.9905641126457075E-2</v>
      </c>
      <c r="I19" s="13">
        <v>179</v>
      </c>
    </row>
    <row r="20" spans="1:9" x14ac:dyDescent="0.25">
      <c r="A20" s="12">
        <v>19</v>
      </c>
      <c r="B20" s="13">
        <v>190</v>
      </c>
      <c r="C20" s="56">
        <f t="shared" si="0"/>
        <v>-0.45653300000001817</v>
      </c>
      <c r="D20" s="56">
        <f t="shared" si="1"/>
        <v>0.35153041000001867</v>
      </c>
      <c r="F20" s="36" t="s">
        <v>115</v>
      </c>
      <c r="G20" s="35">
        <f>KURT($B$2:$B$101)</f>
        <v>0.66945316043880654</v>
      </c>
      <c r="I20" s="13">
        <v>179</v>
      </c>
    </row>
    <row r="21" spans="1:9" x14ac:dyDescent="0.25">
      <c r="A21" s="12">
        <v>20</v>
      </c>
      <c r="B21" s="13">
        <v>179</v>
      </c>
      <c r="C21" s="56">
        <f t="shared" si="0"/>
        <v>-1630.5322330000042</v>
      </c>
      <c r="D21" s="56">
        <f t="shared" si="1"/>
        <v>19191.364382410065</v>
      </c>
      <c r="I21" s="13">
        <v>179</v>
      </c>
    </row>
    <row r="22" spans="1:9" x14ac:dyDescent="0.25">
      <c r="A22" s="12">
        <v>21</v>
      </c>
      <c r="B22" s="13">
        <v>199</v>
      </c>
      <c r="C22" s="56">
        <f t="shared" si="0"/>
        <v>557.44176699999787</v>
      </c>
      <c r="D22" s="56">
        <f t="shared" si="1"/>
        <v>4587.7457424099766</v>
      </c>
      <c r="I22" s="13">
        <v>179</v>
      </c>
    </row>
    <row r="23" spans="1:9" x14ac:dyDescent="0.25">
      <c r="A23" s="12">
        <v>22</v>
      </c>
      <c r="B23" s="13">
        <v>189</v>
      </c>
      <c r="C23" s="56">
        <f t="shared" si="0"/>
        <v>-5.5452330000000964</v>
      </c>
      <c r="D23" s="56">
        <f t="shared" si="1"/>
        <v>9.8150624100002268</v>
      </c>
      <c r="I23" s="13">
        <v>179</v>
      </c>
    </row>
    <row r="24" spans="1:9" x14ac:dyDescent="0.25">
      <c r="A24" s="12">
        <v>23</v>
      </c>
      <c r="B24" s="13">
        <v>183</v>
      </c>
      <c r="C24" s="56">
        <f t="shared" si="0"/>
        <v>-469.09743300000184</v>
      </c>
      <c r="D24" s="56">
        <f t="shared" si="1"/>
        <v>3644.8870544100191</v>
      </c>
      <c r="I24" s="13">
        <v>179</v>
      </c>
    </row>
    <row r="25" spans="1:9" x14ac:dyDescent="0.25">
      <c r="A25" s="12">
        <v>24</v>
      </c>
      <c r="B25" s="13">
        <v>199</v>
      </c>
      <c r="C25" s="56">
        <f t="shared" si="0"/>
        <v>557.44176699999787</v>
      </c>
      <c r="D25" s="56">
        <f t="shared" si="1"/>
        <v>4587.7457424099766</v>
      </c>
      <c r="I25" s="13">
        <v>179</v>
      </c>
    </row>
    <row r="26" spans="1:9" x14ac:dyDescent="0.25">
      <c r="A26" s="12">
        <v>25</v>
      </c>
      <c r="B26" s="13">
        <v>206</v>
      </c>
      <c r="C26" s="56">
        <f t="shared" si="0"/>
        <v>3532.6426669999928</v>
      </c>
      <c r="D26" s="56">
        <f t="shared" si="1"/>
        <v>53802.147818409852</v>
      </c>
      <c r="I26" s="13">
        <v>179</v>
      </c>
    </row>
    <row r="27" spans="1:9" x14ac:dyDescent="0.25">
      <c r="A27" s="12">
        <v>26</v>
      </c>
      <c r="B27" s="13">
        <v>215</v>
      </c>
      <c r="C27" s="56">
        <f t="shared" si="0"/>
        <v>14225.260966999982</v>
      </c>
      <c r="D27" s="56">
        <f t="shared" si="1"/>
        <v>344678.07323040947</v>
      </c>
      <c r="I27" s="13">
        <v>179</v>
      </c>
    </row>
    <row r="28" spans="1:9" x14ac:dyDescent="0.25">
      <c r="A28" s="12">
        <v>27</v>
      </c>
      <c r="B28" s="13">
        <v>149</v>
      </c>
      <c r="C28" s="56">
        <f t="shared" si="0"/>
        <v>-72877.493233000059</v>
      </c>
      <c r="D28" s="56">
        <f t="shared" si="1"/>
        <v>3044092.8923424128</v>
      </c>
      <c r="I28" s="13">
        <v>179</v>
      </c>
    </row>
    <row r="29" spans="1:9" x14ac:dyDescent="0.25">
      <c r="A29" s="12">
        <v>28</v>
      </c>
      <c r="B29" s="13">
        <v>189</v>
      </c>
      <c r="C29" s="56">
        <f t="shared" si="0"/>
        <v>-5.5452330000000964</v>
      </c>
      <c r="D29" s="56">
        <f t="shared" si="1"/>
        <v>9.8150624100002268</v>
      </c>
      <c r="I29" s="13">
        <v>179</v>
      </c>
    </row>
    <row r="30" spans="1:9" x14ac:dyDescent="0.25">
      <c r="A30" s="12">
        <v>29</v>
      </c>
      <c r="B30" s="13">
        <v>169</v>
      </c>
      <c r="C30" s="56">
        <f t="shared" si="0"/>
        <v>-10317.519233000015</v>
      </c>
      <c r="D30" s="56">
        <f t="shared" si="1"/>
        <v>224612.39370241045</v>
      </c>
      <c r="I30" s="13">
        <v>179</v>
      </c>
    </row>
    <row r="31" spans="1:9" x14ac:dyDescent="0.25">
      <c r="A31" s="12">
        <v>30</v>
      </c>
      <c r="B31" s="13">
        <v>179</v>
      </c>
      <c r="C31" s="56">
        <f t="shared" si="0"/>
        <v>-1630.5322330000042</v>
      </c>
      <c r="D31" s="56">
        <f t="shared" si="1"/>
        <v>19191.364382410065</v>
      </c>
      <c r="I31" s="13">
        <v>182</v>
      </c>
    </row>
    <row r="32" spans="1:9" x14ac:dyDescent="0.25">
      <c r="A32" s="12">
        <v>31</v>
      </c>
      <c r="B32" s="13">
        <v>159</v>
      </c>
      <c r="C32" s="56">
        <f t="shared" si="0"/>
        <v>-32066.506233000033</v>
      </c>
      <c r="D32" s="56">
        <f t="shared" si="1"/>
        <v>1018752.9030224114</v>
      </c>
      <c r="I32" s="13">
        <v>183</v>
      </c>
    </row>
    <row r="33" spans="1:9" x14ac:dyDescent="0.25">
      <c r="A33" s="12">
        <v>32</v>
      </c>
      <c r="B33" s="13">
        <v>199</v>
      </c>
      <c r="C33" s="56">
        <f t="shared" si="0"/>
        <v>557.44176699999787</v>
      </c>
      <c r="D33" s="56">
        <f t="shared" si="1"/>
        <v>4587.7457424099766</v>
      </c>
      <c r="I33" s="13">
        <v>185</v>
      </c>
    </row>
    <row r="34" spans="1:9" x14ac:dyDescent="0.25">
      <c r="A34" s="12">
        <v>33</v>
      </c>
      <c r="B34" s="13">
        <v>195</v>
      </c>
      <c r="C34" s="56">
        <f t="shared" si="0"/>
        <v>75.686966999999441</v>
      </c>
      <c r="D34" s="56">
        <f t="shared" si="1"/>
        <v>320.15587040999685</v>
      </c>
      <c r="I34" s="13">
        <v>185</v>
      </c>
    </row>
    <row r="35" spans="1:9" x14ac:dyDescent="0.25">
      <c r="A35" s="12">
        <v>34</v>
      </c>
      <c r="B35" s="13">
        <v>189</v>
      </c>
      <c r="C35" s="56">
        <f t="shared" si="0"/>
        <v>-5.5452330000000964</v>
      </c>
      <c r="D35" s="56">
        <f t="shared" si="1"/>
        <v>9.8150624100002268</v>
      </c>
      <c r="I35" s="13">
        <v>189</v>
      </c>
    </row>
    <row r="36" spans="1:9" x14ac:dyDescent="0.25">
      <c r="A36" s="12">
        <v>35</v>
      </c>
      <c r="B36" s="13">
        <v>209</v>
      </c>
      <c r="C36" s="56">
        <f t="shared" si="0"/>
        <v>6058.4287669999903</v>
      </c>
      <c r="D36" s="56">
        <f t="shared" si="1"/>
        <v>110445.15642240977</v>
      </c>
      <c r="I36" s="13">
        <v>189</v>
      </c>
    </row>
    <row r="37" spans="1:9" x14ac:dyDescent="0.25">
      <c r="A37" s="12">
        <v>36</v>
      </c>
      <c r="B37" s="13">
        <v>196</v>
      </c>
      <c r="C37" s="56">
        <f t="shared" si="0"/>
        <v>143.05566699999915</v>
      </c>
      <c r="D37" s="56">
        <f t="shared" si="1"/>
        <v>748.18113840999411</v>
      </c>
      <c r="I37" s="13">
        <v>189</v>
      </c>
    </row>
    <row r="38" spans="1:9" x14ac:dyDescent="0.25">
      <c r="A38" s="12">
        <v>37</v>
      </c>
      <c r="B38" s="13">
        <v>189</v>
      </c>
      <c r="C38" s="56">
        <f t="shared" si="0"/>
        <v>-5.5452330000000964</v>
      </c>
      <c r="D38" s="56">
        <f t="shared" si="1"/>
        <v>9.8150624100002268</v>
      </c>
      <c r="I38" s="13">
        <v>189</v>
      </c>
    </row>
    <row r="39" spans="1:9" x14ac:dyDescent="0.25">
      <c r="A39" s="12">
        <v>38</v>
      </c>
      <c r="B39" s="13">
        <v>165</v>
      </c>
      <c r="C39" s="56">
        <f t="shared" si="0"/>
        <v>-17113.674033000021</v>
      </c>
      <c r="D39" s="56">
        <f t="shared" si="1"/>
        <v>441019.37983041076</v>
      </c>
      <c r="I39" s="13">
        <v>189</v>
      </c>
    </row>
    <row r="40" spans="1:9" x14ac:dyDescent="0.25">
      <c r="A40" s="12">
        <v>39</v>
      </c>
      <c r="B40" s="13">
        <v>170</v>
      </c>
      <c r="C40" s="56">
        <f t="shared" si="0"/>
        <v>-8960.0305330000137</v>
      </c>
      <c r="D40" s="56">
        <f t="shared" si="1"/>
        <v>186099.83417041038</v>
      </c>
      <c r="I40" s="13">
        <v>189</v>
      </c>
    </row>
    <row r="41" spans="1:9" x14ac:dyDescent="0.25">
      <c r="A41" s="12">
        <v>40</v>
      </c>
      <c r="B41" s="13">
        <v>179</v>
      </c>
      <c r="C41" s="56">
        <f t="shared" si="0"/>
        <v>-1630.5322330000042</v>
      </c>
      <c r="D41" s="56">
        <f t="shared" si="1"/>
        <v>19191.364382410065</v>
      </c>
      <c r="I41" s="13">
        <v>189</v>
      </c>
    </row>
    <row r="42" spans="1:9" x14ac:dyDescent="0.25">
      <c r="A42" s="12">
        <v>41</v>
      </c>
      <c r="B42" s="13">
        <v>170</v>
      </c>
      <c r="C42" s="56">
        <f t="shared" si="0"/>
        <v>-8960.0305330000137</v>
      </c>
      <c r="D42" s="56">
        <f t="shared" si="1"/>
        <v>186099.83417041038</v>
      </c>
      <c r="I42" s="13">
        <v>189</v>
      </c>
    </row>
    <row r="43" spans="1:9" x14ac:dyDescent="0.25">
      <c r="A43" s="12">
        <v>42</v>
      </c>
      <c r="B43" s="13">
        <v>175</v>
      </c>
      <c r="C43" s="56">
        <f t="shared" si="0"/>
        <v>-3921.8870330000077</v>
      </c>
      <c r="D43" s="56">
        <f t="shared" si="1"/>
        <v>61848.158510410161</v>
      </c>
      <c r="I43" s="13">
        <v>189</v>
      </c>
    </row>
    <row r="44" spans="1:9" x14ac:dyDescent="0.25">
      <c r="A44" s="12">
        <v>43</v>
      </c>
      <c r="B44" s="13">
        <v>169</v>
      </c>
      <c r="C44" s="56">
        <f t="shared" si="0"/>
        <v>-10317.519233000015</v>
      </c>
      <c r="D44" s="56">
        <f t="shared" si="1"/>
        <v>224612.39370241045</v>
      </c>
      <c r="I44" s="13">
        <v>189</v>
      </c>
    </row>
    <row r="45" spans="1:9" x14ac:dyDescent="0.25">
      <c r="A45" s="12">
        <v>44</v>
      </c>
      <c r="B45" s="13">
        <v>189</v>
      </c>
      <c r="C45" s="56">
        <f t="shared" si="0"/>
        <v>-5.5452330000000964</v>
      </c>
      <c r="D45" s="56">
        <f t="shared" si="1"/>
        <v>9.8150624100002268</v>
      </c>
      <c r="I45" s="13">
        <v>189</v>
      </c>
    </row>
    <row r="46" spans="1:9" x14ac:dyDescent="0.25">
      <c r="A46" s="12">
        <v>45</v>
      </c>
      <c r="B46" s="13">
        <v>195</v>
      </c>
      <c r="C46" s="56">
        <f t="shared" si="0"/>
        <v>75.686966999999441</v>
      </c>
      <c r="D46" s="56">
        <f t="shared" si="1"/>
        <v>320.15587040999685</v>
      </c>
      <c r="I46" s="13">
        <v>189</v>
      </c>
    </row>
    <row r="47" spans="1:9" x14ac:dyDescent="0.25">
      <c r="A47" s="12">
        <v>46</v>
      </c>
      <c r="B47" s="13">
        <v>199</v>
      </c>
      <c r="C47" s="56">
        <f t="shared" si="0"/>
        <v>557.44176699999787</v>
      </c>
      <c r="D47" s="56">
        <f t="shared" si="1"/>
        <v>4587.7457424099766</v>
      </c>
      <c r="I47" s="13">
        <v>189</v>
      </c>
    </row>
    <row r="48" spans="1:9" x14ac:dyDescent="0.25">
      <c r="A48" s="12">
        <v>47</v>
      </c>
      <c r="B48" s="13">
        <v>199</v>
      </c>
      <c r="C48" s="56">
        <f t="shared" si="0"/>
        <v>557.44176699999787</v>
      </c>
      <c r="D48" s="56">
        <f t="shared" si="1"/>
        <v>4587.7457424099766</v>
      </c>
      <c r="I48" s="13">
        <v>189</v>
      </c>
    </row>
    <row r="49" spans="1:9" x14ac:dyDescent="0.25">
      <c r="A49" s="12">
        <v>48</v>
      </c>
      <c r="B49" s="13">
        <v>199</v>
      </c>
      <c r="C49" s="56">
        <f t="shared" si="0"/>
        <v>557.44176699999787</v>
      </c>
      <c r="D49" s="56">
        <f t="shared" si="1"/>
        <v>4587.7457424099766</v>
      </c>
      <c r="I49" s="13">
        <v>189</v>
      </c>
    </row>
    <row r="50" spans="1:9" x14ac:dyDescent="0.25">
      <c r="A50" s="12">
        <v>49</v>
      </c>
      <c r="B50" s="13">
        <v>189</v>
      </c>
      <c r="C50" s="56">
        <f t="shared" si="0"/>
        <v>-5.5452330000000964</v>
      </c>
      <c r="D50" s="56">
        <f t="shared" si="1"/>
        <v>9.8150624100002268</v>
      </c>
      <c r="I50" s="13">
        <v>189</v>
      </c>
    </row>
    <row r="51" spans="1:9" x14ac:dyDescent="0.25">
      <c r="A51" s="12">
        <v>50</v>
      </c>
      <c r="B51" s="13">
        <v>182</v>
      </c>
      <c r="C51" s="56">
        <f t="shared" si="0"/>
        <v>-674.52613300000235</v>
      </c>
      <c r="D51" s="56">
        <f t="shared" si="1"/>
        <v>5915.5941864100278</v>
      </c>
      <c r="I51" s="13">
        <v>189</v>
      </c>
    </row>
    <row r="52" spans="1:9" x14ac:dyDescent="0.25">
      <c r="A52" s="12">
        <v>51</v>
      </c>
      <c r="B52" s="13">
        <v>199</v>
      </c>
      <c r="C52" s="56">
        <f t="shared" si="0"/>
        <v>557.44176699999787</v>
      </c>
      <c r="D52" s="56">
        <f t="shared" si="1"/>
        <v>4587.7457424099766</v>
      </c>
      <c r="I52" s="13">
        <v>189</v>
      </c>
    </row>
    <row r="53" spans="1:9" x14ac:dyDescent="0.25">
      <c r="A53" s="12">
        <v>52</v>
      </c>
      <c r="B53" s="13">
        <v>209</v>
      </c>
      <c r="C53" s="56">
        <f t="shared" si="0"/>
        <v>6058.4287669999903</v>
      </c>
      <c r="D53" s="56">
        <f t="shared" si="1"/>
        <v>110445.15642240977</v>
      </c>
      <c r="I53" s="13">
        <v>189</v>
      </c>
    </row>
    <row r="54" spans="1:9" x14ac:dyDescent="0.25">
      <c r="A54" s="12">
        <v>53</v>
      </c>
      <c r="B54" s="13">
        <v>229</v>
      </c>
      <c r="C54" s="56">
        <f t="shared" si="0"/>
        <v>55874.402766999956</v>
      </c>
      <c r="D54" s="56">
        <f t="shared" si="1"/>
        <v>2136078.4177824077</v>
      </c>
      <c r="I54" s="13">
        <v>190</v>
      </c>
    </row>
    <row r="55" spans="1:9" x14ac:dyDescent="0.25">
      <c r="A55" s="12">
        <v>54</v>
      </c>
      <c r="B55" s="13">
        <v>199</v>
      </c>
      <c r="C55" s="56">
        <f t="shared" si="0"/>
        <v>557.44176699999787</v>
      </c>
      <c r="D55" s="56">
        <f t="shared" si="1"/>
        <v>4587.7457424099766</v>
      </c>
      <c r="I55" s="13">
        <v>195</v>
      </c>
    </row>
    <row r="56" spans="1:9" x14ac:dyDescent="0.25">
      <c r="A56" s="12">
        <v>55</v>
      </c>
      <c r="B56" s="13">
        <v>195</v>
      </c>
      <c r="C56" s="56">
        <f t="shared" si="0"/>
        <v>75.686966999999441</v>
      </c>
      <c r="D56" s="56">
        <f t="shared" si="1"/>
        <v>320.15587040999685</v>
      </c>
      <c r="I56" s="13">
        <v>195</v>
      </c>
    </row>
    <row r="57" spans="1:9" x14ac:dyDescent="0.25">
      <c r="A57" s="12">
        <v>56</v>
      </c>
      <c r="B57" s="13">
        <v>199</v>
      </c>
      <c r="C57" s="56">
        <f t="shared" si="0"/>
        <v>557.44176699999787</v>
      </c>
      <c r="D57" s="56">
        <f t="shared" si="1"/>
        <v>4587.7457424099766</v>
      </c>
      <c r="I57" s="13">
        <v>195</v>
      </c>
    </row>
    <row r="58" spans="1:9" x14ac:dyDescent="0.25">
      <c r="A58" s="12">
        <v>57</v>
      </c>
      <c r="B58" s="13">
        <v>179</v>
      </c>
      <c r="C58" s="56">
        <f t="shared" si="0"/>
        <v>-1630.5322330000042</v>
      </c>
      <c r="D58" s="56">
        <f t="shared" si="1"/>
        <v>19191.364382410065</v>
      </c>
      <c r="I58" s="13">
        <v>195</v>
      </c>
    </row>
    <row r="59" spans="1:9" x14ac:dyDescent="0.25">
      <c r="A59" s="12">
        <v>58</v>
      </c>
      <c r="B59" s="13">
        <v>169</v>
      </c>
      <c r="C59" s="56">
        <f t="shared" si="0"/>
        <v>-10317.519233000015</v>
      </c>
      <c r="D59" s="56">
        <f t="shared" si="1"/>
        <v>224612.39370241045</v>
      </c>
      <c r="I59" s="13">
        <v>195</v>
      </c>
    </row>
    <row r="60" spans="1:9" x14ac:dyDescent="0.25">
      <c r="A60" s="12">
        <v>59</v>
      </c>
      <c r="B60" s="13">
        <v>189</v>
      </c>
      <c r="C60" s="56">
        <f t="shared" si="0"/>
        <v>-5.5452330000000964</v>
      </c>
      <c r="D60" s="56">
        <f t="shared" si="1"/>
        <v>9.8150624100002268</v>
      </c>
      <c r="I60" s="13">
        <v>195</v>
      </c>
    </row>
    <row r="61" spans="1:9" x14ac:dyDescent="0.25">
      <c r="A61" s="12">
        <v>60</v>
      </c>
      <c r="B61" s="13">
        <v>205</v>
      </c>
      <c r="C61" s="56">
        <f t="shared" si="0"/>
        <v>2881.473966999994</v>
      </c>
      <c r="D61" s="56">
        <f t="shared" si="1"/>
        <v>41003.374550409884</v>
      </c>
      <c r="I61" s="13">
        <v>196</v>
      </c>
    </row>
    <row r="62" spans="1:9" x14ac:dyDescent="0.25">
      <c r="A62" s="12">
        <v>61</v>
      </c>
      <c r="B62" s="13">
        <v>199</v>
      </c>
      <c r="C62" s="56">
        <f t="shared" si="0"/>
        <v>557.44176699999787</v>
      </c>
      <c r="D62" s="56">
        <f t="shared" si="1"/>
        <v>4587.7457424099766</v>
      </c>
      <c r="I62" s="13">
        <v>197</v>
      </c>
    </row>
    <row r="63" spans="1:9" x14ac:dyDescent="0.25">
      <c r="A63" s="12">
        <v>62</v>
      </c>
      <c r="B63" s="13">
        <v>189</v>
      </c>
      <c r="C63" s="56">
        <f t="shared" si="0"/>
        <v>-5.5452330000000964</v>
      </c>
      <c r="D63" s="56">
        <f t="shared" si="1"/>
        <v>9.8150624100002268</v>
      </c>
      <c r="I63" s="13">
        <v>199</v>
      </c>
    </row>
    <row r="64" spans="1:9" x14ac:dyDescent="0.25">
      <c r="A64" s="12">
        <v>63</v>
      </c>
      <c r="B64" s="13">
        <v>189</v>
      </c>
      <c r="C64" s="56">
        <f t="shared" si="0"/>
        <v>-5.5452330000000964</v>
      </c>
      <c r="D64" s="56">
        <f t="shared" si="1"/>
        <v>9.8150624100002268</v>
      </c>
      <c r="I64" s="13">
        <v>199</v>
      </c>
    </row>
    <row r="65" spans="1:9" x14ac:dyDescent="0.25">
      <c r="A65" s="12">
        <v>64</v>
      </c>
      <c r="B65" s="13">
        <v>199</v>
      </c>
      <c r="C65" s="56">
        <f t="shared" si="0"/>
        <v>557.44176699999787</v>
      </c>
      <c r="D65" s="56">
        <f t="shared" si="1"/>
        <v>4587.7457424099766</v>
      </c>
      <c r="I65" s="13">
        <v>199</v>
      </c>
    </row>
    <row r="66" spans="1:9" x14ac:dyDescent="0.25">
      <c r="A66" s="12">
        <v>65</v>
      </c>
      <c r="B66" s="13">
        <v>179</v>
      </c>
      <c r="C66" s="56">
        <f t="shared" si="0"/>
        <v>-1630.5322330000042</v>
      </c>
      <c r="D66" s="56">
        <f t="shared" si="1"/>
        <v>19191.364382410065</v>
      </c>
      <c r="I66" s="13">
        <v>199</v>
      </c>
    </row>
    <row r="67" spans="1:9" x14ac:dyDescent="0.25">
      <c r="A67" s="12">
        <v>66</v>
      </c>
      <c r="B67" s="13">
        <v>189</v>
      </c>
      <c r="C67" s="56">
        <f t="shared" ref="C67:C101" si="2">(B67-$G$3)^3</f>
        <v>-5.5452330000000964</v>
      </c>
      <c r="D67" s="56">
        <f t="shared" ref="D67:D101" si="3">(B67-$G$3)^4</f>
        <v>9.8150624100002268</v>
      </c>
      <c r="I67" s="13">
        <v>199</v>
      </c>
    </row>
    <row r="68" spans="1:9" x14ac:dyDescent="0.25">
      <c r="A68" s="12">
        <v>67</v>
      </c>
      <c r="B68" s="13">
        <v>239</v>
      </c>
      <c r="C68" s="56">
        <f t="shared" si="2"/>
        <v>112189.38976699994</v>
      </c>
      <c r="D68" s="56">
        <f t="shared" si="3"/>
        <v>5410894.2684624065</v>
      </c>
      <c r="I68" s="13">
        <v>199</v>
      </c>
    </row>
    <row r="69" spans="1:9" x14ac:dyDescent="0.25">
      <c r="A69" s="12">
        <v>68</v>
      </c>
      <c r="B69" s="13">
        <v>215</v>
      </c>
      <c r="C69" s="56">
        <f t="shared" si="2"/>
        <v>14225.260966999982</v>
      </c>
      <c r="D69" s="56">
        <f t="shared" si="3"/>
        <v>344678.07323040947</v>
      </c>
      <c r="I69" s="13">
        <v>199</v>
      </c>
    </row>
    <row r="70" spans="1:9" x14ac:dyDescent="0.25">
      <c r="A70" s="12">
        <v>69</v>
      </c>
      <c r="B70" s="13">
        <v>199</v>
      </c>
      <c r="C70" s="56">
        <f t="shared" si="2"/>
        <v>557.44176699999787</v>
      </c>
      <c r="D70" s="56">
        <f t="shared" si="3"/>
        <v>4587.7457424099766</v>
      </c>
      <c r="I70" s="13">
        <v>199</v>
      </c>
    </row>
    <row r="71" spans="1:9" x14ac:dyDescent="0.25">
      <c r="A71" s="12">
        <v>70</v>
      </c>
      <c r="B71" s="13">
        <v>179</v>
      </c>
      <c r="C71" s="56">
        <f t="shared" si="2"/>
        <v>-1630.5322330000042</v>
      </c>
      <c r="D71" s="56">
        <f t="shared" si="3"/>
        <v>19191.364382410065</v>
      </c>
      <c r="I71" s="13">
        <v>199</v>
      </c>
    </row>
    <row r="72" spans="1:9" x14ac:dyDescent="0.25">
      <c r="A72" s="12">
        <v>71</v>
      </c>
      <c r="B72" s="13">
        <v>195</v>
      </c>
      <c r="C72" s="56">
        <f t="shared" si="2"/>
        <v>75.686966999999441</v>
      </c>
      <c r="D72" s="56">
        <f t="shared" si="3"/>
        <v>320.15587040999685</v>
      </c>
      <c r="I72" s="13">
        <v>199</v>
      </c>
    </row>
    <row r="73" spans="1:9" x14ac:dyDescent="0.25">
      <c r="A73" s="12">
        <v>72</v>
      </c>
      <c r="B73" s="13">
        <v>199</v>
      </c>
      <c r="C73" s="56">
        <f t="shared" si="2"/>
        <v>557.44176699999787</v>
      </c>
      <c r="D73" s="56">
        <f t="shared" si="3"/>
        <v>4587.7457424099766</v>
      </c>
      <c r="I73" s="13">
        <v>199</v>
      </c>
    </row>
    <row r="74" spans="1:9" x14ac:dyDescent="0.25">
      <c r="A74" s="12">
        <v>73</v>
      </c>
      <c r="B74" s="13">
        <v>209</v>
      </c>
      <c r="C74" s="56">
        <f t="shared" si="2"/>
        <v>6058.4287669999903</v>
      </c>
      <c r="D74" s="56">
        <f t="shared" si="3"/>
        <v>110445.15642240977</v>
      </c>
      <c r="I74" s="13">
        <v>199</v>
      </c>
    </row>
    <row r="75" spans="1:9" x14ac:dyDescent="0.25">
      <c r="A75" s="12">
        <v>74</v>
      </c>
      <c r="B75" s="13">
        <v>205</v>
      </c>
      <c r="C75" s="56">
        <f t="shared" si="2"/>
        <v>2881.473966999994</v>
      </c>
      <c r="D75" s="56">
        <f t="shared" si="3"/>
        <v>41003.374550409884</v>
      </c>
      <c r="I75" s="13">
        <v>199</v>
      </c>
    </row>
    <row r="76" spans="1:9" x14ac:dyDescent="0.25">
      <c r="A76" s="12">
        <v>75</v>
      </c>
      <c r="B76" s="13">
        <v>179</v>
      </c>
      <c r="C76" s="56">
        <f t="shared" si="2"/>
        <v>-1630.5322330000042</v>
      </c>
      <c r="D76" s="56">
        <f t="shared" si="3"/>
        <v>19191.364382410065</v>
      </c>
      <c r="I76" s="13">
        <v>199</v>
      </c>
    </row>
    <row r="77" spans="1:9" x14ac:dyDescent="0.25">
      <c r="A77" s="12">
        <v>76</v>
      </c>
      <c r="B77" s="13">
        <v>185</v>
      </c>
      <c r="C77" s="56">
        <f t="shared" si="2"/>
        <v>-192.10003300000102</v>
      </c>
      <c r="D77" s="56">
        <f t="shared" si="3"/>
        <v>1108.4171904100078</v>
      </c>
      <c r="I77" s="13">
        <v>199</v>
      </c>
    </row>
    <row r="78" spans="1:9" x14ac:dyDescent="0.25">
      <c r="A78" s="12">
        <v>77</v>
      </c>
      <c r="B78" s="13">
        <v>179</v>
      </c>
      <c r="C78" s="56">
        <f t="shared" si="2"/>
        <v>-1630.5322330000042</v>
      </c>
      <c r="D78" s="56">
        <f t="shared" si="3"/>
        <v>19191.364382410065</v>
      </c>
      <c r="I78" s="13">
        <v>199</v>
      </c>
    </row>
    <row r="79" spans="1:9" x14ac:dyDescent="0.25">
      <c r="A79" s="12">
        <v>78</v>
      </c>
      <c r="B79" s="13">
        <v>169</v>
      </c>
      <c r="C79" s="56">
        <f t="shared" si="2"/>
        <v>-10317.519233000015</v>
      </c>
      <c r="D79" s="56">
        <f t="shared" si="3"/>
        <v>224612.39370241045</v>
      </c>
      <c r="I79" s="13">
        <v>199</v>
      </c>
    </row>
    <row r="80" spans="1:9" x14ac:dyDescent="0.25">
      <c r="A80" s="12">
        <v>79</v>
      </c>
      <c r="B80" s="13">
        <v>179</v>
      </c>
      <c r="C80" s="56">
        <f t="shared" si="2"/>
        <v>-1630.5322330000042</v>
      </c>
      <c r="D80" s="56">
        <f t="shared" si="3"/>
        <v>19191.364382410065</v>
      </c>
      <c r="I80" s="13">
        <v>199</v>
      </c>
    </row>
    <row r="81" spans="1:9" x14ac:dyDescent="0.25">
      <c r="A81" s="12">
        <v>80</v>
      </c>
      <c r="B81" s="13">
        <v>189</v>
      </c>
      <c r="C81" s="56">
        <f t="shared" si="2"/>
        <v>-5.5452330000000964</v>
      </c>
      <c r="D81" s="56">
        <f t="shared" si="3"/>
        <v>9.8150624100002268</v>
      </c>
      <c r="I81" s="13">
        <v>199</v>
      </c>
    </row>
    <row r="82" spans="1:9" x14ac:dyDescent="0.25">
      <c r="A82" s="12">
        <v>81</v>
      </c>
      <c r="B82" s="13">
        <v>199</v>
      </c>
      <c r="C82" s="56">
        <f t="shared" si="2"/>
        <v>557.44176699999787</v>
      </c>
      <c r="D82" s="56">
        <f t="shared" si="3"/>
        <v>4587.7457424099766</v>
      </c>
      <c r="I82" s="13">
        <v>199</v>
      </c>
    </row>
    <row r="83" spans="1:9" x14ac:dyDescent="0.25">
      <c r="A83" s="12">
        <v>82</v>
      </c>
      <c r="B83" s="13">
        <v>209</v>
      </c>
      <c r="C83" s="56">
        <f t="shared" si="2"/>
        <v>6058.4287669999903</v>
      </c>
      <c r="D83" s="56">
        <f t="shared" si="3"/>
        <v>110445.15642240977</v>
      </c>
      <c r="I83" s="13">
        <v>199</v>
      </c>
    </row>
    <row r="84" spans="1:9" x14ac:dyDescent="0.25">
      <c r="A84" s="12">
        <v>83</v>
      </c>
      <c r="B84" s="13">
        <v>169</v>
      </c>
      <c r="C84" s="56">
        <f t="shared" si="2"/>
        <v>-10317.519233000015</v>
      </c>
      <c r="D84" s="56">
        <f t="shared" si="3"/>
        <v>224612.39370241045</v>
      </c>
      <c r="I84" s="13">
        <v>202</v>
      </c>
    </row>
    <row r="85" spans="1:9" x14ac:dyDescent="0.25">
      <c r="A85" s="12">
        <v>84</v>
      </c>
      <c r="B85" s="13">
        <v>159</v>
      </c>
      <c r="C85" s="56">
        <f t="shared" si="2"/>
        <v>-32066.506233000033</v>
      </c>
      <c r="D85" s="56">
        <f t="shared" si="3"/>
        <v>1018752.9030224114</v>
      </c>
      <c r="I85" s="13">
        <v>205</v>
      </c>
    </row>
    <row r="86" spans="1:9" x14ac:dyDescent="0.25">
      <c r="A86" s="12">
        <v>85</v>
      </c>
      <c r="B86" s="13">
        <v>179</v>
      </c>
      <c r="C86" s="56">
        <f t="shared" si="2"/>
        <v>-1630.5322330000042</v>
      </c>
      <c r="D86" s="56">
        <f t="shared" si="3"/>
        <v>19191.364382410065</v>
      </c>
      <c r="I86" s="13">
        <v>205</v>
      </c>
    </row>
    <row r="87" spans="1:9" x14ac:dyDescent="0.25">
      <c r="A87" s="12">
        <v>86</v>
      </c>
      <c r="B87" s="13">
        <v>185</v>
      </c>
      <c r="C87" s="56">
        <f t="shared" si="2"/>
        <v>-192.10003300000102</v>
      </c>
      <c r="D87" s="56">
        <f t="shared" si="3"/>
        <v>1108.4171904100078</v>
      </c>
      <c r="I87" s="13">
        <v>205</v>
      </c>
    </row>
    <row r="88" spans="1:9" x14ac:dyDescent="0.25">
      <c r="A88" s="12">
        <v>87</v>
      </c>
      <c r="B88" s="13">
        <v>189</v>
      </c>
      <c r="C88" s="56">
        <f t="shared" si="2"/>
        <v>-5.5452330000000964</v>
      </c>
      <c r="D88" s="56">
        <f t="shared" si="3"/>
        <v>9.8150624100002268</v>
      </c>
      <c r="I88" s="13">
        <v>205</v>
      </c>
    </row>
    <row r="89" spans="1:9" x14ac:dyDescent="0.25">
      <c r="A89" s="12">
        <v>88</v>
      </c>
      <c r="B89" s="13">
        <v>179</v>
      </c>
      <c r="C89" s="56">
        <f t="shared" si="2"/>
        <v>-1630.5322330000042</v>
      </c>
      <c r="D89" s="56">
        <f t="shared" si="3"/>
        <v>19191.364382410065</v>
      </c>
      <c r="I89" s="13">
        <v>206</v>
      </c>
    </row>
    <row r="90" spans="1:9" x14ac:dyDescent="0.25">
      <c r="A90" s="12">
        <v>89</v>
      </c>
      <c r="B90" s="13">
        <v>199</v>
      </c>
      <c r="C90" s="56">
        <f t="shared" si="2"/>
        <v>557.44176699999787</v>
      </c>
      <c r="D90" s="56">
        <f t="shared" si="3"/>
        <v>4587.7457424099766</v>
      </c>
      <c r="I90" s="13">
        <v>209</v>
      </c>
    </row>
    <row r="91" spans="1:9" x14ac:dyDescent="0.25">
      <c r="A91" s="12">
        <v>90</v>
      </c>
      <c r="B91" s="13">
        <v>199</v>
      </c>
      <c r="C91" s="56">
        <f t="shared" si="2"/>
        <v>557.44176699999787</v>
      </c>
      <c r="D91" s="56">
        <f t="shared" si="3"/>
        <v>4587.7457424099766</v>
      </c>
      <c r="I91" s="13">
        <v>209</v>
      </c>
    </row>
    <row r="92" spans="1:9" x14ac:dyDescent="0.25">
      <c r="A92" s="12">
        <v>91</v>
      </c>
      <c r="B92" s="13">
        <v>189</v>
      </c>
      <c r="C92" s="56">
        <f t="shared" si="2"/>
        <v>-5.5452330000000964</v>
      </c>
      <c r="D92" s="56">
        <f t="shared" si="3"/>
        <v>9.8150624100002268</v>
      </c>
      <c r="I92" s="13">
        <v>209</v>
      </c>
    </row>
    <row r="93" spans="1:9" x14ac:dyDescent="0.25">
      <c r="A93" s="12">
        <v>92</v>
      </c>
      <c r="B93" s="13">
        <v>169</v>
      </c>
      <c r="C93" s="56">
        <f t="shared" si="2"/>
        <v>-10317.519233000015</v>
      </c>
      <c r="D93" s="56">
        <f t="shared" si="3"/>
        <v>224612.39370241045</v>
      </c>
      <c r="I93" s="13">
        <v>209</v>
      </c>
    </row>
    <row r="94" spans="1:9" x14ac:dyDescent="0.25">
      <c r="A94" s="12">
        <v>93</v>
      </c>
      <c r="B94" s="13">
        <v>159</v>
      </c>
      <c r="C94" s="56">
        <f t="shared" si="2"/>
        <v>-32066.506233000033</v>
      </c>
      <c r="D94" s="56">
        <f t="shared" si="3"/>
        <v>1018752.9030224114</v>
      </c>
      <c r="I94" s="13">
        <v>209</v>
      </c>
    </row>
    <row r="95" spans="1:9" x14ac:dyDescent="0.25">
      <c r="A95" s="12">
        <v>94</v>
      </c>
      <c r="B95" s="13">
        <v>169</v>
      </c>
      <c r="C95" s="56">
        <f t="shared" si="2"/>
        <v>-10317.519233000015</v>
      </c>
      <c r="D95" s="56">
        <f t="shared" si="3"/>
        <v>224612.39370241045</v>
      </c>
      <c r="I95" s="13">
        <v>209</v>
      </c>
    </row>
    <row r="96" spans="1:9" x14ac:dyDescent="0.25">
      <c r="A96" s="12">
        <v>95</v>
      </c>
      <c r="B96" s="13">
        <v>209</v>
      </c>
      <c r="C96" s="56">
        <f t="shared" si="2"/>
        <v>6058.4287669999903</v>
      </c>
      <c r="D96" s="56">
        <f t="shared" si="3"/>
        <v>110445.15642240977</v>
      </c>
      <c r="I96" s="13">
        <v>215</v>
      </c>
    </row>
    <row r="97" spans="1:9" x14ac:dyDescent="0.25">
      <c r="A97" s="12">
        <v>96</v>
      </c>
      <c r="B97" s="13">
        <v>189</v>
      </c>
      <c r="C97" s="56">
        <f t="shared" si="2"/>
        <v>-5.5452330000000964</v>
      </c>
      <c r="D97" s="56">
        <f t="shared" si="3"/>
        <v>9.8150624100002268</v>
      </c>
      <c r="I97" s="13">
        <v>215</v>
      </c>
    </row>
    <row r="98" spans="1:9" x14ac:dyDescent="0.25">
      <c r="A98" s="12">
        <v>97</v>
      </c>
      <c r="B98" s="13">
        <v>179</v>
      </c>
      <c r="C98" s="56">
        <f t="shared" si="2"/>
        <v>-1630.5322330000042</v>
      </c>
      <c r="D98" s="56">
        <f t="shared" si="3"/>
        <v>19191.364382410065</v>
      </c>
      <c r="I98" s="13">
        <v>219</v>
      </c>
    </row>
    <row r="99" spans="1:9" x14ac:dyDescent="0.25">
      <c r="A99" s="12">
        <v>98</v>
      </c>
      <c r="B99" s="13">
        <v>189</v>
      </c>
      <c r="C99" s="56">
        <f t="shared" si="2"/>
        <v>-5.5452330000000964</v>
      </c>
      <c r="D99" s="56">
        <f t="shared" si="3"/>
        <v>9.8150624100002268</v>
      </c>
      <c r="I99" s="13">
        <v>229</v>
      </c>
    </row>
    <row r="100" spans="1:9" x14ac:dyDescent="0.25">
      <c r="A100" s="12">
        <v>99</v>
      </c>
      <c r="B100" s="13">
        <v>199</v>
      </c>
      <c r="C100" s="56">
        <f t="shared" si="2"/>
        <v>557.44176699999787</v>
      </c>
      <c r="D100" s="56">
        <f t="shared" si="3"/>
        <v>4587.7457424099766</v>
      </c>
      <c r="I100" s="13">
        <v>229</v>
      </c>
    </row>
    <row r="101" spans="1:9" x14ac:dyDescent="0.25">
      <c r="A101" s="12">
        <v>100</v>
      </c>
      <c r="B101" s="13">
        <v>195</v>
      </c>
      <c r="C101" s="56">
        <f t="shared" si="2"/>
        <v>75.686966999999441</v>
      </c>
      <c r="D101" s="56">
        <f t="shared" si="3"/>
        <v>320.15587040999685</v>
      </c>
      <c r="I101" s="13">
        <v>239</v>
      </c>
    </row>
    <row r="102" spans="1:9" x14ac:dyDescent="0.25">
      <c r="C102" s="56">
        <f>+SUM(C2:C101)/100</f>
        <v>332.49036599999266</v>
      </c>
      <c r="D102" s="56">
        <f>+SUM(D2:D101)/100</f>
        <v>208754.24176676999</v>
      </c>
    </row>
    <row r="103" spans="1:9" x14ac:dyDescent="0.25">
      <c r="C103" s="56"/>
      <c r="D103" s="56"/>
    </row>
    <row r="104" spans="1:9" x14ac:dyDescent="0.25">
      <c r="C104" s="55">
        <f>(100^2*C102)/(99*98*(G16^3))</f>
        <v>8.9905641126456867E-2</v>
      </c>
      <c r="D104" s="55">
        <f>((100^2*101*D102)/(99*98*97*(G16^4)))-3*((99^2)/(98*97))</f>
        <v>0.66945316043880787</v>
      </c>
    </row>
  </sheetData>
  <sortState xmlns:xlrd2="http://schemas.microsoft.com/office/spreadsheetml/2017/richdata2" ref="I2:I102">
    <sortCondition ref="I1:I10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5CBF5-6E5E-4C56-8024-1DD550CCBC1D}">
  <dimension ref="A1:J32"/>
  <sheetViews>
    <sheetView showGridLines="0" workbookViewId="0"/>
  </sheetViews>
  <sheetFormatPr defaultRowHeight="15" x14ac:dyDescent="0.25"/>
  <sheetData>
    <row r="1" spans="1:10" ht="15" customHeight="1" x14ac:dyDescent="0.25">
      <c r="A1" s="117" t="s">
        <v>134</v>
      </c>
      <c r="B1" s="183">
        <v>0.01</v>
      </c>
      <c r="C1" s="185">
        <v>2.5000000000000001E-2</v>
      </c>
      <c r="D1" s="183">
        <v>0.05</v>
      </c>
      <c r="E1" s="183">
        <v>0.1</v>
      </c>
      <c r="G1" s="174" t="s">
        <v>237</v>
      </c>
      <c r="H1" s="175"/>
      <c r="I1" s="175"/>
      <c r="J1" s="176"/>
    </row>
    <row r="2" spans="1:10" x14ac:dyDescent="0.25">
      <c r="A2" s="117" t="s">
        <v>236</v>
      </c>
      <c r="B2" s="184"/>
      <c r="C2" s="186"/>
      <c r="D2" s="184"/>
      <c r="E2" s="184"/>
      <c r="G2" s="177"/>
      <c r="H2" s="178"/>
      <c r="I2" s="178"/>
      <c r="J2" s="179"/>
    </row>
    <row r="3" spans="1:10" x14ac:dyDescent="0.25">
      <c r="A3" s="122">
        <v>1</v>
      </c>
      <c r="B3" s="110">
        <f>-_xlfn.T.INV(B$1,$A3)</f>
        <v>31.820515953773956</v>
      </c>
      <c r="C3" s="110">
        <f t="shared" ref="C3:E32" si="0">-_xlfn.T.INV(C$1,$A3)</f>
        <v>12.706204736174707</v>
      </c>
      <c r="D3" s="110">
        <f t="shared" si="0"/>
        <v>6.3137515146750438</v>
      </c>
      <c r="E3" s="110">
        <f t="shared" si="0"/>
        <v>3.077683537175254</v>
      </c>
      <c r="G3" s="177"/>
      <c r="H3" s="178"/>
      <c r="I3" s="178"/>
      <c r="J3" s="179"/>
    </row>
    <row r="4" spans="1:10" x14ac:dyDescent="0.25">
      <c r="A4" s="122">
        <v>2</v>
      </c>
      <c r="B4" s="110">
        <f t="shared" ref="B4:B32" si="1">-_xlfn.T.INV(B$1,$A4)</f>
        <v>6.9645567342832733</v>
      </c>
      <c r="C4" s="110">
        <f t="shared" si="0"/>
        <v>4.3026527297494637</v>
      </c>
      <c r="D4" s="110">
        <f t="shared" si="0"/>
        <v>2.9199855803537269</v>
      </c>
      <c r="E4" s="110">
        <f t="shared" si="0"/>
        <v>1.8856180831641267</v>
      </c>
      <c r="G4" s="177"/>
      <c r="H4" s="178"/>
      <c r="I4" s="178"/>
      <c r="J4" s="179"/>
    </row>
    <row r="5" spans="1:10" x14ac:dyDescent="0.25">
      <c r="A5" s="122">
        <v>3</v>
      </c>
      <c r="B5" s="110">
        <f t="shared" si="1"/>
        <v>4.5407028585681335</v>
      </c>
      <c r="C5" s="110">
        <f t="shared" si="0"/>
        <v>3.1824463052837091</v>
      </c>
      <c r="D5" s="110">
        <f t="shared" si="0"/>
        <v>2.3533634348018233</v>
      </c>
      <c r="E5" s="110">
        <f t="shared" si="0"/>
        <v>1.63774435369621</v>
      </c>
      <c r="G5" s="180"/>
      <c r="H5" s="181"/>
      <c r="I5" s="181"/>
      <c r="J5" s="182"/>
    </row>
    <row r="6" spans="1:10" x14ac:dyDescent="0.25">
      <c r="A6" s="122">
        <v>4</v>
      </c>
      <c r="B6" s="110">
        <f t="shared" si="1"/>
        <v>3.7469473879791968</v>
      </c>
      <c r="C6" s="110">
        <f t="shared" si="0"/>
        <v>2.7764451051977934</v>
      </c>
      <c r="D6" s="110">
        <f t="shared" si="0"/>
        <v>2.1318467863266499</v>
      </c>
      <c r="E6" s="110">
        <f t="shared" si="0"/>
        <v>1.5332062740589443</v>
      </c>
    </row>
    <row r="7" spans="1:10" x14ac:dyDescent="0.25">
      <c r="A7" s="122">
        <v>5</v>
      </c>
      <c r="B7" s="110">
        <f t="shared" si="1"/>
        <v>3.3649299989072183</v>
      </c>
      <c r="C7" s="110">
        <f t="shared" si="0"/>
        <v>2.570581835636315</v>
      </c>
      <c r="D7" s="110">
        <f t="shared" si="0"/>
        <v>2.0150483733330233</v>
      </c>
      <c r="E7" s="110">
        <f t="shared" si="0"/>
        <v>1.4758840488244813</v>
      </c>
    </row>
    <row r="8" spans="1:10" x14ac:dyDescent="0.25">
      <c r="A8" s="122">
        <v>6</v>
      </c>
      <c r="B8" s="110">
        <f t="shared" si="1"/>
        <v>3.1426684032909828</v>
      </c>
      <c r="C8" s="110">
        <f t="shared" si="0"/>
        <v>2.4469118511449697</v>
      </c>
      <c r="D8" s="110">
        <f t="shared" si="0"/>
        <v>1.9431802805153031</v>
      </c>
      <c r="E8" s="110">
        <f t="shared" si="0"/>
        <v>1.4397557472651481</v>
      </c>
    </row>
    <row r="9" spans="1:10" x14ac:dyDescent="0.25">
      <c r="A9" s="122">
        <v>7</v>
      </c>
      <c r="B9" s="110">
        <f t="shared" si="1"/>
        <v>2.997951566868529</v>
      </c>
      <c r="C9" s="110">
        <f t="shared" si="0"/>
        <v>2.3646242515927849</v>
      </c>
      <c r="D9" s="110">
        <f t="shared" si="0"/>
        <v>1.8945786050900073</v>
      </c>
      <c r="E9" s="110">
        <f t="shared" si="0"/>
        <v>1.4149239276505079</v>
      </c>
    </row>
    <row r="10" spans="1:10" x14ac:dyDescent="0.25">
      <c r="A10" s="122">
        <v>8</v>
      </c>
      <c r="B10" s="110">
        <f t="shared" si="1"/>
        <v>2.8964594477096224</v>
      </c>
      <c r="C10" s="110">
        <f t="shared" si="0"/>
        <v>2.3060041352041671</v>
      </c>
      <c r="D10" s="110">
        <f t="shared" si="0"/>
        <v>1.8595480375308981</v>
      </c>
      <c r="E10" s="110">
        <f t="shared" si="0"/>
        <v>1.3968153097438645</v>
      </c>
    </row>
    <row r="11" spans="1:10" x14ac:dyDescent="0.25">
      <c r="A11" s="122">
        <v>9</v>
      </c>
      <c r="B11" s="110">
        <f t="shared" si="1"/>
        <v>2.8214379250258084</v>
      </c>
      <c r="C11" s="110">
        <f t="shared" si="0"/>
        <v>2.2621571627982053</v>
      </c>
      <c r="D11" s="110">
        <f t="shared" si="0"/>
        <v>1.8331129326562374</v>
      </c>
      <c r="E11" s="110">
        <f t="shared" si="0"/>
        <v>1.383028738396632</v>
      </c>
    </row>
    <row r="12" spans="1:10" x14ac:dyDescent="0.25">
      <c r="A12" s="122">
        <v>10</v>
      </c>
      <c r="B12" s="110">
        <f t="shared" si="1"/>
        <v>2.7637694581126966</v>
      </c>
      <c r="C12" s="110">
        <f t="shared" si="0"/>
        <v>2.2281388519862744</v>
      </c>
      <c r="D12" s="110">
        <f t="shared" si="0"/>
        <v>1.812461122811676</v>
      </c>
      <c r="E12" s="110">
        <f t="shared" si="0"/>
        <v>1.3721836411103363</v>
      </c>
    </row>
    <row r="13" spans="1:10" x14ac:dyDescent="0.25">
      <c r="A13" s="122">
        <v>11</v>
      </c>
      <c r="B13" s="110">
        <f t="shared" si="1"/>
        <v>2.7180791838138614</v>
      </c>
      <c r="C13" s="110">
        <f t="shared" si="0"/>
        <v>2.2009851600916384</v>
      </c>
      <c r="D13" s="110">
        <f t="shared" si="0"/>
        <v>1.7958848187040437</v>
      </c>
      <c r="E13" s="110">
        <f t="shared" si="0"/>
        <v>1.3634303180205409</v>
      </c>
    </row>
    <row r="14" spans="1:10" x14ac:dyDescent="0.25">
      <c r="A14" s="122">
        <v>12</v>
      </c>
      <c r="B14" s="110">
        <f t="shared" si="1"/>
        <v>2.6809979931209149</v>
      </c>
      <c r="C14" s="110">
        <f t="shared" si="0"/>
        <v>2.1788128296672284</v>
      </c>
      <c r="D14" s="110">
        <f t="shared" si="0"/>
        <v>1.7822875556493194</v>
      </c>
      <c r="E14" s="110">
        <f t="shared" si="0"/>
        <v>1.3562173340232047</v>
      </c>
    </row>
    <row r="15" spans="1:10" x14ac:dyDescent="0.25">
      <c r="A15" s="122">
        <v>13</v>
      </c>
      <c r="B15" s="110">
        <f t="shared" si="1"/>
        <v>2.650308837912192</v>
      </c>
      <c r="C15" s="110">
        <f t="shared" si="0"/>
        <v>2.1603686564627926</v>
      </c>
      <c r="D15" s="110">
        <f t="shared" si="0"/>
        <v>1.7709333959868729</v>
      </c>
      <c r="E15" s="110">
        <f t="shared" si="0"/>
        <v>1.3501712887800554</v>
      </c>
    </row>
    <row r="16" spans="1:10" x14ac:dyDescent="0.25">
      <c r="A16" s="122">
        <v>14</v>
      </c>
      <c r="B16" s="110">
        <f t="shared" si="1"/>
        <v>2.6244940675900517</v>
      </c>
      <c r="C16" s="110">
        <f t="shared" si="0"/>
        <v>2.1447866879178044</v>
      </c>
      <c r="D16" s="110">
        <f t="shared" si="0"/>
        <v>1.7613101357748921</v>
      </c>
      <c r="E16" s="110">
        <f t="shared" si="0"/>
        <v>1.3450303744546506</v>
      </c>
    </row>
    <row r="17" spans="1:5" x14ac:dyDescent="0.25">
      <c r="A17" s="122">
        <v>15</v>
      </c>
      <c r="B17" s="110">
        <f t="shared" si="1"/>
        <v>2.6024802950111221</v>
      </c>
      <c r="C17" s="110">
        <f t="shared" si="0"/>
        <v>2.1314495455597742</v>
      </c>
      <c r="D17" s="110">
        <f t="shared" si="0"/>
        <v>1.7530503556925723</v>
      </c>
      <c r="E17" s="110">
        <f t="shared" si="0"/>
        <v>1.3406056078504547</v>
      </c>
    </row>
    <row r="18" spans="1:5" x14ac:dyDescent="0.25">
      <c r="A18" s="122">
        <v>16</v>
      </c>
      <c r="B18" s="110">
        <f t="shared" si="1"/>
        <v>2.5834871852759917</v>
      </c>
      <c r="C18" s="110">
        <f t="shared" si="0"/>
        <v>2.119905299221255</v>
      </c>
      <c r="D18" s="110">
        <f t="shared" si="0"/>
        <v>1.7458836762762506</v>
      </c>
      <c r="E18" s="110">
        <f t="shared" si="0"/>
        <v>1.3367571673273144</v>
      </c>
    </row>
    <row r="19" spans="1:5" x14ac:dyDescent="0.25">
      <c r="A19" s="122">
        <v>17</v>
      </c>
      <c r="B19" s="110">
        <f t="shared" si="1"/>
        <v>2.5669339837247178</v>
      </c>
      <c r="C19" s="110">
        <f t="shared" si="0"/>
        <v>2.109815577833317</v>
      </c>
      <c r="D19" s="110">
        <f t="shared" si="0"/>
        <v>1.7396067260750732</v>
      </c>
      <c r="E19" s="110">
        <f t="shared" si="0"/>
        <v>1.3333793897216262</v>
      </c>
    </row>
    <row r="20" spans="1:5" x14ac:dyDescent="0.25">
      <c r="A20" s="122">
        <v>18</v>
      </c>
      <c r="B20" s="110">
        <f t="shared" si="1"/>
        <v>2.552379630182251</v>
      </c>
      <c r="C20" s="110">
        <f t="shared" si="0"/>
        <v>2.1009220402410378</v>
      </c>
      <c r="D20" s="110">
        <f t="shared" si="0"/>
        <v>1.7340636066175394</v>
      </c>
      <c r="E20" s="110">
        <f t="shared" si="0"/>
        <v>1.3303909435699084</v>
      </c>
    </row>
    <row r="21" spans="1:5" x14ac:dyDescent="0.25">
      <c r="A21" s="122">
        <v>19</v>
      </c>
      <c r="B21" s="110">
        <f t="shared" si="1"/>
        <v>2.5394831906239612</v>
      </c>
      <c r="C21" s="110">
        <f t="shared" si="0"/>
        <v>2.0930240544083096</v>
      </c>
      <c r="D21" s="110">
        <f t="shared" si="0"/>
        <v>1.7291328115213698</v>
      </c>
      <c r="E21" s="110">
        <f t="shared" si="0"/>
        <v>1.3277282090267981</v>
      </c>
    </row>
    <row r="22" spans="1:5" x14ac:dyDescent="0.25">
      <c r="A22" s="122">
        <v>20</v>
      </c>
      <c r="B22" s="110">
        <f t="shared" si="1"/>
        <v>2.5279770027415731</v>
      </c>
      <c r="C22" s="110">
        <f t="shared" si="0"/>
        <v>2.0859634472658648</v>
      </c>
      <c r="D22" s="110">
        <f t="shared" si="0"/>
        <v>1.7247182429207868</v>
      </c>
      <c r="E22" s="110">
        <f t="shared" si="0"/>
        <v>1.3253407069850465</v>
      </c>
    </row>
    <row r="23" spans="1:5" x14ac:dyDescent="0.25">
      <c r="A23" s="122">
        <v>21</v>
      </c>
      <c r="B23" s="110">
        <f t="shared" si="1"/>
        <v>2.5176480160447423</v>
      </c>
      <c r="C23" s="110">
        <f t="shared" si="0"/>
        <v>2.07961384472768</v>
      </c>
      <c r="D23" s="110">
        <f t="shared" si="0"/>
        <v>1.7207429028118781</v>
      </c>
      <c r="E23" s="110">
        <f t="shared" si="0"/>
        <v>1.3231878738651732</v>
      </c>
    </row>
    <row r="24" spans="1:5" x14ac:dyDescent="0.25">
      <c r="A24" s="122">
        <v>22</v>
      </c>
      <c r="B24" s="110">
        <f t="shared" si="1"/>
        <v>2.5083245528990807</v>
      </c>
      <c r="C24" s="110">
        <f t="shared" si="0"/>
        <v>2.0738730679040258</v>
      </c>
      <c r="D24" s="110">
        <f t="shared" si="0"/>
        <v>1.7171443743802424</v>
      </c>
      <c r="E24" s="110">
        <f t="shared" si="0"/>
        <v>1.3212367416133624</v>
      </c>
    </row>
    <row r="25" spans="1:5" x14ac:dyDescent="0.25">
      <c r="A25" s="122">
        <v>23</v>
      </c>
      <c r="B25" s="110">
        <f t="shared" si="1"/>
        <v>2.4998667394946681</v>
      </c>
      <c r="C25" s="110">
        <f t="shared" si="0"/>
        <v>2.0686576104190491</v>
      </c>
      <c r="D25" s="110">
        <f t="shared" si="0"/>
        <v>1.7138715277470482</v>
      </c>
      <c r="E25" s="110">
        <f t="shared" si="0"/>
        <v>1.3194602398161621</v>
      </c>
    </row>
    <row r="26" spans="1:5" x14ac:dyDescent="0.25">
      <c r="A26" s="122">
        <v>24</v>
      </c>
      <c r="B26" s="110">
        <f t="shared" si="1"/>
        <v>2.492159473157757</v>
      </c>
      <c r="C26" s="110">
        <f t="shared" si="0"/>
        <v>2.0638985616280254</v>
      </c>
      <c r="D26" s="110">
        <f t="shared" si="0"/>
        <v>1.7108820799094284</v>
      </c>
      <c r="E26" s="110">
        <f t="shared" si="0"/>
        <v>1.3178359336731498</v>
      </c>
    </row>
    <row r="27" spans="1:5" x14ac:dyDescent="0.25">
      <c r="A27" s="122">
        <v>25</v>
      </c>
      <c r="B27" s="110">
        <f t="shared" si="1"/>
        <v>2.485107175410763</v>
      </c>
      <c r="C27" s="110">
        <f t="shared" si="0"/>
        <v>2.0595385527532977</v>
      </c>
      <c r="D27" s="110">
        <f t="shared" si="0"/>
        <v>1.7081407612518986</v>
      </c>
      <c r="E27" s="110">
        <f t="shared" si="0"/>
        <v>1.3163450726738706</v>
      </c>
    </row>
    <row r="28" spans="1:5" x14ac:dyDescent="0.25">
      <c r="A28" s="122">
        <v>26</v>
      </c>
      <c r="B28" s="110">
        <f t="shared" si="1"/>
        <v>2.4786298235912425</v>
      </c>
      <c r="C28" s="110">
        <f t="shared" si="0"/>
        <v>2.0555294386428731</v>
      </c>
      <c r="D28" s="110">
        <f t="shared" si="0"/>
        <v>1.7056179197592738</v>
      </c>
      <c r="E28" s="110">
        <f t="shared" si="0"/>
        <v>1.3149718642705173</v>
      </c>
    </row>
    <row r="29" spans="1:5" x14ac:dyDescent="0.25">
      <c r="A29" s="122">
        <v>27</v>
      </c>
      <c r="B29" s="110">
        <f t="shared" si="1"/>
        <v>2.4726599119560069</v>
      </c>
      <c r="C29" s="110">
        <f t="shared" si="0"/>
        <v>2.0518305164802859</v>
      </c>
      <c r="D29" s="110">
        <f t="shared" si="0"/>
        <v>1.7032884457221271</v>
      </c>
      <c r="E29" s="110">
        <f t="shared" si="0"/>
        <v>1.3137029128292739</v>
      </c>
    </row>
    <row r="30" spans="1:5" x14ac:dyDescent="0.25">
      <c r="A30" s="122">
        <v>28</v>
      </c>
      <c r="B30" s="110">
        <f t="shared" si="1"/>
        <v>2.467140097967472</v>
      </c>
      <c r="C30" s="110">
        <f t="shared" si="0"/>
        <v>2.0484071417952445</v>
      </c>
      <c r="D30" s="110">
        <f t="shared" si="0"/>
        <v>1.7011309342659326</v>
      </c>
      <c r="E30" s="110">
        <f t="shared" si="0"/>
        <v>1.3125267815926682</v>
      </c>
    </row>
    <row r="31" spans="1:5" x14ac:dyDescent="0.25">
      <c r="A31" s="122">
        <v>29</v>
      </c>
      <c r="B31" s="110">
        <f t="shared" si="1"/>
        <v>2.4620213601504126</v>
      </c>
      <c r="C31" s="110">
        <f t="shared" si="0"/>
        <v>2.0452296421327048</v>
      </c>
      <c r="D31" s="110">
        <f t="shared" si="0"/>
        <v>1.6991270265334986</v>
      </c>
      <c r="E31" s="110">
        <f t="shared" si="0"/>
        <v>1.3114336473015527</v>
      </c>
    </row>
    <row r="32" spans="1:5" x14ac:dyDescent="0.25">
      <c r="A32" s="122">
        <v>30</v>
      </c>
      <c r="B32" s="110">
        <f t="shared" si="1"/>
        <v>2.4572615424005915</v>
      </c>
      <c r="C32" s="110">
        <f t="shared" si="0"/>
        <v>2.0422724563012378</v>
      </c>
      <c r="D32" s="110">
        <f t="shared" si="0"/>
        <v>1.6972608865939587</v>
      </c>
      <c r="E32" s="110">
        <f t="shared" si="0"/>
        <v>1.3104150253913947</v>
      </c>
    </row>
  </sheetData>
  <mergeCells count="5">
    <mergeCell ref="B1:B2"/>
    <mergeCell ref="C1:C2"/>
    <mergeCell ref="D1:D2"/>
    <mergeCell ref="E1:E2"/>
    <mergeCell ref="G1:J5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F8F53-01D9-451C-95D8-B9C27FD91435}">
  <dimension ref="A1:P33"/>
  <sheetViews>
    <sheetView showGridLines="0" workbookViewId="0">
      <selection activeCell="D1" sqref="D1"/>
    </sheetView>
  </sheetViews>
  <sheetFormatPr defaultRowHeight="15" x14ac:dyDescent="0.25"/>
  <cols>
    <col min="1" max="11" width="13.7109375" customWidth="1"/>
  </cols>
  <sheetData>
    <row r="1" spans="1:16" x14ac:dyDescent="0.25">
      <c r="A1" s="187" t="s">
        <v>34</v>
      </c>
      <c r="B1" s="188"/>
      <c r="C1" s="123">
        <v>0.01</v>
      </c>
    </row>
    <row r="2" spans="1:16" ht="15" customHeight="1" x14ac:dyDescent="0.25">
      <c r="A2" s="189" t="s">
        <v>238</v>
      </c>
      <c r="B2" s="191" t="s">
        <v>239</v>
      </c>
      <c r="C2" s="192"/>
      <c r="D2" s="192"/>
      <c r="E2" s="192"/>
      <c r="F2" s="192"/>
      <c r="G2" s="192"/>
      <c r="H2" s="192"/>
      <c r="I2" s="192"/>
      <c r="J2" s="192"/>
      <c r="K2" s="193"/>
      <c r="M2" s="174" t="s">
        <v>240</v>
      </c>
      <c r="N2" s="175"/>
      <c r="O2" s="175"/>
      <c r="P2" s="176"/>
    </row>
    <row r="3" spans="1:16" ht="15" customHeight="1" x14ac:dyDescent="0.25">
      <c r="A3" s="190"/>
      <c r="B3" s="124">
        <v>1</v>
      </c>
      <c r="C3" s="124">
        <v>2</v>
      </c>
      <c r="D3" s="124">
        <v>3</v>
      </c>
      <c r="E3" s="124">
        <v>4</v>
      </c>
      <c r="F3" s="124">
        <v>5</v>
      </c>
      <c r="G3" s="124">
        <v>6</v>
      </c>
      <c r="H3" s="124">
        <v>7</v>
      </c>
      <c r="I3" s="124">
        <v>8</v>
      </c>
      <c r="J3" s="124">
        <v>9</v>
      </c>
      <c r="K3" s="124">
        <v>10</v>
      </c>
      <c r="M3" s="177"/>
      <c r="N3" s="178"/>
      <c r="O3" s="178"/>
      <c r="P3" s="179"/>
    </row>
    <row r="4" spans="1:16" x14ac:dyDescent="0.25">
      <c r="A4" s="122">
        <v>1</v>
      </c>
      <c r="B4" s="60">
        <f>_xlfn.F.INV.RT($C$1,B$3,$A4)</f>
        <v>4052.1806954768263</v>
      </c>
      <c r="C4" s="60">
        <f t="shared" ref="C4:K19" si="0">_xlfn.F.INV.RT($C$1,C$3,$A4)</f>
        <v>4999.4999999999955</v>
      </c>
      <c r="D4" s="60">
        <f t="shared" si="0"/>
        <v>5403.3520137385403</v>
      </c>
      <c r="E4" s="60">
        <f t="shared" si="0"/>
        <v>5624.5833296294431</v>
      </c>
      <c r="F4" s="60">
        <f t="shared" si="0"/>
        <v>5763.6495541557169</v>
      </c>
      <c r="G4" s="60">
        <f t="shared" si="0"/>
        <v>5858.9861066861959</v>
      </c>
      <c r="H4" s="60">
        <f t="shared" si="0"/>
        <v>5928.3557315865291</v>
      </c>
      <c r="I4" s="60">
        <f t="shared" si="0"/>
        <v>5981.0703077977314</v>
      </c>
      <c r="J4" s="60">
        <f t="shared" si="0"/>
        <v>6022.4732449682679</v>
      </c>
      <c r="K4" s="60">
        <f t="shared" si="0"/>
        <v>6055.8467073958309</v>
      </c>
      <c r="M4" s="177"/>
      <c r="N4" s="178"/>
      <c r="O4" s="178"/>
      <c r="P4" s="179"/>
    </row>
    <row r="5" spans="1:16" x14ac:dyDescent="0.25">
      <c r="A5" s="122">
        <v>2</v>
      </c>
      <c r="B5" s="60">
        <f t="shared" ref="B5:K20" si="1">_xlfn.F.INV.RT($C$1,B$3,$A5)</f>
        <v>98.50251256281409</v>
      </c>
      <c r="C5" s="60">
        <f t="shared" si="0"/>
        <v>98.999999999999957</v>
      </c>
      <c r="D5" s="60">
        <f t="shared" si="0"/>
        <v>99.166201374471555</v>
      </c>
      <c r="E5" s="60">
        <f t="shared" si="0"/>
        <v>99.24937185533102</v>
      </c>
      <c r="F5" s="60">
        <f t="shared" si="0"/>
        <v>99.299296477864175</v>
      </c>
      <c r="G5" s="60">
        <f t="shared" si="0"/>
        <v>99.332588865403423</v>
      </c>
      <c r="H5" s="60">
        <f t="shared" si="0"/>
        <v>99.356373700187277</v>
      </c>
      <c r="I5" s="60">
        <f t="shared" si="0"/>
        <v>99.374214818915945</v>
      </c>
      <c r="J5" s="60">
        <f t="shared" si="0"/>
        <v>99.388092721714372</v>
      </c>
      <c r="K5" s="60">
        <f t="shared" si="0"/>
        <v>99.399195974539353</v>
      </c>
      <c r="M5" s="177"/>
      <c r="N5" s="178"/>
      <c r="O5" s="178"/>
      <c r="P5" s="179"/>
    </row>
    <row r="6" spans="1:16" x14ac:dyDescent="0.25">
      <c r="A6" s="122">
        <v>3</v>
      </c>
      <c r="B6" s="60">
        <f t="shared" si="1"/>
        <v>34.116221564529795</v>
      </c>
      <c r="C6" s="60">
        <f t="shared" si="0"/>
        <v>30.816520350478257</v>
      </c>
      <c r="D6" s="60">
        <f t="shared" si="0"/>
        <v>29.456695126754646</v>
      </c>
      <c r="E6" s="60">
        <f t="shared" si="0"/>
        <v>28.7098983872982</v>
      </c>
      <c r="F6" s="60">
        <f t="shared" si="0"/>
        <v>28.237080837755048</v>
      </c>
      <c r="G6" s="60">
        <f t="shared" si="0"/>
        <v>27.910657357696032</v>
      </c>
      <c r="H6" s="60">
        <f t="shared" si="0"/>
        <v>27.671696070326174</v>
      </c>
      <c r="I6" s="60">
        <f t="shared" si="0"/>
        <v>27.489177030536222</v>
      </c>
      <c r="J6" s="60">
        <f t="shared" si="0"/>
        <v>27.345206333571468</v>
      </c>
      <c r="K6" s="60">
        <f t="shared" si="0"/>
        <v>27.228734121474286</v>
      </c>
      <c r="M6" s="180"/>
      <c r="N6" s="181"/>
      <c r="O6" s="181"/>
      <c r="P6" s="182"/>
    </row>
    <row r="7" spans="1:16" x14ac:dyDescent="0.25">
      <c r="A7" s="122">
        <v>4</v>
      </c>
      <c r="B7" s="60">
        <f t="shared" si="1"/>
        <v>21.197689584391309</v>
      </c>
      <c r="C7" s="60">
        <f t="shared" si="0"/>
        <v>17.999999999999993</v>
      </c>
      <c r="D7" s="60">
        <f t="shared" si="0"/>
        <v>16.694369237175085</v>
      </c>
      <c r="E7" s="60">
        <f t="shared" si="0"/>
        <v>15.977024852557676</v>
      </c>
      <c r="F7" s="60">
        <f t="shared" si="0"/>
        <v>15.521857544425243</v>
      </c>
      <c r="G7" s="60">
        <f t="shared" si="0"/>
        <v>15.206864861157531</v>
      </c>
      <c r="H7" s="60">
        <f t="shared" si="0"/>
        <v>14.975757704446696</v>
      </c>
      <c r="I7" s="60">
        <f t="shared" si="0"/>
        <v>14.798888790632594</v>
      </c>
      <c r="J7" s="60">
        <f t="shared" si="0"/>
        <v>14.659133574738862</v>
      </c>
      <c r="K7" s="60">
        <f t="shared" si="0"/>
        <v>14.545900803323377</v>
      </c>
    </row>
    <row r="8" spans="1:16" x14ac:dyDescent="0.25">
      <c r="A8" s="122">
        <v>5</v>
      </c>
      <c r="B8" s="60">
        <f t="shared" si="1"/>
        <v>16.258177039833654</v>
      </c>
      <c r="C8" s="60">
        <f t="shared" si="0"/>
        <v>13.273933612004834</v>
      </c>
      <c r="D8" s="60">
        <f t="shared" si="0"/>
        <v>12.059953691651989</v>
      </c>
      <c r="E8" s="60">
        <f t="shared" si="0"/>
        <v>11.391928071349769</v>
      </c>
      <c r="F8" s="60">
        <f t="shared" si="0"/>
        <v>10.967020650907992</v>
      </c>
      <c r="G8" s="60">
        <f t="shared" si="0"/>
        <v>10.672254792434337</v>
      </c>
      <c r="H8" s="60">
        <f t="shared" si="0"/>
        <v>10.455510891760897</v>
      </c>
      <c r="I8" s="60">
        <f t="shared" si="0"/>
        <v>10.28931104613593</v>
      </c>
      <c r="J8" s="60">
        <f t="shared" si="0"/>
        <v>10.157761547933342</v>
      </c>
      <c r="K8" s="60">
        <f t="shared" si="0"/>
        <v>10.051017219571275</v>
      </c>
    </row>
    <row r="9" spans="1:16" x14ac:dyDescent="0.25">
      <c r="A9" s="122">
        <v>6</v>
      </c>
      <c r="B9" s="60">
        <f t="shared" si="1"/>
        <v>13.745022533304169</v>
      </c>
      <c r="C9" s="60">
        <f t="shared" si="0"/>
        <v>10.924766500838338</v>
      </c>
      <c r="D9" s="60">
        <f t="shared" si="0"/>
        <v>9.779538240923273</v>
      </c>
      <c r="E9" s="60">
        <f t="shared" si="0"/>
        <v>9.1483010302278522</v>
      </c>
      <c r="F9" s="60">
        <f t="shared" si="0"/>
        <v>8.7458952560199172</v>
      </c>
      <c r="G9" s="60">
        <f t="shared" si="0"/>
        <v>8.4661253404768946</v>
      </c>
      <c r="H9" s="60">
        <f t="shared" si="0"/>
        <v>8.2599952709689841</v>
      </c>
      <c r="I9" s="60">
        <f t="shared" si="0"/>
        <v>8.1016513667387038</v>
      </c>
      <c r="J9" s="60">
        <f t="shared" si="0"/>
        <v>7.9761213666233548</v>
      </c>
      <c r="K9" s="60">
        <f t="shared" si="0"/>
        <v>7.874118533565623</v>
      </c>
    </row>
    <row r="10" spans="1:16" x14ac:dyDescent="0.25">
      <c r="A10" s="122">
        <v>7</v>
      </c>
      <c r="B10" s="60">
        <f t="shared" si="1"/>
        <v>12.246383348435085</v>
      </c>
      <c r="C10" s="60">
        <f t="shared" si="0"/>
        <v>9.5465780211022917</v>
      </c>
      <c r="D10" s="60">
        <f t="shared" si="0"/>
        <v>8.4512850530799906</v>
      </c>
      <c r="E10" s="60">
        <f t="shared" si="0"/>
        <v>7.8466450625466022</v>
      </c>
      <c r="F10" s="60">
        <f t="shared" si="0"/>
        <v>7.4604354929892667</v>
      </c>
      <c r="G10" s="60">
        <f t="shared" si="0"/>
        <v>7.1914047852039982</v>
      </c>
      <c r="H10" s="60">
        <f t="shared" si="0"/>
        <v>6.9928327787113798</v>
      </c>
      <c r="I10" s="60">
        <f t="shared" si="0"/>
        <v>6.8400490718293492</v>
      </c>
      <c r="J10" s="60">
        <f t="shared" si="0"/>
        <v>6.7187524818244668</v>
      </c>
      <c r="K10" s="60">
        <f t="shared" si="0"/>
        <v>6.6200626702914338</v>
      </c>
    </row>
    <row r="11" spans="1:16" x14ac:dyDescent="0.25">
      <c r="A11" s="122">
        <v>8</v>
      </c>
      <c r="B11" s="60">
        <f t="shared" si="1"/>
        <v>11.258624143272641</v>
      </c>
      <c r="C11" s="60">
        <f t="shared" si="0"/>
        <v>8.6491106406735145</v>
      </c>
      <c r="D11" s="60">
        <f t="shared" si="0"/>
        <v>7.5909919475988543</v>
      </c>
      <c r="E11" s="60">
        <f t="shared" si="0"/>
        <v>7.006076622955586</v>
      </c>
      <c r="F11" s="60">
        <f t="shared" si="0"/>
        <v>6.6318251645095909</v>
      </c>
      <c r="G11" s="60">
        <f t="shared" si="0"/>
        <v>6.3706807302391981</v>
      </c>
      <c r="H11" s="60">
        <f t="shared" si="0"/>
        <v>6.177624260952248</v>
      </c>
      <c r="I11" s="60">
        <f t="shared" si="0"/>
        <v>6.0288701066125698</v>
      </c>
      <c r="J11" s="60">
        <f t="shared" si="0"/>
        <v>5.9106188491908576</v>
      </c>
      <c r="K11" s="60">
        <f t="shared" si="0"/>
        <v>5.8142938551226555</v>
      </c>
    </row>
    <row r="12" spans="1:16" x14ac:dyDescent="0.25">
      <c r="A12" s="122">
        <v>9</v>
      </c>
      <c r="B12" s="60">
        <f t="shared" si="1"/>
        <v>10.56143104739539</v>
      </c>
      <c r="C12" s="60">
        <f t="shared" si="0"/>
        <v>8.0215173099320634</v>
      </c>
      <c r="D12" s="60">
        <f t="shared" si="0"/>
        <v>6.9919172222334662</v>
      </c>
      <c r="E12" s="60">
        <f t="shared" si="0"/>
        <v>6.422085458153199</v>
      </c>
      <c r="F12" s="60">
        <f t="shared" si="0"/>
        <v>6.05694071411867</v>
      </c>
      <c r="G12" s="60">
        <f t="shared" si="0"/>
        <v>5.8017703065351292</v>
      </c>
      <c r="H12" s="60">
        <f t="shared" si="0"/>
        <v>5.6128654773762401</v>
      </c>
      <c r="I12" s="60">
        <f t="shared" si="0"/>
        <v>5.4671225154147729</v>
      </c>
      <c r="J12" s="60">
        <f t="shared" si="0"/>
        <v>5.3511288611485881</v>
      </c>
      <c r="K12" s="60">
        <f t="shared" si="0"/>
        <v>5.2565419912884597</v>
      </c>
    </row>
    <row r="13" spans="1:16" x14ac:dyDescent="0.25">
      <c r="A13" s="122">
        <v>10</v>
      </c>
      <c r="B13" s="60">
        <f t="shared" si="1"/>
        <v>10.044289273396597</v>
      </c>
      <c r="C13" s="60">
        <f t="shared" si="0"/>
        <v>7.5594321575479011</v>
      </c>
      <c r="D13" s="60">
        <f t="shared" si="0"/>
        <v>6.5523125575152115</v>
      </c>
      <c r="E13" s="60">
        <f t="shared" si="0"/>
        <v>5.9943386616293672</v>
      </c>
      <c r="F13" s="60">
        <f t="shared" si="0"/>
        <v>5.6363261876690833</v>
      </c>
      <c r="G13" s="60">
        <f t="shared" si="0"/>
        <v>5.3858110448457959</v>
      </c>
      <c r="H13" s="60">
        <f t="shared" si="0"/>
        <v>5.200121250549973</v>
      </c>
      <c r="I13" s="60">
        <f t="shared" si="0"/>
        <v>5.0566931317444173</v>
      </c>
      <c r="J13" s="60">
        <f t="shared" si="0"/>
        <v>4.9424206520886091</v>
      </c>
      <c r="K13" s="60">
        <f t="shared" si="0"/>
        <v>4.8491468020800275</v>
      </c>
    </row>
    <row r="14" spans="1:16" x14ac:dyDescent="0.25">
      <c r="A14" s="122">
        <v>11</v>
      </c>
      <c r="B14" s="60">
        <f t="shared" si="1"/>
        <v>9.6460341119662498</v>
      </c>
      <c r="C14" s="60">
        <f t="shared" si="0"/>
        <v>7.2057133504573807</v>
      </c>
      <c r="D14" s="60">
        <f t="shared" si="0"/>
        <v>6.2167298115386522</v>
      </c>
      <c r="E14" s="60">
        <f t="shared" si="0"/>
        <v>5.6683002128787736</v>
      </c>
      <c r="F14" s="60">
        <f t="shared" si="0"/>
        <v>5.3160089186084933</v>
      </c>
      <c r="G14" s="60">
        <f t="shared" si="0"/>
        <v>5.0692104311952635</v>
      </c>
      <c r="H14" s="60">
        <f t="shared" si="0"/>
        <v>4.8860720392128734</v>
      </c>
      <c r="I14" s="60">
        <f t="shared" si="0"/>
        <v>4.7444676439354669</v>
      </c>
      <c r="J14" s="60">
        <f t="shared" si="0"/>
        <v>4.6315397476474969</v>
      </c>
      <c r="K14" s="60">
        <f t="shared" si="0"/>
        <v>4.5392818112533204</v>
      </c>
    </row>
    <row r="15" spans="1:16" x14ac:dyDescent="0.25">
      <c r="A15" s="122">
        <v>12</v>
      </c>
      <c r="B15" s="60">
        <f t="shared" si="1"/>
        <v>9.3302121031685576</v>
      </c>
      <c r="C15" s="60">
        <f t="shared" si="0"/>
        <v>6.9266081401913002</v>
      </c>
      <c r="D15" s="60">
        <f t="shared" si="0"/>
        <v>5.9525446815458682</v>
      </c>
      <c r="E15" s="60">
        <f t="shared" si="0"/>
        <v>5.4119514344731394</v>
      </c>
      <c r="F15" s="60">
        <f t="shared" si="0"/>
        <v>5.0643431111429162</v>
      </c>
      <c r="G15" s="60">
        <f t="shared" si="0"/>
        <v>4.8205735018803084</v>
      </c>
      <c r="H15" s="60">
        <f t="shared" si="0"/>
        <v>4.6395024465643369</v>
      </c>
      <c r="I15" s="60">
        <f t="shared" si="0"/>
        <v>4.4993652808474325</v>
      </c>
      <c r="J15" s="60">
        <f t="shared" si="0"/>
        <v>4.3875099631801877</v>
      </c>
      <c r="K15" s="60">
        <f t="shared" si="0"/>
        <v>4.2960544040090491</v>
      </c>
    </row>
    <row r="16" spans="1:16" x14ac:dyDescent="0.25">
      <c r="A16" s="122">
        <v>13</v>
      </c>
      <c r="B16" s="60">
        <f t="shared" si="1"/>
        <v>9.0738057285156639</v>
      </c>
      <c r="C16" s="60">
        <f t="shared" si="0"/>
        <v>6.7009645358807814</v>
      </c>
      <c r="D16" s="60">
        <f t="shared" si="0"/>
        <v>5.739380282773376</v>
      </c>
      <c r="E16" s="60">
        <f t="shared" si="0"/>
        <v>5.2053301894162436</v>
      </c>
      <c r="F16" s="60">
        <f t="shared" si="0"/>
        <v>4.8616212079068015</v>
      </c>
      <c r="G16" s="60">
        <f t="shared" si="0"/>
        <v>4.6203633955848549</v>
      </c>
      <c r="H16" s="60">
        <f t="shared" si="0"/>
        <v>4.4409974106651164</v>
      </c>
      <c r="I16" s="60">
        <f t="shared" si="0"/>
        <v>4.3020620108964467</v>
      </c>
      <c r="J16" s="60">
        <f t="shared" si="0"/>
        <v>4.1910777818110407</v>
      </c>
      <c r="K16" s="60">
        <f t="shared" si="0"/>
        <v>4.1002672623635155</v>
      </c>
    </row>
    <row r="17" spans="1:11" x14ac:dyDescent="0.25">
      <c r="A17" s="122">
        <v>14</v>
      </c>
      <c r="B17" s="60">
        <f t="shared" si="1"/>
        <v>8.8615926651764276</v>
      </c>
      <c r="C17" s="60">
        <f t="shared" si="0"/>
        <v>6.5148841021827506</v>
      </c>
      <c r="D17" s="60">
        <f t="shared" si="0"/>
        <v>5.5638858396937421</v>
      </c>
      <c r="E17" s="60">
        <f t="shared" si="0"/>
        <v>5.0353779733294379</v>
      </c>
      <c r="F17" s="60">
        <f t="shared" si="0"/>
        <v>4.694963579397716</v>
      </c>
      <c r="G17" s="60">
        <f t="shared" si="0"/>
        <v>4.4558200259277569</v>
      </c>
      <c r="H17" s="60">
        <f t="shared" si="0"/>
        <v>4.2778818532656411</v>
      </c>
      <c r="I17" s="60">
        <f t="shared" si="0"/>
        <v>4.1399460751272388</v>
      </c>
      <c r="J17" s="60">
        <f t="shared" si="0"/>
        <v>4.0296803368958729</v>
      </c>
      <c r="K17" s="60">
        <f t="shared" si="0"/>
        <v>3.9393963713246292</v>
      </c>
    </row>
    <row r="18" spans="1:11" x14ac:dyDescent="0.25">
      <c r="A18" s="122">
        <v>15</v>
      </c>
      <c r="B18" s="60">
        <f t="shared" si="1"/>
        <v>8.6831168176389504</v>
      </c>
      <c r="C18" s="60">
        <f t="shared" si="0"/>
        <v>6.3588734806671825</v>
      </c>
      <c r="D18" s="60">
        <f t="shared" si="0"/>
        <v>5.4169648578184191</v>
      </c>
      <c r="E18" s="60">
        <f t="shared" si="0"/>
        <v>4.8932095893215815</v>
      </c>
      <c r="F18" s="60">
        <f t="shared" si="0"/>
        <v>4.5556139846530046</v>
      </c>
      <c r="G18" s="60">
        <f t="shared" si="0"/>
        <v>4.3182730537670349</v>
      </c>
      <c r="H18" s="60">
        <f t="shared" si="0"/>
        <v>4.1415463070309544</v>
      </c>
      <c r="I18" s="60">
        <f t="shared" si="0"/>
        <v>4.004453186416943</v>
      </c>
      <c r="J18" s="60">
        <f t="shared" si="0"/>
        <v>3.8947881071250618</v>
      </c>
      <c r="K18" s="60">
        <f t="shared" si="0"/>
        <v>3.8049397459502741</v>
      </c>
    </row>
    <row r="19" spans="1:11" x14ac:dyDescent="0.25">
      <c r="A19" s="122">
        <v>16</v>
      </c>
      <c r="B19" s="60">
        <f t="shared" si="1"/>
        <v>8.5309652858962011</v>
      </c>
      <c r="C19" s="60">
        <f t="shared" si="0"/>
        <v>6.2262352803113821</v>
      </c>
      <c r="D19" s="60">
        <f t="shared" si="0"/>
        <v>5.2922140455209483</v>
      </c>
      <c r="E19" s="60">
        <f t="shared" si="0"/>
        <v>4.772577999723211</v>
      </c>
      <c r="F19" s="60">
        <f t="shared" si="0"/>
        <v>4.4374204955396026</v>
      </c>
      <c r="G19" s="60">
        <f t="shared" si="0"/>
        <v>4.2016337042750695</v>
      </c>
      <c r="H19" s="60">
        <f t="shared" si="0"/>
        <v>4.0259465906650673</v>
      </c>
      <c r="I19" s="60">
        <f t="shared" si="0"/>
        <v>3.8895721399261927</v>
      </c>
      <c r="J19" s="60">
        <f t="shared" si="0"/>
        <v>3.7804151699135691</v>
      </c>
      <c r="K19" s="60">
        <f t="shared" si="0"/>
        <v>3.690931417895162</v>
      </c>
    </row>
    <row r="20" spans="1:11" x14ac:dyDescent="0.25">
      <c r="A20" s="122">
        <v>17</v>
      </c>
      <c r="B20" s="60">
        <f t="shared" si="1"/>
        <v>8.3997401451896341</v>
      </c>
      <c r="C20" s="60">
        <f t="shared" si="1"/>
        <v>6.1121137157978822</v>
      </c>
      <c r="D20" s="60">
        <f t="shared" si="1"/>
        <v>5.1849999172952197</v>
      </c>
      <c r="E20" s="60">
        <f t="shared" si="1"/>
        <v>4.6689676019514152</v>
      </c>
      <c r="F20" s="60">
        <f t="shared" si="1"/>
        <v>4.3359390831830762</v>
      </c>
      <c r="G20" s="60">
        <f t="shared" si="1"/>
        <v>4.101505325976615</v>
      </c>
      <c r="H20" s="60">
        <f t="shared" si="1"/>
        <v>3.9267193882777263</v>
      </c>
      <c r="I20" s="60">
        <f t="shared" si="1"/>
        <v>3.7909641782241854</v>
      </c>
      <c r="J20" s="60">
        <f t="shared" si="1"/>
        <v>3.6822415240458652</v>
      </c>
      <c r="K20" s="60">
        <f t="shared" si="1"/>
        <v>3.5930661336058214</v>
      </c>
    </row>
    <row r="21" spans="1:11" x14ac:dyDescent="0.25">
      <c r="A21" s="122">
        <v>18</v>
      </c>
      <c r="B21" s="60">
        <f t="shared" ref="B21:K33" si="2">_xlfn.F.INV.RT($C$1,B$3,$A21)</f>
        <v>8.2854195550996597</v>
      </c>
      <c r="C21" s="60">
        <f t="shared" si="2"/>
        <v>6.0129048348005281</v>
      </c>
      <c r="D21" s="60">
        <f t="shared" si="2"/>
        <v>5.0918895204140124</v>
      </c>
      <c r="E21" s="60">
        <f t="shared" si="2"/>
        <v>4.5790359665984486</v>
      </c>
      <c r="F21" s="60">
        <f t="shared" si="2"/>
        <v>4.2478821502317352</v>
      </c>
      <c r="G21" s="60">
        <f t="shared" si="2"/>
        <v>4.0146365073547567</v>
      </c>
      <c r="H21" s="60">
        <f t="shared" si="2"/>
        <v>3.8406386598979738</v>
      </c>
      <c r="I21" s="60">
        <f t="shared" si="2"/>
        <v>3.7054218811720387</v>
      </c>
      <c r="J21" s="60">
        <f t="shared" si="2"/>
        <v>3.5970739135457501</v>
      </c>
      <c r="K21" s="60">
        <f t="shared" si="2"/>
        <v>3.5081617296992724</v>
      </c>
    </row>
    <row r="22" spans="1:11" x14ac:dyDescent="0.25">
      <c r="A22" s="122">
        <v>19</v>
      </c>
      <c r="B22" s="60">
        <f t="shared" si="2"/>
        <v>8.184946822468925</v>
      </c>
      <c r="C22" s="60">
        <f t="shared" si="2"/>
        <v>5.9258790222928566</v>
      </c>
      <c r="D22" s="60">
        <f t="shared" si="2"/>
        <v>5.0102868436196015</v>
      </c>
      <c r="E22" s="60">
        <f t="shared" si="2"/>
        <v>4.5002576989066974</v>
      </c>
      <c r="F22" s="60">
        <f t="shared" si="2"/>
        <v>4.1707669806148076</v>
      </c>
      <c r="G22" s="60">
        <f t="shared" si="2"/>
        <v>3.9385726154799414</v>
      </c>
      <c r="H22" s="60">
        <f t="shared" si="2"/>
        <v>3.7652693946393363</v>
      </c>
      <c r="I22" s="60">
        <f t="shared" si="2"/>
        <v>3.630524582702261</v>
      </c>
      <c r="J22" s="60">
        <f t="shared" si="2"/>
        <v>3.5225025399101528</v>
      </c>
      <c r="K22" s="60">
        <f t="shared" si="2"/>
        <v>3.4338168829739004</v>
      </c>
    </row>
    <row r="23" spans="1:11" x14ac:dyDescent="0.25">
      <c r="A23" s="122">
        <v>20</v>
      </c>
      <c r="B23" s="60">
        <f t="shared" si="2"/>
        <v>8.0959580640856981</v>
      </c>
      <c r="C23" s="60">
        <f t="shared" si="2"/>
        <v>5.8489319246111338</v>
      </c>
      <c r="D23" s="60">
        <f t="shared" si="2"/>
        <v>4.9381933823105379</v>
      </c>
      <c r="E23" s="60">
        <f t="shared" si="2"/>
        <v>4.4306901614377745</v>
      </c>
      <c r="F23" s="60">
        <f t="shared" si="2"/>
        <v>4.1026846305847338</v>
      </c>
      <c r="G23" s="60">
        <f t="shared" si="2"/>
        <v>3.8714268151294093</v>
      </c>
      <c r="H23" s="60">
        <f t="shared" si="2"/>
        <v>3.6987401520550511</v>
      </c>
      <c r="I23" s="60">
        <f t="shared" si="2"/>
        <v>3.5644120532989327</v>
      </c>
      <c r="J23" s="60">
        <f t="shared" si="2"/>
        <v>3.4566756315171574</v>
      </c>
      <c r="K23" s="60">
        <f t="shared" si="2"/>
        <v>3.3681863891887427</v>
      </c>
    </row>
    <row r="24" spans="1:11" x14ac:dyDescent="0.25">
      <c r="A24" s="122">
        <v>21</v>
      </c>
      <c r="B24" s="60">
        <f t="shared" si="2"/>
        <v>8.0165969468084768</v>
      </c>
      <c r="C24" s="60">
        <f t="shared" si="2"/>
        <v>5.7804156882425568</v>
      </c>
      <c r="D24" s="60">
        <f t="shared" si="2"/>
        <v>4.8740461970006939</v>
      </c>
      <c r="E24" s="60">
        <f t="shared" si="2"/>
        <v>4.3688151740781915</v>
      </c>
      <c r="F24" s="60">
        <f t="shared" si="2"/>
        <v>4.0421438611741243</v>
      </c>
      <c r="G24" s="60">
        <f t="shared" si="2"/>
        <v>3.8117254972548089</v>
      </c>
      <c r="H24" s="60">
        <f t="shared" si="2"/>
        <v>3.639589558217867</v>
      </c>
      <c r="I24" s="60">
        <f t="shared" si="2"/>
        <v>3.5056317946181963</v>
      </c>
      <c r="J24" s="60">
        <f t="shared" si="2"/>
        <v>3.3981473576496946</v>
      </c>
      <c r="K24" s="60">
        <f t="shared" si="2"/>
        <v>3.3098295716133923</v>
      </c>
    </row>
    <row r="25" spans="1:11" x14ac:dyDescent="0.25">
      <c r="A25" s="122">
        <v>22</v>
      </c>
      <c r="B25" s="60">
        <f t="shared" si="2"/>
        <v>7.9453857291700425</v>
      </c>
      <c r="C25" s="60">
        <f t="shared" si="2"/>
        <v>5.7190219124822725</v>
      </c>
      <c r="D25" s="60">
        <f t="shared" si="2"/>
        <v>4.8166057778160596</v>
      </c>
      <c r="E25" s="60">
        <f t="shared" si="2"/>
        <v>4.3134294969595839</v>
      </c>
      <c r="F25" s="60">
        <f t="shared" si="2"/>
        <v>3.9879632231269468</v>
      </c>
      <c r="G25" s="60">
        <f t="shared" si="2"/>
        <v>3.7583014350037565</v>
      </c>
      <c r="H25" s="60">
        <f t="shared" si="2"/>
        <v>3.58666022429485</v>
      </c>
      <c r="I25" s="60">
        <f t="shared" si="2"/>
        <v>3.4530335271058066</v>
      </c>
      <c r="J25" s="60">
        <f t="shared" si="2"/>
        <v>3.3457727565515318</v>
      </c>
      <c r="K25" s="60">
        <f t="shared" si="2"/>
        <v>3.2576055600492366</v>
      </c>
    </row>
    <row r="26" spans="1:11" x14ac:dyDescent="0.25">
      <c r="A26" s="122">
        <v>23</v>
      </c>
      <c r="B26" s="60">
        <f t="shared" si="2"/>
        <v>7.8811336413683684</v>
      </c>
      <c r="C26" s="60">
        <f t="shared" si="2"/>
        <v>5.6636987680960402</v>
      </c>
      <c r="D26" s="60">
        <f t="shared" si="2"/>
        <v>4.7648767593744088</v>
      </c>
      <c r="E26" s="60">
        <f t="shared" si="2"/>
        <v>4.2635674594574988</v>
      </c>
      <c r="F26" s="60">
        <f t="shared" si="2"/>
        <v>3.9391948547411948</v>
      </c>
      <c r="G26" s="60">
        <f t="shared" si="2"/>
        <v>3.7102183612777666</v>
      </c>
      <c r="H26" s="60">
        <f t="shared" si="2"/>
        <v>3.5390238778798131</v>
      </c>
      <c r="I26" s="60">
        <f t="shared" si="2"/>
        <v>3.4056947335838363</v>
      </c>
      <c r="J26" s="60">
        <f t="shared" si="2"/>
        <v>3.2986335973739407</v>
      </c>
      <c r="K26" s="60">
        <f t="shared" si="2"/>
        <v>3.2105994059372773</v>
      </c>
    </row>
    <row r="27" spans="1:11" x14ac:dyDescent="0.25">
      <c r="A27" s="122">
        <v>24</v>
      </c>
      <c r="B27" s="60">
        <f t="shared" si="2"/>
        <v>7.8228705933679761</v>
      </c>
      <c r="C27" s="60">
        <f t="shared" si="2"/>
        <v>5.6135912114648372</v>
      </c>
      <c r="D27" s="60">
        <f t="shared" si="2"/>
        <v>4.7180508074958016</v>
      </c>
      <c r="E27" s="60">
        <f t="shared" si="2"/>
        <v>4.2184452673562687</v>
      </c>
      <c r="F27" s="60">
        <f t="shared" si="2"/>
        <v>3.8950696548170858</v>
      </c>
      <c r="G27" s="60">
        <f t="shared" si="2"/>
        <v>3.6667167179453148</v>
      </c>
      <c r="H27" s="60">
        <f t="shared" si="2"/>
        <v>3.4959275204932752</v>
      </c>
      <c r="I27" s="60">
        <f t="shared" si="2"/>
        <v>3.3628671199494815</v>
      </c>
      <c r="J27" s="60">
        <f t="shared" si="2"/>
        <v>3.2559850744613912</v>
      </c>
      <c r="K27" s="60">
        <f t="shared" si="2"/>
        <v>3.1680689619836455</v>
      </c>
    </row>
    <row r="28" spans="1:11" x14ac:dyDescent="0.25">
      <c r="A28" s="122">
        <v>25</v>
      </c>
      <c r="B28" s="60">
        <f t="shared" si="2"/>
        <v>7.769798415368995</v>
      </c>
      <c r="C28" s="60">
        <f t="shared" si="2"/>
        <v>5.5679971343240915</v>
      </c>
      <c r="D28" s="60">
        <f t="shared" si="2"/>
        <v>4.6754647823259132</v>
      </c>
      <c r="E28" s="60">
        <f t="shared" si="2"/>
        <v>4.1774202346456386</v>
      </c>
      <c r="F28" s="60">
        <f t="shared" si="2"/>
        <v>3.8549571646630025</v>
      </c>
      <c r="G28" s="60">
        <f t="shared" si="2"/>
        <v>3.6271739696815497</v>
      </c>
      <c r="H28" s="60">
        <f t="shared" si="2"/>
        <v>3.4567540466360827</v>
      </c>
      <c r="I28" s="60">
        <f t="shared" si="2"/>
        <v>3.3239374603151659</v>
      </c>
      <c r="J28" s="60">
        <f t="shared" si="2"/>
        <v>3.2172168262410796</v>
      </c>
      <c r="K28" s="60">
        <f t="shared" si="2"/>
        <v>3.1294060385896803</v>
      </c>
    </row>
    <row r="29" spans="1:11" x14ac:dyDescent="0.25">
      <c r="A29" s="122">
        <v>26</v>
      </c>
      <c r="B29" s="60">
        <f t="shared" si="2"/>
        <v>7.7212544577376017</v>
      </c>
      <c r="C29" s="60">
        <f t="shared" si="2"/>
        <v>5.5263347139389776</v>
      </c>
      <c r="D29" s="60">
        <f t="shared" si="2"/>
        <v>4.6365696243343484</v>
      </c>
      <c r="E29" s="60">
        <f t="shared" si="2"/>
        <v>4.1399604836950115</v>
      </c>
      <c r="F29" s="60">
        <f t="shared" si="2"/>
        <v>3.8183357627898964</v>
      </c>
      <c r="G29" s="60">
        <f t="shared" si="2"/>
        <v>3.5910751263933767</v>
      </c>
      <c r="H29" s="60">
        <f t="shared" si="2"/>
        <v>3.4209929972886104</v>
      </c>
      <c r="I29" s="60">
        <f t="shared" si="2"/>
        <v>3.2883985212388325</v>
      </c>
      <c r="J29" s="60">
        <f t="shared" si="2"/>
        <v>3.1818239903274277</v>
      </c>
      <c r="K29" s="60">
        <f t="shared" si="2"/>
        <v>3.0941075623036727</v>
      </c>
    </row>
    <row r="30" spans="1:11" x14ac:dyDescent="0.25">
      <c r="A30" s="122">
        <v>27</v>
      </c>
      <c r="B30" s="60">
        <f t="shared" si="2"/>
        <v>7.6766840488874859</v>
      </c>
      <c r="C30" s="60">
        <f t="shared" si="2"/>
        <v>5.488117768420703</v>
      </c>
      <c r="D30" s="60">
        <f t="shared" si="2"/>
        <v>4.6009068946622849</v>
      </c>
      <c r="E30" s="60">
        <f t="shared" si="2"/>
        <v>4.1056221130833501</v>
      </c>
      <c r="F30" s="60">
        <f t="shared" si="2"/>
        <v>3.7847702132414436</v>
      </c>
      <c r="G30" s="60">
        <f t="shared" si="2"/>
        <v>3.5579905431887022</v>
      </c>
      <c r="H30" s="60">
        <f t="shared" si="2"/>
        <v>3.3882185368762139</v>
      </c>
      <c r="I30" s="60">
        <f t="shared" si="2"/>
        <v>3.2558271691272624</v>
      </c>
      <c r="J30" s="60">
        <f t="shared" si="2"/>
        <v>3.1493854106511754</v>
      </c>
      <c r="K30" s="60">
        <f t="shared" si="2"/>
        <v>3.0617538614993811</v>
      </c>
    </row>
    <row r="31" spans="1:11" x14ac:dyDescent="0.25">
      <c r="A31" s="122">
        <v>28</v>
      </c>
      <c r="B31" s="60">
        <f t="shared" si="2"/>
        <v>7.6356193977628095</v>
      </c>
      <c r="C31" s="60">
        <f t="shared" si="2"/>
        <v>5.4529369212239249</v>
      </c>
      <c r="D31" s="60">
        <f t="shared" si="2"/>
        <v>4.568090863679573</v>
      </c>
      <c r="E31" s="60">
        <f t="shared" si="2"/>
        <v>4.07403177491961</v>
      </c>
      <c r="F31" s="60">
        <f t="shared" si="2"/>
        <v>3.753894538830854</v>
      </c>
      <c r="G31" s="60">
        <f t="shared" si="2"/>
        <v>3.5275589889138619</v>
      </c>
      <c r="H31" s="60">
        <f t="shared" si="2"/>
        <v>3.3580726588472127</v>
      </c>
      <c r="I31" s="60">
        <f t="shared" si="2"/>
        <v>3.2258676765439178</v>
      </c>
      <c r="J31" s="60">
        <f t="shared" si="2"/>
        <v>3.1195470205736457</v>
      </c>
      <c r="K31" s="60">
        <f t="shared" si="2"/>
        <v>3.0319921098269678</v>
      </c>
    </row>
    <row r="32" spans="1:11" x14ac:dyDescent="0.25">
      <c r="A32" s="122">
        <v>29</v>
      </c>
      <c r="B32" s="60">
        <f t="shared" si="2"/>
        <v>7.59766324995402</v>
      </c>
      <c r="C32" s="60">
        <f t="shared" si="2"/>
        <v>5.420445040307313</v>
      </c>
      <c r="D32" s="60">
        <f t="shared" si="2"/>
        <v>4.5377946777611333</v>
      </c>
      <c r="E32" s="60">
        <f t="shared" si="2"/>
        <v>4.0448732260845732</v>
      </c>
      <c r="F32" s="60">
        <f t="shared" si="2"/>
        <v>3.7253988048022095</v>
      </c>
      <c r="G32" s="60">
        <f t="shared" si="2"/>
        <v>3.4994745829027694</v>
      </c>
      <c r="H32" s="60">
        <f t="shared" si="2"/>
        <v>3.3302522295877437</v>
      </c>
      <c r="I32" s="60">
        <f t="shared" si="2"/>
        <v>3.1982188446886846</v>
      </c>
      <c r="J32" s="60">
        <f t="shared" si="2"/>
        <v>3.0920090251085832</v>
      </c>
      <c r="K32" s="60">
        <f t="shared" si="2"/>
        <v>3.0045235552378218</v>
      </c>
    </row>
    <row r="33" spans="1:11" x14ac:dyDescent="0.25">
      <c r="A33" s="122">
        <v>30</v>
      </c>
      <c r="B33" s="60">
        <f t="shared" si="2"/>
        <v>7.5624760946386322</v>
      </c>
      <c r="C33" s="60">
        <f t="shared" si="2"/>
        <v>5.3903458631778829</v>
      </c>
      <c r="D33" s="60">
        <f t="shared" si="2"/>
        <v>4.5097395624590648</v>
      </c>
      <c r="E33" s="60">
        <f t="shared" si="2"/>
        <v>4.0178768365875239</v>
      </c>
      <c r="F33" s="60">
        <f t="shared" si="2"/>
        <v>3.6990188114125706</v>
      </c>
      <c r="G33" s="60">
        <f t="shared" si="2"/>
        <v>3.4734766086671285</v>
      </c>
      <c r="H33" s="60">
        <f t="shared" si="2"/>
        <v>3.3044988866923952</v>
      </c>
      <c r="I33" s="60">
        <f t="shared" si="2"/>
        <v>3.1726239635133386</v>
      </c>
      <c r="J33" s="60">
        <f t="shared" si="2"/>
        <v>3.0665159079349871</v>
      </c>
      <c r="K33" s="60">
        <f t="shared" si="2"/>
        <v>2.9790935636338816</v>
      </c>
    </row>
  </sheetData>
  <mergeCells count="4">
    <mergeCell ref="A1:B1"/>
    <mergeCell ref="A2:A3"/>
    <mergeCell ref="B2:K2"/>
    <mergeCell ref="M2:P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9AFD-FFEB-443A-A0D0-6F4DC1CBDD22}">
  <dimension ref="A1:N50"/>
  <sheetViews>
    <sheetView showGridLines="0" zoomScale="85" zoomScaleNormal="85" workbookViewId="0">
      <selection sqref="A1:F1"/>
    </sheetView>
  </sheetViews>
  <sheetFormatPr defaultRowHeight="15" x14ac:dyDescent="0.25"/>
  <cols>
    <col min="1" max="6" width="15.7109375" style="11" customWidth="1"/>
    <col min="7" max="16384" width="9.140625" style="11"/>
  </cols>
  <sheetData>
    <row r="1" spans="1:14" ht="15" customHeight="1" x14ac:dyDescent="0.25">
      <c r="A1" s="143" t="s">
        <v>73</v>
      </c>
      <c r="B1" s="143"/>
      <c r="C1" s="143"/>
      <c r="D1" s="143"/>
      <c r="E1" s="143"/>
      <c r="F1" s="143"/>
      <c r="I1" s="144" t="s">
        <v>264</v>
      </c>
      <c r="J1" s="145"/>
      <c r="K1" s="145"/>
      <c r="L1" s="145"/>
      <c r="M1" s="145"/>
      <c r="N1" s="146"/>
    </row>
    <row r="2" spans="1:14" ht="7.5" customHeight="1" x14ac:dyDescent="0.25">
      <c r="I2" s="147"/>
      <c r="J2" s="148"/>
      <c r="K2" s="148"/>
      <c r="L2" s="148"/>
      <c r="M2" s="148"/>
      <c r="N2" s="149"/>
    </row>
    <row r="3" spans="1:14" x14ac:dyDescent="0.25">
      <c r="C3" s="153" t="s">
        <v>242</v>
      </c>
      <c r="D3" s="153"/>
      <c r="E3" s="153"/>
      <c r="F3" s="153"/>
      <c r="I3" s="147"/>
      <c r="J3" s="148"/>
      <c r="K3" s="148"/>
      <c r="L3" s="148"/>
      <c r="M3" s="148"/>
      <c r="N3" s="149"/>
    </row>
    <row r="4" spans="1:14" x14ac:dyDescent="0.25">
      <c r="C4" s="27" t="s">
        <v>246</v>
      </c>
      <c r="D4" s="27" t="s">
        <v>247</v>
      </c>
      <c r="E4" s="27" t="s">
        <v>248</v>
      </c>
      <c r="F4" s="28" t="s">
        <v>75</v>
      </c>
      <c r="I4" s="147"/>
      <c r="J4" s="148"/>
      <c r="K4" s="148"/>
      <c r="L4" s="148"/>
      <c r="M4" s="148"/>
      <c r="N4" s="149"/>
    </row>
    <row r="5" spans="1:14" x14ac:dyDescent="0.25">
      <c r="A5" s="153" t="s">
        <v>241</v>
      </c>
      <c r="B5" s="29" t="s">
        <v>243</v>
      </c>
      <c r="C5" s="12">
        <v>40</v>
      </c>
      <c r="D5" s="12">
        <v>16</v>
      </c>
      <c r="E5" s="12">
        <v>12</v>
      </c>
      <c r="F5" s="30">
        <f>+SUM(C5:E5)</f>
        <v>68</v>
      </c>
      <c r="I5" s="147"/>
      <c r="J5" s="148"/>
      <c r="K5" s="148"/>
      <c r="L5" s="148"/>
      <c r="M5" s="148"/>
      <c r="N5" s="149"/>
    </row>
    <row r="6" spans="1:14" x14ac:dyDescent="0.25">
      <c r="A6" s="153"/>
      <c r="B6" s="29" t="s">
        <v>244</v>
      </c>
      <c r="C6" s="12">
        <v>32</v>
      </c>
      <c r="D6" s="12">
        <v>24</v>
      </c>
      <c r="E6" s="12">
        <v>16</v>
      </c>
      <c r="F6" s="30">
        <f>+SUM(C6:E6)</f>
        <v>72</v>
      </c>
      <c r="I6" s="150"/>
      <c r="J6" s="151"/>
      <c r="K6" s="151"/>
      <c r="L6" s="151"/>
      <c r="M6" s="151"/>
      <c r="N6" s="152"/>
    </row>
    <row r="7" spans="1:14" x14ac:dyDescent="0.25">
      <c r="A7" s="153"/>
      <c r="B7" s="29" t="s">
        <v>245</v>
      </c>
      <c r="C7" s="12">
        <v>24</v>
      </c>
      <c r="D7" s="12">
        <v>32</v>
      </c>
      <c r="E7" s="12">
        <v>4</v>
      </c>
      <c r="F7" s="30">
        <f>+SUM(C7:E7)</f>
        <v>60</v>
      </c>
    </row>
    <row r="8" spans="1:14" x14ac:dyDescent="0.25">
      <c r="A8" s="153"/>
      <c r="B8" s="29" t="s">
        <v>75</v>
      </c>
      <c r="C8" s="30">
        <f>+SUM(C5:C7)</f>
        <v>96</v>
      </c>
      <c r="D8" s="30">
        <f t="shared" ref="D8:F8" si="0">+SUM(D5:D7)</f>
        <v>72</v>
      </c>
      <c r="E8" s="30">
        <f t="shared" si="0"/>
        <v>32</v>
      </c>
      <c r="F8" s="30">
        <f t="shared" si="0"/>
        <v>200</v>
      </c>
    </row>
    <row r="9" spans="1:14" x14ac:dyDescent="0.25">
      <c r="A9" s="31"/>
      <c r="B9" s="15"/>
      <c r="C9" s="14"/>
      <c r="D9" s="14"/>
      <c r="E9" s="14"/>
      <c r="F9" s="14"/>
    </row>
    <row r="11" spans="1:14" x14ac:dyDescent="0.25">
      <c r="A11" s="143" t="s">
        <v>76</v>
      </c>
      <c r="B11" s="143"/>
      <c r="C11" s="143"/>
      <c r="D11" s="143"/>
      <c r="E11" s="143"/>
      <c r="F11" s="143"/>
    </row>
    <row r="12" spans="1:14" ht="7.5" customHeight="1" x14ac:dyDescent="0.25"/>
    <row r="13" spans="1:14" x14ac:dyDescent="0.25">
      <c r="C13" s="140" t="s">
        <v>242</v>
      </c>
      <c r="D13" s="141"/>
      <c r="E13" s="142"/>
    </row>
    <row r="14" spans="1:14" x14ac:dyDescent="0.25">
      <c r="C14" s="27" t="s">
        <v>246</v>
      </c>
      <c r="D14" s="27" t="s">
        <v>247</v>
      </c>
      <c r="E14" s="27" t="s">
        <v>248</v>
      </c>
    </row>
    <row r="15" spans="1:14" x14ac:dyDescent="0.25">
      <c r="A15" s="153" t="s">
        <v>241</v>
      </c>
      <c r="B15" s="29" t="s">
        <v>243</v>
      </c>
      <c r="C15" s="13">
        <f>($F5*C$8)/$F$8</f>
        <v>32.64</v>
      </c>
      <c r="D15" s="13">
        <f t="shared" ref="D15:E15" si="1">($F5*D$8)/$F$8</f>
        <v>24.48</v>
      </c>
      <c r="E15" s="13">
        <f t="shared" si="1"/>
        <v>10.88</v>
      </c>
    </row>
    <row r="16" spans="1:14" x14ac:dyDescent="0.25">
      <c r="A16" s="153"/>
      <c r="B16" s="29" t="s">
        <v>244</v>
      </c>
      <c r="C16" s="13">
        <f t="shared" ref="C16:E17" si="2">($F6*C$8)/$F$8</f>
        <v>34.56</v>
      </c>
      <c r="D16" s="13">
        <f t="shared" si="2"/>
        <v>25.92</v>
      </c>
      <c r="E16" s="13">
        <f t="shared" si="2"/>
        <v>11.52</v>
      </c>
    </row>
    <row r="17" spans="1:6" x14ac:dyDescent="0.25">
      <c r="A17" s="153"/>
      <c r="B17" s="29" t="s">
        <v>245</v>
      </c>
      <c r="C17" s="13">
        <f t="shared" si="2"/>
        <v>28.8</v>
      </c>
      <c r="D17" s="13">
        <f t="shared" si="2"/>
        <v>21.6</v>
      </c>
      <c r="E17" s="13">
        <f t="shared" si="2"/>
        <v>9.6</v>
      </c>
    </row>
    <row r="18" spans="1:6" x14ac:dyDescent="0.25">
      <c r="A18" s="31"/>
      <c r="B18" s="15"/>
      <c r="C18" s="32"/>
      <c r="D18" s="32"/>
      <c r="E18" s="32"/>
    </row>
    <row r="20" spans="1:6" x14ac:dyDescent="0.25">
      <c r="A20" s="143" t="s">
        <v>77</v>
      </c>
      <c r="B20" s="143"/>
      <c r="C20" s="143"/>
      <c r="D20" s="143"/>
      <c r="E20" s="143"/>
      <c r="F20" s="143"/>
    </row>
    <row r="21" spans="1:6" ht="7.5" customHeight="1" x14ac:dyDescent="0.25"/>
    <row r="22" spans="1:6" x14ac:dyDescent="0.25">
      <c r="C22" s="140" t="s">
        <v>242</v>
      </c>
      <c r="D22" s="141"/>
      <c r="E22" s="142"/>
    </row>
    <row r="23" spans="1:6" x14ac:dyDescent="0.25">
      <c r="C23" s="27" t="s">
        <v>246</v>
      </c>
      <c r="D23" s="27" t="s">
        <v>247</v>
      </c>
      <c r="E23" s="27" t="s">
        <v>248</v>
      </c>
    </row>
    <row r="24" spans="1:6" x14ac:dyDescent="0.25">
      <c r="A24" s="153" t="s">
        <v>241</v>
      </c>
      <c r="B24" s="29" t="s">
        <v>243</v>
      </c>
      <c r="C24" s="13">
        <f t="shared" ref="C24:E26" si="3">+C5-C15</f>
        <v>7.3599999999999994</v>
      </c>
      <c r="D24" s="13">
        <f t="shared" si="3"/>
        <v>-8.48</v>
      </c>
      <c r="E24" s="13">
        <f t="shared" si="3"/>
        <v>1.1199999999999992</v>
      </c>
    </row>
    <row r="25" spans="1:6" x14ac:dyDescent="0.25">
      <c r="A25" s="153"/>
      <c r="B25" s="29" t="s">
        <v>244</v>
      </c>
      <c r="C25" s="13">
        <f t="shared" si="3"/>
        <v>-2.5600000000000023</v>
      </c>
      <c r="D25" s="13">
        <f t="shared" si="3"/>
        <v>-1.9200000000000017</v>
      </c>
      <c r="E25" s="13">
        <f t="shared" si="3"/>
        <v>4.4800000000000004</v>
      </c>
    </row>
    <row r="26" spans="1:6" x14ac:dyDescent="0.25">
      <c r="A26" s="153"/>
      <c r="B26" s="29" t="s">
        <v>245</v>
      </c>
      <c r="C26" s="13">
        <f t="shared" si="3"/>
        <v>-4.8000000000000007</v>
      </c>
      <c r="D26" s="13">
        <f t="shared" si="3"/>
        <v>10.399999999999999</v>
      </c>
      <c r="E26" s="13">
        <f t="shared" si="3"/>
        <v>-5.6</v>
      </c>
    </row>
    <row r="27" spans="1:6" x14ac:dyDescent="0.25">
      <c r="A27" s="31"/>
      <c r="B27" s="15"/>
      <c r="C27" s="32"/>
      <c r="D27" s="32"/>
      <c r="E27" s="32"/>
    </row>
    <row r="29" spans="1:6" x14ac:dyDescent="0.25">
      <c r="A29" s="143" t="s">
        <v>78</v>
      </c>
      <c r="B29" s="143"/>
      <c r="C29" s="143"/>
      <c r="D29" s="143"/>
      <c r="E29" s="143"/>
      <c r="F29" s="143"/>
    </row>
    <row r="30" spans="1:6" ht="7.5" customHeight="1" x14ac:dyDescent="0.25"/>
    <row r="31" spans="1:6" x14ac:dyDescent="0.25">
      <c r="C31" s="140" t="s">
        <v>242</v>
      </c>
      <c r="D31" s="141"/>
      <c r="E31" s="142"/>
    </row>
    <row r="32" spans="1:6" x14ac:dyDescent="0.25">
      <c r="C32" s="27" t="s">
        <v>246</v>
      </c>
      <c r="D32" s="27" t="s">
        <v>247</v>
      </c>
      <c r="E32" s="27" t="s">
        <v>248</v>
      </c>
    </row>
    <row r="33" spans="1:5" x14ac:dyDescent="0.25">
      <c r="A33" s="153" t="s">
        <v>241</v>
      </c>
      <c r="B33" s="29" t="s">
        <v>243</v>
      </c>
      <c r="C33" s="13">
        <f>(C24^2)/C15</f>
        <v>1.6596078431372545</v>
      </c>
      <c r="D33" s="13">
        <f t="shared" ref="D33:E33" si="4">(D24^2)/D15</f>
        <v>2.9375163398692812</v>
      </c>
      <c r="E33" s="13">
        <f t="shared" si="4"/>
        <v>0.11529411764705864</v>
      </c>
    </row>
    <row r="34" spans="1:5" x14ac:dyDescent="0.25">
      <c r="A34" s="153"/>
      <c r="B34" s="29" t="s">
        <v>244</v>
      </c>
      <c r="C34" s="13">
        <f t="shared" ref="C34:E35" si="5">(C25^2)/C16</f>
        <v>0.18962962962962995</v>
      </c>
      <c r="D34" s="13">
        <f t="shared" si="5"/>
        <v>0.14222222222222247</v>
      </c>
      <c r="E34" s="13">
        <f t="shared" si="5"/>
        <v>1.7422222222222226</v>
      </c>
    </row>
    <row r="35" spans="1:5" x14ac:dyDescent="0.25">
      <c r="A35" s="153"/>
      <c r="B35" s="29" t="s">
        <v>245</v>
      </c>
      <c r="C35" s="13">
        <f t="shared" si="5"/>
        <v>0.80000000000000016</v>
      </c>
      <c r="D35" s="13">
        <f t="shared" si="5"/>
        <v>5.0074074074074053</v>
      </c>
      <c r="E35" s="13">
        <f t="shared" si="5"/>
        <v>3.2666666666666662</v>
      </c>
    </row>
    <row r="37" spans="1:5" x14ac:dyDescent="0.25">
      <c r="B37" s="34" t="s">
        <v>79</v>
      </c>
      <c r="C37" s="125">
        <f>+SUM(C33:E35)</f>
        <v>15.860566448801741</v>
      </c>
    </row>
    <row r="38" spans="1:5" x14ac:dyDescent="0.25">
      <c r="B38" s="126" t="s">
        <v>80</v>
      </c>
      <c r="C38" s="127">
        <f>_xlfn.CHISQ.DIST.RT(C37,4)</f>
        <v>3.2120846981537211E-3</v>
      </c>
    </row>
    <row r="39" spans="1:5" x14ac:dyDescent="0.25">
      <c r="B39" s="33" t="s">
        <v>81</v>
      </c>
    </row>
    <row r="41" spans="1:5" x14ac:dyDescent="0.25">
      <c r="B41" s="126" t="s">
        <v>82</v>
      </c>
      <c r="C41" s="127">
        <f>_xlfn.CHISQ.INV.RT(5%,4)</f>
        <v>9.4877290367811575</v>
      </c>
    </row>
    <row r="43" spans="1:5" x14ac:dyDescent="0.25">
      <c r="B43" s="14" t="s">
        <v>37</v>
      </c>
      <c r="C43" s="15" t="s">
        <v>249</v>
      </c>
    </row>
    <row r="44" spans="1:5" x14ac:dyDescent="0.25">
      <c r="B44" s="14" t="s">
        <v>38</v>
      </c>
      <c r="C44" s="15" t="s">
        <v>250</v>
      </c>
    </row>
    <row r="46" spans="1:5" ht="15" customHeight="1" x14ac:dyDescent="0.25">
      <c r="B46" s="131" t="s">
        <v>251</v>
      </c>
      <c r="C46" s="132"/>
      <c r="D46" s="133"/>
    </row>
    <row r="47" spans="1:5" x14ac:dyDescent="0.25">
      <c r="B47" s="134"/>
      <c r="C47" s="135"/>
      <c r="D47" s="136"/>
    </row>
    <row r="48" spans="1:5" x14ac:dyDescent="0.25">
      <c r="B48" s="134"/>
      <c r="C48" s="135"/>
      <c r="D48" s="136"/>
    </row>
    <row r="49" spans="2:4" x14ac:dyDescent="0.25">
      <c r="B49" s="134"/>
      <c r="C49" s="135"/>
      <c r="D49" s="136"/>
    </row>
    <row r="50" spans="2:4" x14ac:dyDescent="0.25">
      <c r="B50" s="137"/>
      <c r="C50" s="138"/>
      <c r="D50" s="139"/>
    </row>
  </sheetData>
  <mergeCells count="14">
    <mergeCell ref="B46:D50"/>
    <mergeCell ref="C13:E13"/>
    <mergeCell ref="A1:F1"/>
    <mergeCell ref="I1:N6"/>
    <mergeCell ref="C3:F3"/>
    <mergeCell ref="A5:A8"/>
    <mergeCell ref="A11:F11"/>
    <mergeCell ref="A33:A35"/>
    <mergeCell ref="A15:A17"/>
    <mergeCell ref="A20:F20"/>
    <mergeCell ref="C22:E22"/>
    <mergeCell ref="A24:A26"/>
    <mergeCell ref="A29:F29"/>
    <mergeCell ref="C31:E3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E184-BACF-4864-960E-A989D05A3984}">
  <dimension ref="A1:N31"/>
  <sheetViews>
    <sheetView showGridLines="0" zoomScale="90" zoomScaleNormal="90" workbookViewId="0"/>
  </sheetViews>
  <sheetFormatPr defaultRowHeight="15" x14ac:dyDescent="0.25"/>
  <cols>
    <col min="1" max="4" width="17.7109375" style="11" customWidth="1"/>
    <col min="5" max="5" width="9.140625" style="11"/>
    <col min="6" max="7" width="22.7109375" style="11" customWidth="1"/>
    <col min="8" max="9" width="22.5703125" style="11" customWidth="1"/>
    <col min="10" max="10" width="9.140625" style="11"/>
    <col min="11" max="14" width="22.5703125" style="11" customWidth="1"/>
    <col min="15" max="16384" width="9.140625" style="11"/>
  </cols>
  <sheetData>
    <row r="1" spans="1:14" x14ac:dyDescent="0.25">
      <c r="A1" s="10" t="s">
        <v>44</v>
      </c>
      <c r="B1" s="10" t="s">
        <v>83</v>
      </c>
      <c r="C1" s="10" t="s">
        <v>84</v>
      </c>
      <c r="D1" s="10" t="s">
        <v>85</v>
      </c>
      <c r="F1" s="10" t="s">
        <v>52</v>
      </c>
      <c r="G1" s="10" t="s">
        <v>83</v>
      </c>
      <c r="H1" s="10" t="s">
        <v>84</v>
      </c>
      <c r="I1" s="10" t="s">
        <v>85</v>
      </c>
      <c r="K1" s="37"/>
      <c r="L1" s="37" t="s">
        <v>83</v>
      </c>
      <c r="M1" s="37" t="s">
        <v>84</v>
      </c>
      <c r="N1" s="37" t="s">
        <v>85</v>
      </c>
    </row>
    <row r="2" spans="1:14" x14ac:dyDescent="0.25">
      <c r="A2" s="12">
        <v>1</v>
      </c>
      <c r="B2" s="13">
        <v>5.5</v>
      </c>
      <c r="C2" s="13">
        <v>7.5</v>
      </c>
      <c r="D2" s="13">
        <v>9</v>
      </c>
      <c r="F2" s="36" t="s">
        <v>29</v>
      </c>
      <c r="G2" s="13">
        <f>AVERAGE(B2:B31)</f>
        <v>6.7750000000000004</v>
      </c>
      <c r="H2" s="13">
        <f>AVERAGE(C2:C31)</f>
        <v>6.8666666666666663</v>
      </c>
      <c r="I2" s="13">
        <f>AVERAGE(D2:D31)</f>
        <v>6.5666666666666664</v>
      </c>
      <c r="K2" t="s">
        <v>83</v>
      </c>
      <c r="L2" s="1">
        <v>1</v>
      </c>
      <c r="M2" s="1"/>
      <c r="N2" s="1"/>
    </row>
    <row r="3" spans="1:14" x14ac:dyDescent="0.25">
      <c r="A3" s="12">
        <v>2</v>
      </c>
      <c r="B3" s="13">
        <v>9</v>
      </c>
      <c r="C3" s="13">
        <v>8.5</v>
      </c>
      <c r="D3" s="13">
        <v>5.5</v>
      </c>
      <c r="F3" s="36" t="s">
        <v>54</v>
      </c>
      <c r="G3" s="13">
        <f>_xlfn.STDEV.S(B2:B31)</f>
        <v>2.0535398369812472</v>
      </c>
      <c r="H3" s="13">
        <f>_xlfn.STDEV.S(C2:C31)</f>
        <v>1.7167196733251502</v>
      </c>
      <c r="I3" s="13">
        <f>_xlfn.STDEV.S(D2:D31)</f>
        <v>1.7157150581957181</v>
      </c>
      <c r="K3" t="s">
        <v>84</v>
      </c>
      <c r="L3" s="39">
        <v>0.60253211241600968</v>
      </c>
      <c r="M3" s="1">
        <v>1</v>
      </c>
      <c r="N3" s="1"/>
    </row>
    <row r="4" spans="1:14" ht="15.75" thickBot="1" x14ac:dyDescent="0.3">
      <c r="A4" s="12">
        <v>3</v>
      </c>
      <c r="B4" s="13">
        <v>4.5</v>
      </c>
      <c r="C4" s="13">
        <v>5</v>
      </c>
      <c r="D4" s="13">
        <v>6.5</v>
      </c>
      <c r="K4" s="25" t="s">
        <v>85</v>
      </c>
      <c r="L4" s="40">
        <v>-0.30878277832686229</v>
      </c>
      <c r="M4" s="40">
        <v>-0.28956102521926369</v>
      </c>
      <c r="N4" s="38">
        <v>1</v>
      </c>
    </row>
    <row r="5" spans="1:14" x14ac:dyDescent="0.25">
      <c r="A5" s="12">
        <v>4</v>
      </c>
      <c r="B5" s="13">
        <v>6.5</v>
      </c>
      <c r="C5" s="13">
        <v>8</v>
      </c>
      <c r="D5" s="13">
        <v>6.5</v>
      </c>
    </row>
    <row r="6" spans="1:14" x14ac:dyDescent="0.25">
      <c r="A6" s="12">
        <v>5</v>
      </c>
      <c r="B6" s="13">
        <v>7.5</v>
      </c>
      <c r="C6" s="13">
        <v>6</v>
      </c>
      <c r="D6" s="13">
        <v>5</v>
      </c>
      <c r="F6" s="10" t="s">
        <v>90</v>
      </c>
      <c r="G6" s="10" t="s">
        <v>86</v>
      </c>
    </row>
    <row r="7" spans="1:14" x14ac:dyDescent="0.25">
      <c r="A7" s="12">
        <v>6</v>
      </c>
      <c r="B7" s="13">
        <v>3</v>
      </c>
      <c r="C7" s="13">
        <v>6</v>
      </c>
      <c r="D7" s="13">
        <v>10</v>
      </c>
      <c r="F7" s="36" t="s">
        <v>87</v>
      </c>
      <c r="G7" s="35">
        <f>_xlfn.COVARIANCE.S($B$2:$B$31,$C$2:$C$31)</f>
        <v>2.124137931034483</v>
      </c>
    </row>
    <row r="8" spans="1:14" x14ac:dyDescent="0.25">
      <c r="A8" s="12">
        <v>7</v>
      </c>
      <c r="B8" s="13">
        <v>10</v>
      </c>
      <c r="C8" s="13">
        <v>8</v>
      </c>
      <c r="D8" s="13">
        <v>5.5</v>
      </c>
      <c r="F8" s="36" t="s">
        <v>88</v>
      </c>
      <c r="G8" s="35">
        <f>_xlfn.COVARIANCE.S($B$2:$B$31,$D$2:$D$31)</f>
        <v>-1.0879310344827589</v>
      </c>
    </row>
    <row r="9" spans="1:14" x14ac:dyDescent="0.25">
      <c r="A9" s="12">
        <v>8</v>
      </c>
      <c r="B9" s="13">
        <v>9</v>
      </c>
      <c r="C9" s="13">
        <v>8</v>
      </c>
      <c r="D9" s="13">
        <v>6.5</v>
      </c>
      <c r="F9" s="36" t="s">
        <v>89</v>
      </c>
      <c r="G9" s="35">
        <f>_xlfn.COVARIANCE.S($C$2:$C$31,$D$2:$D$31)</f>
        <v>-0.85287356321839058</v>
      </c>
    </row>
    <row r="10" spans="1:14" x14ac:dyDescent="0.25">
      <c r="A10" s="12">
        <v>9</v>
      </c>
      <c r="B10" s="13">
        <v>4.5</v>
      </c>
      <c r="C10" s="13">
        <v>5.5</v>
      </c>
      <c r="D10" s="13">
        <v>8</v>
      </c>
    </row>
    <row r="11" spans="1:14" x14ac:dyDescent="0.25">
      <c r="A11" s="12">
        <v>10</v>
      </c>
      <c r="B11" s="13">
        <v>5</v>
      </c>
      <c r="C11" s="13">
        <v>5</v>
      </c>
      <c r="D11" s="13">
        <v>5.5</v>
      </c>
    </row>
    <row r="12" spans="1:14" x14ac:dyDescent="0.25">
      <c r="A12" s="12">
        <v>11</v>
      </c>
      <c r="B12" s="13">
        <v>3.5</v>
      </c>
      <c r="C12" s="13">
        <v>5</v>
      </c>
      <c r="D12" s="13">
        <v>7.5</v>
      </c>
      <c r="F12" s="10" t="s">
        <v>91</v>
      </c>
      <c r="G12" s="10" t="s">
        <v>86</v>
      </c>
      <c r="H12" s="65" t="s">
        <v>93</v>
      </c>
      <c r="I12" s="65" t="s">
        <v>80</v>
      </c>
      <c r="K12" s="66" t="s">
        <v>37</v>
      </c>
      <c r="L12" s="67" t="s">
        <v>149</v>
      </c>
    </row>
    <row r="13" spans="1:14" x14ac:dyDescent="0.25">
      <c r="A13" s="12">
        <v>12</v>
      </c>
      <c r="B13" s="13">
        <v>7.5</v>
      </c>
      <c r="C13" s="13">
        <v>9</v>
      </c>
      <c r="D13" s="13">
        <v>4.5</v>
      </c>
      <c r="F13" s="36" t="s">
        <v>87</v>
      </c>
      <c r="G13" s="35">
        <f>CORREL(B2:B31,C2:C31)</f>
        <v>0.60253211241600968</v>
      </c>
      <c r="H13" s="57">
        <f>G13/SQRT((1-(G13^2))/(30-2))</f>
        <v>3.9948899481293116</v>
      </c>
      <c r="I13" s="35">
        <f>_xlfn.T.DIST.2T(H13,28)</f>
        <v>4.2600307295398318E-4</v>
      </c>
      <c r="K13" s="68" t="s">
        <v>38</v>
      </c>
      <c r="L13" s="69" t="s">
        <v>150</v>
      </c>
    </row>
    <row r="14" spans="1:14" x14ac:dyDescent="0.25">
      <c r="A14" s="12">
        <v>13</v>
      </c>
      <c r="B14" s="13">
        <v>6.5</v>
      </c>
      <c r="C14" s="13">
        <v>7.5</v>
      </c>
      <c r="D14" s="13">
        <v>8.5</v>
      </c>
      <c r="F14" s="36" t="s">
        <v>88</v>
      </c>
      <c r="G14" s="35">
        <f>CORREL(B2:B31,D2:D31)</f>
        <v>-0.30878277832686229</v>
      </c>
      <c r="H14" s="57">
        <f>G14/SQRT((1-(G14^2))/(30-2))</f>
        <v>-1.7178728870656614</v>
      </c>
      <c r="I14" s="35">
        <f>_xlfn.T.DIST.2T(-H14,28)</f>
        <v>9.6861592390659987E-2</v>
      </c>
    </row>
    <row r="15" spans="1:14" x14ac:dyDescent="0.25">
      <c r="A15" s="12">
        <v>14</v>
      </c>
      <c r="B15" s="13">
        <v>8</v>
      </c>
      <c r="C15" s="13">
        <v>9</v>
      </c>
      <c r="D15" s="13">
        <v>5</v>
      </c>
      <c r="F15" s="36" t="s">
        <v>89</v>
      </c>
      <c r="G15" s="35">
        <f>CORREL(C2:C31,D2:D31)</f>
        <v>-0.28956102521926369</v>
      </c>
      <c r="H15" s="57">
        <f>G15/SQRT((1-(G15^2))/(30-2))</f>
        <v>-1.6007915473354706</v>
      </c>
      <c r="I15" s="35">
        <f>_xlfn.T.DIST.2T(-H15,28)</f>
        <v>0.12064697753111912</v>
      </c>
      <c r="K15" s="16" t="s">
        <v>34</v>
      </c>
      <c r="L15" s="17">
        <v>0.05</v>
      </c>
    </row>
    <row r="16" spans="1:14" x14ac:dyDescent="0.25">
      <c r="A16" s="12">
        <v>15</v>
      </c>
      <c r="B16" s="13">
        <v>4</v>
      </c>
      <c r="C16" s="13">
        <v>5</v>
      </c>
      <c r="D16" s="13">
        <v>6.5</v>
      </c>
    </row>
    <row r="17" spans="1:13" x14ac:dyDescent="0.25">
      <c r="A17" s="12">
        <v>16</v>
      </c>
      <c r="B17" s="13">
        <v>7</v>
      </c>
      <c r="C17" s="13">
        <v>6</v>
      </c>
      <c r="D17" s="13">
        <v>8.5</v>
      </c>
      <c r="K17" s="18" t="s">
        <v>151</v>
      </c>
      <c r="L17" s="64">
        <f>_xlfn.T.INV.2T(0.05,28)</f>
        <v>2.0484071417952445</v>
      </c>
    </row>
    <row r="18" spans="1:13" x14ac:dyDescent="0.25">
      <c r="A18" s="12">
        <v>17</v>
      </c>
      <c r="B18" s="13">
        <v>7.5</v>
      </c>
      <c r="C18" s="13">
        <v>7.5</v>
      </c>
      <c r="D18" s="13">
        <v>6</v>
      </c>
      <c r="F18" s="10" t="s">
        <v>92</v>
      </c>
      <c r="G18" s="10" t="s">
        <v>86</v>
      </c>
    </row>
    <row r="19" spans="1:13" x14ac:dyDescent="0.25">
      <c r="A19" s="12">
        <v>18</v>
      </c>
      <c r="B19" s="13">
        <v>6</v>
      </c>
      <c r="C19" s="13">
        <v>9</v>
      </c>
      <c r="D19" s="13">
        <v>3</v>
      </c>
      <c r="F19" s="36" t="s">
        <v>87</v>
      </c>
      <c r="G19" s="35">
        <f>+G7/(G3*H3)</f>
        <v>0.60253211241600924</v>
      </c>
      <c r="K19" s="70" t="s">
        <v>87</v>
      </c>
      <c r="L19" s="71" t="s">
        <v>152</v>
      </c>
      <c r="M19" s="73" t="s">
        <v>153</v>
      </c>
    </row>
    <row r="20" spans="1:13" x14ac:dyDescent="0.25">
      <c r="A20" s="12">
        <v>19</v>
      </c>
      <c r="B20" s="13">
        <v>10</v>
      </c>
      <c r="C20" s="13">
        <v>7.5</v>
      </c>
      <c r="D20" s="13">
        <v>5</v>
      </c>
      <c r="F20" s="36" t="s">
        <v>88</v>
      </c>
      <c r="G20" s="35">
        <f>G8/(G3*I3)</f>
        <v>-0.30878277832686235</v>
      </c>
      <c r="K20" s="70" t="s">
        <v>88</v>
      </c>
      <c r="L20" s="72" t="s">
        <v>154</v>
      </c>
      <c r="M20" s="73" t="s">
        <v>156</v>
      </c>
    </row>
    <row r="21" spans="1:13" x14ac:dyDescent="0.25">
      <c r="A21" s="12">
        <v>20</v>
      </c>
      <c r="B21" s="13">
        <v>9</v>
      </c>
      <c r="C21" s="13">
        <v>10</v>
      </c>
      <c r="D21" s="13">
        <v>5.5</v>
      </c>
      <c r="F21" s="36" t="s">
        <v>89</v>
      </c>
      <c r="G21" s="35">
        <f>G9/(H3*I3)</f>
        <v>-0.2895610252192638</v>
      </c>
      <c r="K21" s="70" t="s">
        <v>89</v>
      </c>
      <c r="L21" s="72" t="s">
        <v>155</v>
      </c>
      <c r="M21" s="73" t="s">
        <v>156</v>
      </c>
    </row>
    <row r="22" spans="1:13" x14ac:dyDescent="0.25">
      <c r="A22" s="12">
        <v>21</v>
      </c>
      <c r="B22" s="13">
        <v>8</v>
      </c>
      <c r="C22" s="13">
        <v>9</v>
      </c>
      <c r="D22" s="13">
        <v>9</v>
      </c>
    </row>
    <row r="23" spans="1:13" x14ac:dyDescent="0.25">
      <c r="A23" s="12">
        <v>22</v>
      </c>
      <c r="B23" s="13">
        <v>5</v>
      </c>
      <c r="C23" s="13">
        <v>5</v>
      </c>
      <c r="D23" s="13">
        <v>5</v>
      </c>
    </row>
    <row r="24" spans="1:13" x14ac:dyDescent="0.25">
      <c r="A24" s="12">
        <v>23</v>
      </c>
      <c r="B24" s="13">
        <v>4</v>
      </c>
      <c r="C24" s="13">
        <v>3</v>
      </c>
      <c r="D24" s="13">
        <v>7.5</v>
      </c>
    </row>
    <row r="25" spans="1:13" x14ac:dyDescent="0.25">
      <c r="A25" s="12">
        <v>24</v>
      </c>
      <c r="B25" s="13">
        <v>9.5</v>
      </c>
      <c r="C25" s="13">
        <v>8</v>
      </c>
      <c r="D25" s="13">
        <v>8.5</v>
      </c>
    </row>
    <row r="26" spans="1:13" x14ac:dyDescent="0.25">
      <c r="A26" s="12">
        <v>25</v>
      </c>
      <c r="B26" s="13">
        <v>6.5</v>
      </c>
      <c r="C26" s="13">
        <v>7</v>
      </c>
      <c r="D26" s="13">
        <v>4.5</v>
      </c>
    </row>
    <row r="27" spans="1:13" x14ac:dyDescent="0.25">
      <c r="A27" s="12">
        <v>26</v>
      </c>
      <c r="B27" s="13">
        <v>7</v>
      </c>
      <c r="C27" s="13">
        <v>7.5</v>
      </c>
      <c r="D27" s="13">
        <v>8</v>
      </c>
    </row>
    <row r="28" spans="1:13" x14ac:dyDescent="0.25">
      <c r="A28" s="12">
        <v>27</v>
      </c>
      <c r="B28" s="13">
        <v>5</v>
      </c>
      <c r="C28" s="13">
        <v>4.5</v>
      </c>
      <c r="D28" s="13">
        <v>9</v>
      </c>
    </row>
    <row r="29" spans="1:13" x14ac:dyDescent="0.25">
      <c r="A29" s="12">
        <v>28</v>
      </c>
      <c r="B29" s="13">
        <v>6.5</v>
      </c>
      <c r="C29" s="13">
        <v>8</v>
      </c>
      <c r="D29" s="13">
        <v>5</v>
      </c>
    </row>
    <row r="30" spans="1:13" x14ac:dyDescent="0.25">
      <c r="A30" s="12">
        <v>29</v>
      </c>
      <c r="B30" s="13">
        <v>8.5</v>
      </c>
      <c r="C30" s="13">
        <v>6</v>
      </c>
      <c r="D30" s="13">
        <v>6</v>
      </c>
    </row>
    <row r="31" spans="1:13" x14ac:dyDescent="0.25">
      <c r="A31" s="12">
        <v>30</v>
      </c>
      <c r="B31" s="13">
        <v>9.75</v>
      </c>
      <c r="C31" s="13">
        <v>5</v>
      </c>
      <c r="D31" s="13">
        <v>6.5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F8E02-6E63-4B89-91C2-E004B36D06B1}">
  <dimension ref="A1:G22"/>
  <sheetViews>
    <sheetView showGridLines="0" zoomScale="85" zoomScaleNormal="85" workbookViewId="0"/>
  </sheetViews>
  <sheetFormatPr defaultRowHeight="15" x14ac:dyDescent="0.25"/>
  <cols>
    <col min="1" max="1" width="37.140625" bestFit="1" customWidth="1"/>
    <col min="2" max="2" width="17.7109375" customWidth="1"/>
  </cols>
  <sheetData>
    <row r="1" spans="1:7" x14ac:dyDescent="0.25">
      <c r="A1" s="4" t="s">
        <v>94</v>
      </c>
      <c r="B1" s="42"/>
      <c r="D1" s="2" t="s">
        <v>230</v>
      </c>
      <c r="E1" s="113" t="s">
        <v>232</v>
      </c>
      <c r="F1" s="2" t="s">
        <v>227</v>
      </c>
      <c r="G1" s="2" t="s">
        <v>228</v>
      </c>
    </row>
    <row r="2" spans="1:7" x14ac:dyDescent="0.25">
      <c r="A2" s="43" t="s">
        <v>95</v>
      </c>
      <c r="B2" s="44">
        <v>6.5000000000000002E-2</v>
      </c>
      <c r="D2" s="116">
        <v>6.5000000000000002E-2</v>
      </c>
      <c r="E2" s="114">
        <v>12</v>
      </c>
      <c r="F2" s="3">
        <v>0</v>
      </c>
      <c r="G2" s="60">
        <f t="shared" ref="G2:G14" si="0">_xlfn.BINOM.DIST(F2,$E$2,$D$2,FALSE)</f>
        <v>0.44641556695081935</v>
      </c>
    </row>
    <row r="3" spans="1:7" x14ac:dyDescent="0.25">
      <c r="A3" s="43" t="s">
        <v>96</v>
      </c>
      <c r="B3" s="2">
        <v>12</v>
      </c>
      <c r="F3" s="3">
        <v>1</v>
      </c>
      <c r="G3" s="60">
        <f t="shared" si="0"/>
        <v>0.37241084729587071</v>
      </c>
    </row>
    <row r="4" spans="1:7" x14ac:dyDescent="0.25">
      <c r="F4" s="3">
        <v>2</v>
      </c>
      <c r="G4" s="60">
        <f t="shared" si="0"/>
        <v>0.14239238278959765</v>
      </c>
    </row>
    <row r="5" spans="1:7" x14ac:dyDescent="0.25">
      <c r="F5" s="3">
        <v>3</v>
      </c>
      <c r="G5" s="60">
        <f t="shared" si="0"/>
        <v>3.2996452339835447E-2</v>
      </c>
    </row>
    <row r="6" spans="1:7" x14ac:dyDescent="0.25">
      <c r="A6" s="43" t="s">
        <v>97</v>
      </c>
      <c r="B6" s="45">
        <f>_xlfn.BINOM.DIST(2,$B$3,$B$2,FALSE)</f>
        <v>0.14239238278959765</v>
      </c>
      <c r="F6" s="3">
        <v>4</v>
      </c>
      <c r="G6" s="60">
        <f t="shared" si="0"/>
        <v>5.1612097911239944E-3</v>
      </c>
    </row>
    <row r="7" spans="1:7" x14ac:dyDescent="0.25">
      <c r="A7" s="43" t="s">
        <v>98</v>
      </c>
      <c r="B7" s="45">
        <f>_xlfn.BINOM.DIST(4,$B$3,$B$2,FALSE)</f>
        <v>5.1612097911239944E-3</v>
      </c>
      <c r="F7" s="3">
        <v>5</v>
      </c>
      <c r="G7" s="60">
        <f t="shared" si="0"/>
        <v>5.7408108906619826E-4</v>
      </c>
    </row>
    <row r="8" spans="1:7" x14ac:dyDescent="0.25">
      <c r="A8" s="43" t="s">
        <v>99</v>
      </c>
      <c r="B8" s="45">
        <f>_xlfn.BINOM.DIST(2,$B$3,$B$2,TRUE)</f>
        <v>0.96121879703628765</v>
      </c>
      <c r="F8" s="3">
        <v>6</v>
      </c>
      <c r="G8" s="60">
        <f t="shared" si="0"/>
        <v>4.6560943943871677E-5</v>
      </c>
    </row>
    <row r="9" spans="1:7" x14ac:dyDescent="0.25">
      <c r="F9" s="3">
        <v>7</v>
      </c>
      <c r="G9" s="60">
        <f t="shared" si="0"/>
        <v>2.7744489133857811E-6</v>
      </c>
    </row>
    <row r="10" spans="1:7" x14ac:dyDescent="0.25">
      <c r="F10" s="3">
        <v>8</v>
      </c>
      <c r="G10" s="60">
        <f t="shared" si="0"/>
        <v>1.2054757979283158E-7</v>
      </c>
    </row>
    <row r="11" spans="1:7" x14ac:dyDescent="0.25">
      <c r="F11" s="3">
        <v>9</v>
      </c>
      <c r="G11" s="60">
        <f t="shared" si="0"/>
        <v>3.7245835705450115E-9</v>
      </c>
    </row>
    <row r="12" spans="1:7" x14ac:dyDescent="0.25">
      <c r="F12" s="3">
        <v>10</v>
      </c>
      <c r="G12" s="60">
        <f t="shared" si="0"/>
        <v>7.7678480883023897E-11</v>
      </c>
    </row>
    <row r="13" spans="1:7" x14ac:dyDescent="0.25">
      <c r="F13" s="3">
        <v>11</v>
      </c>
      <c r="G13" s="60">
        <f t="shared" si="0"/>
        <v>9.8183787212378575E-13</v>
      </c>
    </row>
    <row r="14" spans="1:7" x14ac:dyDescent="0.25">
      <c r="F14" s="3">
        <v>12</v>
      </c>
      <c r="G14" s="60">
        <f t="shared" si="0"/>
        <v>5.6880090631057281E-15</v>
      </c>
    </row>
    <row r="15" spans="1:7" x14ac:dyDescent="0.25">
      <c r="F15" s="1"/>
      <c r="G15" s="100"/>
    </row>
    <row r="16" spans="1:7" x14ac:dyDescent="0.25">
      <c r="F16" s="1"/>
      <c r="G16" s="100"/>
    </row>
    <row r="17" spans="6:7" x14ac:dyDescent="0.25">
      <c r="F17" s="1"/>
      <c r="G17" s="100"/>
    </row>
    <row r="18" spans="6:7" x14ac:dyDescent="0.25">
      <c r="F18" s="1"/>
      <c r="G18" s="100"/>
    </row>
    <row r="19" spans="6:7" x14ac:dyDescent="0.25">
      <c r="F19" s="1"/>
      <c r="G19" s="100"/>
    </row>
    <row r="20" spans="6:7" x14ac:dyDescent="0.25">
      <c r="F20" s="1"/>
      <c r="G20" s="100"/>
    </row>
    <row r="21" spans="6:7" x14ac:dyDescent="0.25">
      <c r="F21" s="1"/>
      <c r="G21" s="100"/>
    </row>
    <row r="22" spans="6:7" x14ac:dyDescent="0.25">
      <c r="F22" s="1"/>
      <c r="G22" s="100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42FD-DFD4-477E-A4FB-B9B4A01AE03E}">
  <dimension ref="A1:G21"/>
  <sheetViews>
    <sheetView showGridLines="0" zoomScale="85" zoomScaleNormal="85" workbookViewId="0"/>
  </sheetViews>
  <sheetFormatPr defaultRowHeight="15" x14ac:dyDescent="0.25"/>
  <cols>
    <col min="1" max="1" width="37.140625" bestFit="1" customWidth="1"/>
    <col min="2" max="2" width="17.7109375" customWidth="1"/>
    <col min="7" max="7" width="12.85546875" bestFit="1" customWidth="1"/>
  </cols>
  <sheetData>
    <row r="1" spans="1:7" x14ac:dyDescent="0.25">
      <c r="A1" s="4" t="s">
        <v>157</v>
      </c>
      <c r="B1" s="42"/>
      <c r="D1" s="2" t="s">
        <v>230</v>
      </c>
      <c r="E1" s="113" t="s">
        <v>227</v>
      </c>
      <c r="F1" s="2" t="s">
        <v>229</v>
      </c>
      <c r="G1" s="2" t="s">
        <v>231</v>
      </c>
    </row>
    <row r="2" spans="1:7" x14ac:dyDescent="0.25">
      <c r="A2" s="43" t="s">
        <v>95</v>
      </c>
      <c r="B2" s="74">
        <v>0.11</v>
      </c>
      <c r="D2" s="109">
        <v>0.4</v>
      </c>
      <c r="E2" s="114">
        <v>2</v>
      </c>
      <c r="F2" s="3">
        <v>1</v>
      </c>
      <c r="G2" s="115" t="e">
        <f t="shared" ref="G2:G21" si="0">_xlfn.NEGBINOM.DIST((F2-$E$2),$E$2,$D$2,FALSE)</f>
        <v>#NUM!</v>
      </c>
    </row>
    <row r="3" spans="1:7" x14ac:dyDescent="0.25">
      <c r="A3" s="41"/>
      <c r="F3" s="3">
        <v>2</v>
      </c>
      <c r="G3" s="110">
        <f t="shared" si="0"/>
        <v>0.16000000000000003</v>
      </c>
    </row>
    <row r="4" spans="1:7" x14ac:dyDescent="0.25">
      <c r="F4" s="3">
        <v>3</v>
      </c>
      <c r="G4" s="110">
        <f t="shared" si="0"/>
        <v>0.19200000000000003</v>
      </c>
    </row>
    <row r="5" spans="1:7" x14ac:dyDescent="0.25">
      <c r="A5" s="43" t="s">
        <v>158</v>
      </c>
      <c r="B5" s="129">
        <f>_xlfn.NEGBINOM.DIST((10-3),3,$B$2,FALSE)</f>
        <v>2.1193886428541683E-2</v>
      </c>
      <c r="F5" s="3">
        <v>4</v>
      </c>
      <c r="G5" s="110">
        <f t="shared" si="0"/>
        <v>0.17280000000000001</v>
      </c>
    </row>
    <row r="6" spans="1:7" x14ac:dyDescent="0.25">
      <c r="A6" s="43" t="s">
        <v>159</v>
      </c>
      <c r="B6" s="129">
        <f>_xlfn.NEGBINOM.DIST((20-3),3,$B$2,FALSE)</f>
        <v>3.1390936965009136E-2</v>
      </c>
      <c r="F6" s="3">
        <v>5</v>
      </c>
      <c r="G6" s="110">
        <f t="shared" si="0"/>
        <v>0.13823999999999997</v>
      </c>
    </row>
    <row r="7" spans="1:7" x14ac:dyDescent="0.25">
      <c r="A7" s="43" t="s">
        <v>262</v>
      </c>
      <c r="B7" s="129">
        <f>_xlfn.NEGBINOM.DIST((5-1),1,$B$2,FALSE)</f>
        <v>6.901646509999998E-2</v>
      </c>
      <c r="F7" s="3">
        <v>6</v>
      </c>
      <c r="G7" s="110">
        <f t="shared" si="0"/>
        <v>0.10367999999999999</v>
      </c>
    </row>
    <row r="8" spans="1:7" x14ac:dyDescent="0.25">
      <c r="F8" s="3">
        <v>7</v>
      </c>
      <c r="G8" s="110">
        <f t="shared" si="0"/>
        <v>7.4649599999999983E-2</v>
      </c>
    </row>
    <row r="9" spans="1:7" x14ac:dyDescent="0.25">
      <c r="F9" s="3">
        <v>8</v>
      </c>
      <c r="G9" s="110">
        <f t="shared" si="0"/>
        <v>5.2254720000000004E-2</v>
      </c>
    </row>
    <row r="10" spans="1:7" x14ac:dyDescent="0.25">
      <c r="F10" s="3">
        <v>9</v>
      </c>
      <c r="G10" s="110">
        <f t="shared" si="0"/>
        <v>3.5831808000000014E-2</v>
      </c>
    </row>
    <row r="11" spans="1:7" x14ac:dyDescent="0.25">
      <c r="F11" s="3">
        <v>10</v>
      </c>
      <c r="G11" s="110">
        <f t="shared" si="0"/>
        <v>2.4186470399999997E-2</v>
      </c>
    </row>
    <row r="12" spans="1:7" x14ac:dyDescent="0.25">
      <c r="F12" s="3">
        <v>11</v>
      </c>
      <c r="G12" s="110">
        <f t="shared" si="0"/>
        <v>1.6124313599999999E-2</v>
      </c>
    </row>
    <row r="13" spans="1:7" x14ac:dyDescent="0.25">
      <c r="F13" s="3">
        <v>12</v>
      </c>
      <c r="G13" s="110">
        <f t="shared" si="0"/>
        <v>1.0642046976E-2</v>
      </c>
    </row>
    <row r="14" spans="1:7" x14ac:dyDescent="0.25">
      <c r="F14" s="3">
        <v>13</v>
      </c>
      <c r="G14" s="110">
        <f t="shared" si="0"/>
        <v>6.9657034751999924E-3</v>
      </c>
    </row>
    <row r="15" spans="1:7" x14ac:dyDescent="0.25">
      <c r="F15" s="3">
        <v>14</v>
      </c>
      <c r="G15" s="110">
        <f t="shared" si="0"/>
        <v>4.5277072588799979E-3</v>
      </c>
    </row>
    <row r="16" spans="1:7" x14ac:dyDescent="0.25">
      <c r="F16" s="3">
        <v>15</v>
      </c>
      <c r="G16" s="110">
        <f t="shared" si="0"/>
        <v>2.9255954595840024E-3</v>
      </c>
    </row>
    <row r="17" spans="6:7" x14ac:dyDescent="0.25">
      <c r="F17" s="3">
        <v>16</v>
      </c>
      <c r="G17" s="110">
        <f t="shared" si="0"/>
        <v>1.8807399383039996E-3</v>
      </c>
    </row>
    <row r="18" spans="6:7" x14ac:dyDescent="0.25">
      <c r="F18" s="3">
        <v>17</v>
      </c>
      <c r="G18" s="110">
        <f t="shared" si="0"/>
        <v>1.2036735605145601E-3</v>
      </c>
    </row>
    <row r="19" spans="6:7" x14ac:dyDescent="0.25">
      <c r="F19" s="3">
        <v>18</v>
      </c>
      <c r="G19" s="110">
        <f t="shared" si="0"/>
        <v>7.6734189482803019E-4</v>
      </c>
    </row>
    <row r="20" spans="6:7" x14ac:dyDescent="0.25">
      <c r="F20" s="3">
        <v>19</v>
      </c>
      <c r="G20" s="110">
        <f t="shared" si="0"/>
        <v>4.8748779200839657E-4</v>
      </c>
    </row>
    <row r="21" spans="6:7" x14ac:dyDescent="0.25">
      <c r="F21" s="3">
        <v>20</v>
      </c>
      <c r="G21" s="110">
        <f t="shared" si="0"/>
        <v>3.087422682719842E-4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C2A2E-C1AF-4FD3-B9D3-F1539D59677A}">
  <dimension ref="A1:F12"/>
  <sheetViews>
    <sheetView showGridLines="0" zoomScale="85" zoomScaleNormal="85" workbookViewId="0"/>
  </sheetViews>
  <sheetFormatPr defaultRowHeight="15" x14ac:dyDescent="0.25"/>
  <cols>
    <col min="1" max="1" width="37.140625" bestFit="1" customWidth="1"/>
    <col min="2" max="2" width="17.7109375" customWidth="1"/>
  </cols>
  <sheetData>
    <row r="1" spans="1:6" x14ac:dyDescent="0.25">
      <c r="A1" s="4" t="s">
        <v>100</v>
      </c>
      <c r="B1" s="42"/>
      <c r="D1" s="2" t="s">
        <v>263</v>
      </c>
      <c r="E1" s="2" t="s">
        <v>227</v>
      </c>
      <c r="F1" s="2" t="s">
        <v>228</v>
      </c>
    </row>
    <row r="2" spans="1:6" x14ac:dyDescent="0.25">
      <c r="A2" s="43" t="s">
        <v>252</v>
      </c>
      <c r="B2" s="2">
        <v>2</v>
      </c>
      <c r="D2" s="3">
        <v>2</v>
      </c>
      <c r="E2" s="3">
        <v>0</v>
      </c>
      <c r="F2" s="130">
        <f>_xlfn.POISSON.DIST(E2,$D$2,FALSE)</f>
        <v>0.1353352832366127</v>
      </c>
    </row>
    <row r="3" spans="1:6" x14ac:dyDescent="0.25">
      <c r="A3" s="41"/>
      <c r="E3" s="3">
        <v>1</v>
      </c>
      <c r="F3" s="130">
        <f t="shared" ref="F3:F12" si="0">_xlfn.POISSON.DIST(E3,$D$2,FALSE)</f>
        <v>0.27067056647322535</v>
      </c>
    </row>
    <row r="4" spans="1:6" x14ac:dyDescent="0.25">
      <c r="E4" s="3">
        <v>2</v>
      </c>
      <c r="F4" s="130">
        <f t="shared" si="0"/>
        <v>0.27067056647322546</v>
      </c>
    </row>
    <row r="5" spans="1:6" x14ac:dyDescent="0.25">
      <c r="A5" s="43" t="s">
        <v>101</v>
      </c>
      <c r="B5" s="45">
        <f>_xlfn.POISSON.DIST(1,$B$2,FALSE)</f>
        <v>0.27067056647322535</v>
      </c>
      <c r="E5" s="3">
        <v>3</v>
      </c>
      <c r="F5" s="130">
        <f t="shared" si="0"/>
        <v>0.18044704431548364</v>
      </c>
    </row>
    <row r="6" spans="1:6" x14ac:dyDescent="0.25">
      <c r="A6" s="43" t="s">
        <v>102</v>
      </c>
      <c r="B6" s="45">
        <f>_xlfn.POISSON.DIST(3,$B$2,FALSE)</f>
        <v>0.18044704431548364</v>
      </c>
      <c r="E6" s="3">
        <v>4</v>
      </c>
      <c r="F6" s="130">
        <f t="shared" si="0"/>
        <v>9.022352215774182E-2</v>
      </c>
    </row>
    <row r="7" spans="1:6" x14ac:dyDescent="0.25">
      <c r="A7" s="43" t="s">
        <v>103</v>
      </c>
      <c r="B7" s="45">
        <f>_xlfn.POISSON.DIST(0,$B$2,FALSE)</f>
        <v>0.1353352832366127</v>
      </c>
      <c r="E7" s="3">
        <v>5</v>
      </c>
      <c r="F7" s="130">
        <f t="shared" si="0"/>
        <v>3.6089408863096716E-2</v>
      </c>
    </row>
    <row r="8" spans="1:6" x14ac:dyDescent="0.25">
      <c r="A8" s="43" t="s">
        <v>261</v>
      </c>
      <c r="B8" s="45">
        <f>_xlfn.POISSON.DIST(5,$B$2,FALSE)</f>
        <v>3.6089408863096716E-2</v>
      </c>
      <c r="E8" s="3">
        <v>6</v>
      </c>
      <c r="F8" s="130">
        <f t="shared" si="0"/>
        <v>1.2029802954365572E-2</v>
      </c>
    </row>
    <row r="9" spans="1:6" x14ac:dyDescent="0.25">
      <c r="E9" s="3">
        <v>7</v>
      </c>
      <c r="F9" s="130">
        <f t="shared" si="0"/>
        <v>3.4370865583901629E-3</v>
      </c>
    </row>
    <row r="10" spans="1:6" x14ac:dyDescent="0.25">
      <c r="E10" s="3">
        <v>8</v>
      </c>
      <c r="F10" s="130">
        <f t="shared" si="0"/>
        <v>8.5927163959754148E-4</v>
      </c>
    </row>
    <row r="11" spans="1:6" x14ac:dyDescent="0.25">
      <c r="E11" s="3">
        <v>9</v>
      </c>
      <c r="F11" s="130">
        <f t="shared" si="0"/>
        <v>1.9094925324389769E-4</v>
      </c>
    </row>
    <row r="12" spans="1:6" x14ac:dyDescent="0.25">
      <c r="E12" s="3">
        <v>10</v>
      </c>
      <c r="F12" s="130">
        <f t="shared" si="0"/>
        <v>3.8189850648779602E-5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B2C1D-D15A-40F3-9BFB-1956004EA2B9}">
  <dimension ref="A1:G102"/>
  <sheetViews>
    <sheetView showGridLines="0" zoomScale="85" zoomScaleNormal="85" workbookViewId="0"/>
  </sheetViews>
  <sheetFormatPr defaultRowHeight="15" x14ac:dyDescent="0.25"/>
  <cols>
    <col min="1" max="1" width="37.140625" bestFit="1" customWidth="1"/>
    <col min="2" max="3" width="17.7109375" customWidth="1"/>
    <col min="6" max="6" width="9.140625" style="11"/>
    <col min="7" max="7" width="9.140625" style="1"/>
  </cols>
  <sheetData>
    <row r="1" spans="1:7" x14ac:dyDescent="0.25">
      <c r="A1" s="4" t="s">
        <v>104</v>
      </c>
      <c r="B1" s="42"/>
      <c r="F1" s="30" t="s">
        <v>108</v>
      </c>
      <c r="G1" s="48" t="s">
        <v>141</v>
      </c>
    </row>
    <row r="2" spans="1:7" x14ac:dyDescent="0.25">
      <c r="A2" s="46" t="s">
        <v>29</v>
      </c>
      <c r="B2" s="44">
        <v>2.8000000000000001E-2</v>
      </c>
      <c r="F2" s="13">
        <v>-5</v>
      </c>
      <c r="G2" s="60">
        <f>_xlfn.NORM.S.DIST(F2,FALSE)</f>
        <v>1.4867195147342977E-6</v>
      </c>
    </row>
    <row r="3" spans="1:7" x14ac:dyDescent="0.25">
      <c r="A3" s="43" t="s">
        <v>54</v>
      </c>
      <c r="B3" s="44">
        <v>1.2E-2</v>
      </c>
      <c r="F3" s="13">
        <v>-4.9000000000000004</v>
      </c>
      <c r="G3" s="60">
        <f t="shared" ref="G3:G66" si="0">_xlfn.NORM.S.DIST(F3,FALSE)</f>
        <v>2.4389607458933522E-6</v>
      </c>
    </row>
    <row r="4" spans="1:7" x14ac:dyDescent="0.25">
      <c r="A4" s="51"/>
      <c r="B4" s="52"/>
      <c r="F4" s="13">
        <v>-4.8</v>
      </c>
      <c r="G4" s="60">
        <f t="shared" si="0"/>
        <v>3.9612990910320753E-6</v>
      </c>
    </row>
    <row r="5" spans="1:7" x14ac:dyDescent="0.25">
      <c r="F5" s="13">
        <v>-4.7</v>
      </c>
      <c r="G5" s="60">
        <f t="shared" si="0"/>
        <v>6.3698251788670899E-6</v>
      </c>
    </row>
    <row r="6" spans="1:7" x14ac:dyDescent="0.25">
      <c r="A6" s="4" t="s">
        <v>132</v>
      </c>
      <c r="B6" s="4" t="s">
        <v>108</v>
      </c>
      <c r="C6" s="4" t="s">
        <v>108</v>
      </c>
      <c r="F6" s="13">
        <v>-4.5999999999999996</v>
      </c>
      <c r="G6" s="60">
        <f t="shared" si="0"/>
        <v>1.0140852065486758E-5</v>
      </c>
    </row>
    <row r="7" spans="1:7" x14ac:dyDescent="0.25">
      <c r="A7" s="49" t="s">
        <v>105</v>
      </c>
      <c r="B7" s="50">
        <f>(4%-B2)/B3</f>
        <v>1</v>
      </c>
      <c r="C7" s="76"/>
      <c r="F7" s="13">
        <v>-4.5</v>
      </c>
      <c r="G7" s="60">
        <f t="shared" si="0"/>
        <v>1.5983741106905475E-5</v>
      </c>
    </row>
    <row r="8" spans="1:7" x14ac:dyDescent="0.25">
      <c r="A8" s="43" t="s">
        <v>106</v>
      </c>
      <c r="B8" s="47">
        <f>(3%-B2)/B3</f>
        <v>0.16666666666666652</v>
      </c>
      <c r="C8" s="76"/>
      <c r="F8" s="13">
        <v>-4.4000000000000004</v>
      </c>
      <c r="G8" s="60">
        <f t="shared" si="0"/>
        <v>2.4942471290053535E-5</v>
      </c>
    </row>
    <row r="9" spans="1:7" x14ac:dyDescent="0.25">
      <c r="A9" s="43" t="s">
        <v>107</v>
      </c>
      <c r="B9" s="47">
        <f>(0%-B2)/B3</f>
        <v>-2.3333333333333335</v>
      </c>
      <c r="C9" s="76"/>
      <c r="F9" s="13">
        <v>-4.3</v>
      </c>
      <c r="G9" s="60">
        <f t="shared" si="0"/>
        <v>3.8535196742087129E-5</v>
      </c>
    </row>
    <row r="10" spans="1:7" x14ac:dyDescent="0.25">
      <c r="A10" s="43" t="s">
        <v>253</v>
      </c>
      <c r="B10" s="47">
        <f>(1%-B2)/B3</f>
        <v>-1.5000000000000002</v>
      </c>
      <c r="C10" s="48">
        <f>(5%-B2)/B3</f>
        <v>1.8333333333333335</v>
      </c>
      <c r="F10" s="13">
        <v>-4.2</v>
      </c>
      <c r="G10" s="60">
        <f t="shared" si="0"/>
        <v>5.8943067756539855E-5</v>
      </c>
    </row>
    <row r="11" spans="1:7" x14ac:dyDescent="0.25">
      <c r="F11" s="13">
        <v>-4.0999999999999996</v>
      </c>
      <c r="G11" s="60">
        <f t="shared" si="0"/>
        <v>8.9261657177132928E-5</v>
      </c>
    </row>
    <row r="12" spans="1:7" x14ac:dyDescent="0.25">
      <c r="F12" s="13">
        <v>-4</v>
      </c>
      <c r="G12" s="60">
        <f t="shared" si="0"/>
        <v>1.3383022576488537E-4</v>
      </c>
    </row>
    <row r="13" spans="1:7" x14ac:dyDescent="0.25">
      <c r="A13" s="53" t="s">
        <v>112</v>
      </c>
      <c r="B13" s="53" t="s">
        <v>114</v>
      </c>
      <c r="C13" s="53" t="s">
        <v>113</v>
      </c>
      <c r="F13" s="13">
        <v>-3.9</v>
      </c>
      <c r="G13" s="60">
        <f t="shared" si="0"/>
        <v>1.9865547139277272E-4</v>
      </c>
    </row>
    <row r="14" spans="1:7" x14ac:dyDescent="0.25">
      <c r="A14" s="49" t="s">
        <v>109</v>
      </c>
      <c r="B14" s="121">
        <f>1-_xlfn.NORM.S.DIST(B7,TRUE)</f>
        <v>0.15865525393145696</v>
      </c>
      <c r="C14" s="54">
        <f>B14</f>
        <v>0.15865525393145696</v>
      </c>
      <c r="F14" s="13">
        <v>-3.8</v>
      </c>
      <c r="G14" s="60">
        <f t="shared" si="0"/>
        <v>2.9194692579146027E-4</v>
      </c>
    </row>
    <row r="15" spans="1:7" x14ac:dyDescent="0.25">
      <c r="A15" s="43" t="s">
        <v>110</v>
      </c>
      <c r="B15" s="121">
        <f>_xlfn.NORM.S.DIST(B8,TRUE)</f>
        <v>0.56618383261090366</v>
      </c>
      <c r="C15" s="54">
        <f>B15</f>
        <v>0.56618383261090366</v>
      </c>
      <c r="F15" s="13">
        <v>-3.7</v>
      </c>
      <c r="G15" s="60">
        <f t="shared" si="0"/>
        <v>4.2478027055075143E-4</v>
      </c>
    </row>
    <row r="16" spans="1:7" x14ac:dyDescent="0.25">
      <c r="A16" s="43" t="s">
        <v>111</v>
      </c>
      <c r="B16" s="121">
        <f>_xlfn.NORM.S.DIST(B9,TRUE)</f>
        <v>9.8153286286453353E-3</v>
      </c>
      <c r="C16" s="54">
        <f>B16</f>
        <v>9.8153286286453353E-3</v>
      </c>
      <c r="F16" s="13">
        <v>-3.6</v>
      </c>
      <c r="G16" s="60">
        <f t="shared" si="0"/>
        <v>6.119019301137719E-4</v>
      </c>
    </row>
    <row r="17" spans="1:7" x14ac:dyDescent="0.25">
      <c r="A17" s="43" t="s">
        <v>254</v>
      </c>
      <c r="B17" s="121">
        <f>_xlfn.NORM.S.DIST(C10,TRUE)-_xlfn.NORM.S.DIST(B10,TRUE)</f>
        <v>0.89981629114632466</v>
      </c>
      <c r="C17" s="54">
        <f>B17</f>
        <v>0.89981629114632466</v>
      </c>
      <c r="F17" s="13">
        <v>-3.5</v>
      </c>
      <c r="G17" s="60">
        <f t="shared" si="0"/>
        <v>8.7268269504576015E-4</v>
      </c>
    </row>
    <row r="18" spans="1:7" x14ac:dyDescent="0.25">
      <c r="F18" s="13">
        <v>-3.4</v>
      </c>
      <c r="G18" s="60">
        <f t="shared" si="0"/>
        <v>1.2322191684730199E-3</v>
      </c>
    </row>
    <row r="19" spans="1:7" x14ac:dyDescent="0.25">
      <c r="F19" s="13">
        <v>-3.3</v>
      </c>
      <c r="G19" s="60">
        <f t="shared" si="0"/>
        <v>1.7225689390536812E-3</v>
      </c>
    </row>
    <row r="20" spans="1:7" x14ac:dyDescent="0.25">
      <c r="F20" s="13">
        <v>-3.2</v>
      </c>
      <c r="G20" s="60">
        <f t="shared" si="0"/>
        <v>2.3840882014648404E-3</v>
      </c>
    </row>
    <row r="21" spans="1:7" x14ac:dyDescent="0.25">
      <c r="F21" s="13">
        <v>-3.1</v>
      </c>
      <c r="G21" s="60">
        <f t="shared" si="0"/>
        <v>3.2668190561999182E-3</v>
      </c>
    </row>
    <row r="22" spans="1:7" x14ac:dyDescent="0.25">
      <c r="F22" s="13">
        <v>-3</v>
      </c>
      <c r="G22" s="60">
        <f t="shared" si="0"/>
        <v>4.4318484119380075E-3</v>
      </c>
    </row>
    <row r="23" spans="1:7" x14ac:dyDescent="0.25">
      <c r="F23" s="13">
        <v>-2.9</v>
      </c>
      <c r="G23" s="60">
        <f t="shared" si="0"/>
        <v>5.9525324197758538E-3</v>
      </c>
    </row>
    <row r="24" spans="1:7" x14ac:dyDescent="0.25">
      <c r="F24" s="13">
        <v>-2.8</v>
      </c>
      <c r="G24" s="60">
        <f t="shared" si="0"/>
        <v>7.9154515829799686E-3</v>
      </c>
    </row>
    <row r="25" spans="1:7" x14ac:dyDescent="0.25">
      <c r="F25" s="13">
        <v>-2.7</v>
      </c>
      <c r="G25" s="60">
        <f t="shared" si="0"/>
        <v>1.0420934814422592E-2</v>
      </c>
    </row>
    <row r="26" spans="1:7" x14ac:dyDescent="0.25">
      <c r="F26" s="13">
        <v>-2.6</v>
      </c>
      <c r="G26" s="60">
        <f t="shared" si="0"/>
        <v>1.3582969233685613E-2</v>
      </c>
    </row>
    <row r="27" spans="1:7" x14ac:dyDescent="0.25">
      <c r="F27" s="13">
        <v>-2.5</v>
      </c>
      <c r="G27" s="60">
        <f t="shared" si="0"/>
        <v>1.752830049356854E-2</v>
      </c>
    </row>
    <row r="28" spans="1:7" x14ac:dyDescent="0.25">
      <c r="F28" s="13">
        <v>-2.4</v>
      </c>
      <c r="G28" s="60">
        <f t="shared" si="0"/>
        <v>2.2394530294842899E-2</v>
      </c>
    </row>
    <row r="29" spans="1:7" x14ac:dyDescent="0.25">
      <c r="F29" s="13">
        <v>-2.2999999999999998</v>
      </c>
      <c r="G29" s="60">
        <f t="shared" si="0"/>
        <v>2.8327037741601186E-2</v>
      </c>
    </row>
    <row r="30" spans="1:7" x14ac:dyDescent="0.25">
      <c r="F30" s="13">
        <v>-2.2000000000000002</v>
      </c>
      <c r="G30" s="60">
        <f t="shared" si="0"/>
        <v>3.5474592846231424E-2</v>
      </c>
    </row>
    <row r="31" spans="1:7" x14ac:dyDescent="0.25">
      <c r="F31" s="13">
        <v>-2.1</v>
      </c>
      <c r="G31" s="60">
        <f t="shared" si="0"/>
        <v>4.3983595980427191E-2</v>
      </c>
    </row>
    <row r="32" spans="1:7" x14ac:dyDescent="0.25">
      <c r="F32" s="13">
        <v>-2</v>
      </c>
      <c r="G32" s="60">
        <f t="shared" si="0"/>
        <v>5.3990966513188063E-2</v>
      </c>
    </row>
    <row r="33" spans="6:7" x14ac:dyDescent="0.25">
      <c r="F33" s="13">
        <v>-1.9</v>
      </c>
      <c r="G33" s="60">
        <f t="shared" si="0"/>
        <v>6.5615814774676595E-2</v>
      </c>
    </row>
    <row r="34" spans="6:7" x14ac:dyDescent="0.25">
      <c r="F34" s="13">
        <v>-1.8</v>
      </c>
      <c r="G34" s="60">
        <f t="shared" si="0"/>
        <v>7.8950158300894149E-2</v>
      </c>
    </row>
    <row r="35" spans="6:7" x14ac:dyDescent="0.25">
      <c r="F35" s="13">
        <v>-1.7</v>
      </c>
      <c r="G35" s="60">
        <f t="shared" si="0"/>
        <v>9.4049077376886947E-2</v>
      </c>
    </row>
    <row r="36" spans="6:7" x14ac:dyDescent="0.25">
      <c r="F36" s="13">
        <v>-1.6</v>
      </c>
      <c r="G36" s="60">
        <f t="shared" si="0"/>
        <v>0.11092083467945554</v>
      </c>
    </row>
    <row r="37" spans="6:7" x14ac:dyDescent="0.25">
      <c r="F37" s="13">
        <v>-1.5</v>
      </c>
      <c r="G37" s="60">
        <f t="shared" si="0"/>
        <v>0.12951759566589174</v>
      </c>
    </row>
    <row r="38" spans="6:7" x14ac:dyDescent="0.25">
      <c r="F38" s="13">
        <v>-1.4</v>
      </c>
      <c r="G38" s="60">
        <f t="shared" si="0"/>
        <v>0.14972746563574488</v>
      </c>
    </row>
    <row r="39" spans="6:7" x14ac:dyDescent="0.25">
      <c r="F39" s="13">
        <v>-1.3</v>
      </c>
      <c r="G39" s="60">
        <f t="shared" si="0"/>
        <v>0.17136859204780736</v>
      </c>
    </row>
    <row r="40" spans="6:7" x14ac:dyDescent="0.25">
      <c r="F40" s="13">
        <v>-1.2</v>
      </c>
      <c r="G40" s="60">
        <f t="shared" si="0"/>
        <v>0.19418605498321295</v>
      </c>
    </row>
    <row r="41" spans="6:7" x14ac:dyDescent="0.25">
      <c r="F41" s="13">
        <v>-1.1000000000000001</v>
      </c>
      <c r="G41" s="60">
        <f t="shared" si="0"/>
        <v>0.21785217703255053</v>
      </c>
    </row>
    <row r="42" spans="6:7" x14ac:dyDescent="0.25">
      <c r="F42" s="13">
        <v>-1</v>
      </c>
      <c r="G42" s="60">
        <f t="shared" si="0"/>
        <v>0.24197072451914337</v>
      </c>
    </row>
    <row r="43" spans="6:7" x14ac:dyDescent="0.25">
      <c r="F43" s="13">
        <v>-0.9</v>
      </c>
      <c r="G43" s="60">
        <f t="shared" si="0"/>
        <v>0.26608524989875482</v>
      </c>
    </row>
    <row r="44" spans="6:7" x14ac:dyDescent="0.25">
      <c r="F44" s="13">
        <v>-0.8</v>
      </c>
      <c r="G44" s="60">
        <f t="shared" si="0"/>
        <v>0.28969155276148273</v>
      </c>
    </row>
    <row r="45" spans="6:7" x14ac:dyDescent="0.25">
      <c r="F45" s="13">
        <v>-0.7</v>
      </c>
      <c r="G45" s="60">
        <f t="shared" si="0"/>
        <v>0.31225393336676127</v>
      </c>
    </row>
    <row r="46" spans="6:7" x14ac:dyDescent="0.25">
      <c r="F46" s="13">
        <v>-0.6</v>
      </c>
      <c r="G46" s="60">
        <f t="shared" si="0"/>
        <v>0.33322460289179967</v>
      </c>
    </row>
    <row r="47" spans="6:7" x14ac:dyDescent="0.25">
      <c r="F47" s="13">
        <v>-0.5</v>
      </c>
      <c r="G47" s="60">
        <f t="shared" si="0"/>
        <v>0.35206532676429952</v>
      </c>
    </row>
    <row r="48" spans="6:7" x14ac:dyDescent="0.25">
      <c r="F48" s="13">
        <v>-0.4</v>
      </c>
      <c r="G48" s="60">
        <f t="shared" si="0"/>
        <v>0.36827014030332333</v>
      </c>
    </row>
    <row r="49" spans="6:7" x14ac:dyDescent="0.25">
      <c r="F49" s="13">
        <v>-0.3</v>
      </c>
      <c r="G49" s="60">
        <f t="shared" si="0"/>
        <v>0.38138781546052414</v>
      </c>
    </row>
    <row r="50" spans="6:7" x14ac:dyDescent="0.25">
      <c r="F50" s="13">
        <v>-0.2</v>
      </c>
      <c r="G50" s="60">
        <f t="shared" si="0"/>
        <v>0.39104269397545588</v>
      </c>
    </row>
    <row r="51" spans="6:7" x14ac:dyDescent="0.25">
      <c r="F51" s="13">
        <v>-0.1</v>
      </c>
      <c r="G51" s="60">
        <f t="shared" si="0"/>
        <v>0.39695254747701181</v>
      </c>
    </row>
    <row r="52" spans="6:7" x14ac:dyDescent="0.25">
      <c r="F52" s="13">
        <v>0</v>
      </c>
      <c r="G52" s="60">
        <f t="shared" si="0"/>
        <v>0.3989422804014327</v>
      </c>
    </row>
    <row r="53" spans="6:7" x14ac:dyDescent="0.25">
      <c r="F53" s="13">
        <v>0.1</v>
      </c>
      <c r="G53" s="60">
        <f t="shared" si="0"/>
        <v>0.39695254747701181</v>
      </c>
    </row>
    <row r="54" spans="6:7" x14ac:dyDescent="0.25">
      <c r="F54" s="13">
        <v>0.2</v>
      </c>
      <c r="G54" s="60">
        <f t="shared" si="0"/>
        <v>0.39104269397545588</v>
      </c>
    </row>
    <row r="55" spans="6:7" x14ac:dyDescent="0.25">
      <c r="F55" s="13">
        <v>0.3</v>
      </c>
      <c r="G55" s="60">
        <f t="shared" si="0"/>
        <v>0.38138781546052414</v>
      </c>
    </row>
    <row r="56" spans="6:7" x14ac:dyDescent="0.25">
      <c r="F56" s="13">
        <v>0.4</v>
      </c>
      <c r="G56" s="60">
        <f t="shared" si="0"/>
        <v>0.36827014030332333</v>
      </c>
    </row>
    <row r="57" spans="6:7" x14ac:dyDescent="0.25">
      <c r="F57" s="13">
        <v>0.5</v>
      </c>
      <c r="G57" s="60">
        <f t="shared" si="0"/>
        <v>0.35206532676429952</v>
      </c>
    </row>
    <row r="58" spans="6:7" x14ac:dyDescent="0.25">
      <c r="F58" s="13">
        <v>0.6</v>
      </c>
      <c r="G58" s="60">
        <f t="shared" si="0"/>
        <v>0.33322460289179967</v>
      </c>
    </row>
    <row r="59" spans="6:7" x14ac:dyDescent="0.25">
      <c r="F59" s="13">
        <v>0.7</v>
      </c>
      <c r="G59" s="60">
        <f t="shared" si="0"/>
        <v>0.31225393336676127</v>
      </c>
    </row>
    <row r="60" spans="6:7" x14ac:dyDescent="0.25">
      <c r="F60" s="13">
        <v>0.8</v>
      </c>
      <c r="G60" s="60">
        <f t="shared" si="0"/>
        <v>0.28969155276148273</v>
      </c>
    </row>
    <row r="61" spans="6:7" x14ac:dyDescent="0.25">
      <c r="F61" s="13">
        <v>0.9</v>
      </c>
      <c r="G61" s="60">
        <f t="shared" si="0"/>
        <v>0.26608524989875482</v>
      </c>
    </row>
    <row r="62" spans="6:7" x14ac:dyDescent="0.25">
      <c r="F62" s="13">
        <v>1</v>
      </c>
      <c r="G62" s="60">
        <f t="shared" si="0"/>
        <v>0.24197072451914337</v>
      </c>
    </row>
    <row r="63" spans="6:7" x14ac:dyDescent="0.25">
      <c r="F63" s="13">
        <v>1.1000000000000001</v>
      </c>
      <c r="G63" s="60">
        <f t="shared" si="0"/>
        <v>0.21785217703255053</v>
      </c>
    </row>
    <row r="64" spans="6:7" x14ac:dyDescent="0.25">
      <c r="F64" s="13">
        <v>1.2</v>
      </c>
      <c r="G64" s="60">
        <f t="shared" si="0"/>
        <v>0.19418605498321295</v>
      </c>
    </row>
    <row r="65" spans="6:7" x14ac:dyDescent="0.25">
      <c r="F65" s="13">
        <v>1.3</v>
      </c>
      <c r="G65" s="60">
        <f t="shared" si="0"/>
        <v>0.17136859204780736</v>
      </c>
    </row>
    <row r="66" spans="6:7" x14ac:dyDescent="0.25">
      <c r="F66" s="13">
        <v>1.4</v>
      </c>
      <c r="G66" s="60">
        <f t="shared" si="0"/>
        <v>0.14972746563574488</v>
      </c>
    </row>
    <row r="67" spans="6:7" x14ac:dyDescent="0.25">
      <c r="F67" s="13">
        <v>1.5</v>
      </c>
      <c r="G67" s="60">
        <f t="shared" ref="G67:G102" si="1">_xlfn.NORM.S.DIST(F67,FALSE)</f>
        <v>0.12951759566589174</v>
      </c>
    </row>
    <row r="68" spans="6:7" x14ac:dyDescent="0.25">
      <c r="F68" s="13">
        <v>1.6</v>
      </c>
      <c r="G68" s="60">
        <f t="shared" si="1"/>
        <v>0.11092083467945554</v>
      </c>
    </row>
    <row r="69" spans="6:7" x14ac:dyDescent="0.25">
      <c r="F69" s="13">
        <v>1.7</v>
      </c>
      <c r="G69" s="60">
        <f t="shared" si="1"/>
        <v>9.4049077376886947E-2</v>
      </c>
    </row>
    <row r="70" spans="6:7" x14ac:dyDescent="0.25">
      <c r="F70" s="13">
        <v>1.8</v>
      </c>
      <c r="G70" s="60">
        <f t="shared" si="1"/>
        <v>7.8950158300894149E-2</v>
      </c>
    </row>
    <row r="71" spans="6:7" x14ac:dyDescent="0.25">
      <c r="F71" s="13">
        <v>1.9</v>
      </c>
      <c r="G71" s="60">
        <f t="shared" si="1"/>
        <v>6.5615814774676595E-2</v>
      </c>
    </row>
    <row r="72" spans="6:7" x14ac:dyDescent="0.25">
      <c r="F72" s="13">
        <v>2</v>
      </c>
      <c r="G72" s="60">
        <f t="shared" si="1"/>
        <v>5.3990966513188063E-2</v>
      </c>
    </row>
    <row r="73" spans="6:7" x14ac:dyDescent="0.25">
      <c r="F73" s="13">
        <v>2.1</v>
      </c>
      <c r="G73" s="60">
        <f t="shared" si="1"/>
        <v>4.3983595980427191E-2</v>
      </c>
    </row>
    <row r="74" spans="6:7" x14ac:dyDescent="0.25">
      <c r="F74" s="13">
        <v>2.2000000000000002</v>
      </c>
      <c r="G74" s="60">
        <f t="shared" si="1"/>
        <v>3.5474592846231424E-2</v>
      </c>
    </row>
    <row r="75" spans="6:7" x14ac:dyDescent="0.25">
      <c r="F75" s="13">
        <v>2.2999999999999998</v>
      </c>
      <c r="G75" s="60">
        <f t="shared" si="1"/>
        <v>2.8327037741601186E-2</v>
      </c>
    </row>
    <row r="76" spans="6:7" x14ac:dyDescent="0.25">
      <c r="F76" s="13">
        <v>2.4</v>
      </c>
      <c r="G76" s="60">
        <f t="shared" si="1"/>
        <v>2.2394530294842899E-2</v>
      </c>
    </row>
    <row r="77" spans="6:7" x14ac:dyDescent="0.25">
      <c r="F77" s="13">
        <v>2.5</v>
      </c>
      <c r="G77" s="60">
        <f t="shared" si="1"/>
        <v>1.752830049356854E-2</v>
      </c>
    </row>
    <row r="78" spans="6:7" x14ac:dyDescent="0.25">
      <c r="F78" s="13">
        <v>2.6</v>
      </c>
      <c r="G78" s="60">
        <f t="shared" si="1"/>
        <v>1.3582969233685613E-2</v>
      </c>
    </row>
    <row r="79" spans="6:7" x14ac:dyDescent="0.25">
      <c r="F79" s="13">
        <v>2.7</v>
      </c>
      <c r="G79" s="60">
        <f t="shared" si="1"/>
        <v>1.0420934814422592E-2</v>
      </c>
    </row>
    <row r="80" spans="6:7" x14ac:dyDescent="0.25">
      <c r="F80" s="13">
        <v>2.8</v>
      </c>
      <c r="G80" s="60">
        <f t="shared" si="1"/>
        <v>7.9154515829799686E-3</v>
      </c>
    </row>
    <row r="81" spans="6:7" x14ac:dyDescent="0.25">
      <c r="F81" s="13">
        <v>2.9</v>
      </c>
      <c r="G81" s="60">
        <f t="shared" si="1"/>
        <v>5.9525324197758538E-3</v>
      </c>
    </row>
    <row r="82" spans="6:7" x14ac:dyDescent="0.25">
      <c r="F82" s="13">
        <v>3</v>
      </c>
      <c r="G82" s="60">
        <f t="shared" si="1"/>
        <v>4.4318484119380075E-3</v>
      </c>
    </row>
    <row r="83" spans="6:7" x14ac:dyDescent="0.25">
      <c r="F83" s="13">
        <v>3.1</v>
      </c>
      <c r="G83" s="60">
        <f t="shared" si="1"/>
        <v>3.2668190561999182E-3</v>
      </c>
    </row>
    <row r="84" spans="6:7" x14ac:dyDescent="0.25">
      <c r="F84" s="13">
        <v>3.2</v>
      </c>
      <c r="G84" s="60">
        <f t="shared" si="1"/>
        <v>2.3840882014648404E-3</v>
      </c>
    </row>
    <row r="85" spans="6:7" x14ac:dyDescent="0.25">
      <c r="F85" s="13">
        <v>3.3</v>
      </c>
      <c r="G85" s="60">
        <f t="shared" si="1"/>
        <v>1.7225689390536812E-3</v>
      </c>
    </row>
    <row r="86" spans="6:7" x14ac:dyDescent="0.25">
      <c r="F86" s="13">
        <v>3.4</v>
      </c>
      <c r="G86" s="60">
        <f t="shared" si="1"/>
        <v>1.2322191684730199E-3</v>
      </c>
    </row>
    <row r="87" spans="6:7" x14ac:dyDescent="0.25">
      <c r="F87" s="13">
        <v>3.5</v>
      </c>
      <c r="G87" s="60">
        <f t="shared" si="1"/>
        <v>8.7268269504576015E-4</v>
      </c>
    </row>
    <row r="88" spans="6:7" x14ac:dyDescent="0.25">
      <c r="F88" s="13">
        <v>3.6</v>
      </c>
      <c r="G88" s="60">
        <f t="shared" si="1"/>
        <v>6.119019301137719E-4</v>
      </c>
    </row>
    <row r="89" spans="6:7" x14ac:dyDescent="0.25">
      <c r="F89" s="13">
        <v>3.7</v>
      </c>
      <c r="G89" s="60">
        <f t="shared" si="1"/>
        <v>4.2478027055075143E-4</v>
      </c>
    </row>
    <row r="90" spans="6:7" x14ac:dyDescent="0.25">
      <c r="F90" s="13">
        <v>3.8</v>
      </c>
      <c r="G90" s="60">
        <f t="shared" si="1"/>
        <v>2.9194692579146027E-4</v>
      </c>
    </row>
    <row r="91" spans="6:7" x14ac:dyDescent="0.25">
      <c r="F91" s="13">
        <v>3.9</v>
      </c>
      <c r="G91" s="60">
        <f t="shared" si="1"/>
        <v>1.9865547139277272E-4</v>
      </c>
    </row>
    <row r="92" spans="6:7" x14ac:dyDescent="0.25">
      <c r="F92" s="13">
        <v>4</v>
      </c>
      <c r="G92" s="60">
        <f t="shared" si="1"/>
        <v>1.3383022576488537E-4</v>
      </c>
    </row>
    <row r="93" spans="6:7" x14ac:dyDescent="0.25">
      <c r="F93" s="13">
        <v>4.0999999999999996</v>
      </c>
      <c r="G93" s="60">
        <f t="shared" si="1"/>
        <v>8.9261657177132928E-5</v>
      </c>
    </row>
    <row r="94" spans="6:7" x14ac:dyDescent="0.25">
      <c r="F94" s="13">
        <v>4.2</v>
      </c>
      <c r="G94" s="60">
        <f t="shared" si="1"/>
        <v>5.8943067756539855E-5</v>
      </c>
    </row>
    <row r="95" spans="6:7" x14ac:dyDescent="0.25">
      <c r="F95" s="13">
        <v>4.3</v>
      </c>
      <c r="G95" s="60">
        <f t="shared" si="1"/>
        <v>3.8535196742087129E-5</v>
      </c>
    </row>
    <row r="96" spans="6:7" x14ac:dyDescent="0.25">
      <c r="F96" s="13">
        <v>4.4000000000000004</v>
      </c>
      <c r="G96" s="60">
        <f t="shared" si="1"/>
        <v>2.4942471290053535E-5</v>
      </c>
    </row>
    <row r="97" spans="6:7" x14ac:dyDescent="0.25">
      <c r="F97" s="13">
        <v>4.5</v>
      </c>
      <c r="G97" s="60">
        <f t="shared" si="1"/>
        <v>1.5983741106905475E-5</v>
      </c>
    </row>
    <row r="98" spans="6:7" x14ac:dyDescent="0.25">
      <c r="F98" s="13">
        <v>4.5999999999999996</v>
      </c>
      <c r="G98" s="60">
        <f t="shared" si="1"/>
        <v>1.0140852065486758E-5</v>
      </c>
    </row>
    <row r="99" spans="6:7" x14ac:dyDescent="0.25">
      <c r="F99" s="13">
        <v>4.7</v>
      </c>
      <c r="G99" s="60">
        <f t="shared" si="1"/>
        <v>6.3698251788670899E-6</v>
      </c>
    </row>
    <row r="100" spans="6:7" x14ac:dyDescent="0.25">
      <c r="F100" s="13">
        <v>4.8</v>
      </c>
      <c r="G100" s="60">
        <f t="shared" si="1"/>
        <v>3.9612990910320753E-6</v>
      </c>
    </row>
    <row r="101" spans="6:7" x14ac:dyDescent="0.25">
      <c r="F101" s="13">
        <v>4.9000000000000004</v>
      </c>
      <c r="G101" s="60">
        <f t="shared" si="1"/>
        <v>2.4389607458933522E-6</v>
      </c>
    </row>
    <row r="102" spans="6:7" x14ac:dyDescent="0.25">
      <c r="F102" s="13">
        <v>5</v>
      </c>
      <c r="G102" s="60">
        <f t="shared" si="1"/>
        <v>1.4867195147342977E-6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7102-A10B-48FF-9435-ED5C186066AD}">
  <dimension ref="A1:E42"/>
  <sheetViews>
    <sheetView showGridLines="0" zoomScale="85" zoomScaleNormal="85" workbookViewId="0">
      <selection sqref="A1:B1"/>
    </sheetView>
  </sheetViews>
  <sheetFormatPr defaultRowHeight="15" x14ac:dyDescent="0.25"/>
  <cols>
    <col min="1" max="1" width="37.140625" bestFit="1" customWidth="1"/>
    <col min="2" max="2" width="17.7109375" customWidth="1"/>
    <col min="4" max="4" width="9.140625" style="11"/>
    <col min="5" max="5" width="9.140625" style="1"/>
  </cols>
  <sheetData>
    <row r="1" spans="1:5" x14ac:dyDescent="0.25">
      <c r="A1" s="154" t="s">
        <v>222</v>
      </c>
      <c r="B1" s="155"/>
      <c r="D1" s="30" t="s">
        <v>130</v>
      </c>
      <c r="E1" s="2" t="s">
        <v>131</v>
      </c>
    </row>
    <row r="2" spans="1:5" x14ac:dyDescent="0.25">
      <c r="A2" s="46" t="s">
        <v>129</v>
      </c>
      <c r="B2" s="2">
        <v>7</v>
      </c>
      <c r="D2" s="85">
        <v>0</v>
      </c>
      <c r="E2" s="60">
        <f>_xlfn.CHISQ.DIST(D2,$B$2,FALSE)</f>
        <v>0</v>
      </c>
    </row>
    <row r="3" spans="1:5" x14ac:dyDescent="0.25">
      <c r="A3" s="51"/>
      <c r="B3" s="52"/>
      <c r="D3" s="85">
        <v>0.5</v>
      </c>
      <c r="E3" s="60">
        <f t="shared" ref="E3:E42" si="0">_xlfn.CHISQ.DIST(D3,$B$2,FALSE)</f>
        <v>3.6615940788976876E-3</v>
      </c>
    </row>
    <row r="4" spans="1:5" x14ac:dyDescent="0.25">
      <c r="D4" s="85">
        <v>1</v>
      </c>
      <c r="E4" s="60">
        <f t="shared" si="0"/>
        <v>1.6131381634609556E-2</v>
      </c>
    </row>
    <row r="5" spans="1:5" x14ac:dyDescent="0.25">
      <c r="A5" s="4" t="s">
        <v>132</v>
      </c>
      <c r="B5" s="4" t="s">
        <v>133</v>
      </c>
      <c r="D5" s="85">
        <v>1.5</v>
      </c>
      <c r="E5" s="60">
        <f t="shared" si="0"/>
        <v>3.4619922631227436E-2</v>
      </c>
    </row>
    <row r="6" spans="1:5" x14ac:dyDescent="0.25">
      <c r="A6" s="49" t="s">
        <v>223</v>
      </c>
      <c r="B6" s="61">
        <f>_xlfn.CHISQ.DIST.RT(6,$B$2)</f>
        <v>0.53974935039555727</v>
      </c>
      <c r="D6" s="85">
        <v>2</v>
      </c>
      <c r="E6" s="60">
        <f t="shared" si="0"/>
        <v>5.5347666322745959E-2</v>
      </c>
    </row>
    <row r="7" spans="1:5" x14ac:dyDescent="0.25">
      <c r="A7" s="43" t="s">
        <v>224</v>
      </c>
      <c r="B7" s="45">
        <f>_xlfn.CHISQ.DIST(8,$B$2,TRUE)</f>
        <v>0.66740609740069212</v>
      </c>
      <c r="D7" s="85">
        <v>2.5</v>
      </c>
      <c r="E7" s="60">
        <f t="shared" si="0"/>
        <v>7.5300996945075568E-2</v>
      </c>
    </row>
    <row r="8" spans="1:5" x14ac:dyDescent="0.25">
      <c r="A8" s="43" t="s">
        <v>225</v>
      </c>
      <c r="B8" s="47">
        <f>_xlfn.CHISQ.INV.RT(5%,$B$2)</f>
        <v>14.067140449340167</v>
      </c>
      <c r="D8" s="85">
        <v>3</v>
      </c>
      <c r="E8" s="60">
        <f t="shared" si="0"/>
        <v>9.2508197882261556E-2</v>
      </c>
    </row>
    <row r="9" spans="1:5" x14ac:dyDescent="0.25">
      <c r="A9" s="43" t="s">
        <v>226</v>
      </c>
      <c r="B9" s="47">
        <f>_xlfn.CHISQ.INV(90%,$B$2)</f>
        <v>12.017036623780532</v>
      </c>
      <c r="D9" s="85">
        <v>3.5</v>
      </c>
      <c r="E9" s="60">
        <f t="shared" si="0"/>
        <v>0.10591892743038006</v>
      </c>
    </row>
    <row r="10" spans="1:5" x14ac:dyDescent="0.25">
      <c r="D10" s="85">
        <v>4</v>
      </c>
      <c r="E10" s="60">
        <f t="shared" si="0"/>
        <v>0.11518072856146787</v>
      </c>
    </row>
    <row r="11" spans="1:5" x14ac:dyDescent="0.25">
      <c r="D11" s="85">
        <v>4.5</v>
      </c>
      <c r="E11" s="60">
        <f t="shared" si="0"/>
        <v>0.12041691783892475</v>
      </c>
    </row>
    <row r="12" spans="1:5" x14ac:dyDescent="0.25">
      <c r="A12" s="1"/>
      <c r="B12" s="1"/>
      <c r="D12" s="85">
        <v>5</v>
      </c>
      <c r="E12" s="60">
        <f t="shared" si="0"/>
        <v>0.12204152134938739</v>
      </c>
    </row>
    <row r="13" spans="1:5" x14ac:dyDescent="0.25">
      <c r="B13" s="1"/>
      <c r="D13" s="85">
        <v>5.5</v>
      </c>
      <c r="E13" s="60">
        <f t="shared" si="0"/>
        <v>0.12061899490769887</v>
      </c>
    </row>
    <row r="14" spans="1:5" x14ac:dyDescent="0.25">
      <c r="B14" s="1"/>
      <c r="D14" s="85">
        <v>6</v>
      </c>
      <c r="E14" s="60">
        <f t="shared" si="0"/>
        <v>0.11676521599113954</v>
      </c>
    </row>
    <row r="15" spans="1:5" x14ac:dyDescent="0.25">
      <c r="B15" s="1"/>
      <c r="D15" s="85">
        <v>6.5</v>
      </c>
      <c r="E15" s="60">
        <f t="shared" si="0"/>
        <v>0.11108236874967573</v>
      </c>
    </row>
    <row r="16" spans="1:5" x14ac:dyDescent="0.25">
      <c r="B16" s="1"/>
      <c r="D16" s="85">
        <v>7</v>
      </c>
      <c r="E16" s="60">
        <f t="shared" si="0"/>
        <v>0.10411977480817197</v>
      </c>
    </row>
    <row r="17" spans="4:5" x14ac:dyDescent="0.25">
      <c r="D17" s="85">
        <v>7.5</v>
      </c>
      <c r="E17" s="60">
        <f t="shared" si="0"/>
        <v>9.6353536222672967E-2</v>
      </c>
    </row>
    <row r="18" spans="4:5" x14ac:dyDescent="0.25">
      <c r="D18" s="85">
        <v>8</v>
      </c>
      <c r="E18" s="60">
        <f t="shared" si="0"/>
        <v>8.8179137510792774E-2</v>
      </c>
    </row>
    <row r="19" spans="4:5" x14ac:dyDescent="0.25">
      <c r="D19" s="85">
        <v>8.5</v>
      </c>
      <c r="E19" s="60">
        <f t="shared" si="0"/>
        <v>7.9912473414960522E-2</v>
      </c>
    </row>
    <row r="20" spans="4:5" x14ac:dyDescent="0.25">
      <c r="D20" s="85">
        <v>9</v>
      </c>
      <c r="E20" s="60">
        <f t="shared" si="0"/>
        <v>7.1795944273395709E-2</v>
      </c>
    </row>
    <row r="21" spans="4:5" x14ac:dyDescent="0.25">
      <c r="D21" s="85">
        <v>9.5</v>
      </c>
      <c r="E21" s="60">
        <f t="shared" si="0"/>
        <v>6.4007229709554969E-2</v>
      </c>
    </row>
    <row r="22" spans="4:5" x14ac:dyDescent="0.25">
      <c r="D22" s="85">
        <v>10</v>
      </c>
      <c r="E22" s="60">
        <f t="shared" si="0"/>
        <v>5.6669110683468943E-2</v>
      </c>
    </row>
    <row r="23" spans="4:5" x14ac:dyDescent="0.25">
      <c r="D23" s="85">
        <v>10.5</v>
      </c>
      <c r="E23" s="60">
        <f t="shared" si="0"/>
        <v>4.9859282494261081E-2</v>
      </c>
    </row>
    <row r="24" spans="4:5" x14ac:dyDescent="0.25">
      <c r="D24" s="85">
        <v>11</v>
      </c>
      <c r="E24" s="60">
        <f t="shared" si="0"/>
        <v>4.3619518695112963E-2</v>
      </c>
    </row>
    <row r="25" spans="4:5" x14ac:dyDescent="0.25">
      <c r="D25" s="85">
        <v>11.5</v>
      </c>
      <c r="E25" s="60">
        <f t="shared" si="0"/>
        <v>3.7963840203407165E-2</v>
      </c>
    </row>
    <row r="26" spans="4:5" x14ac:dyDescent="0.25">
      <c r="D26" s="85">
        <v>12</v>
      </c>
      <c r="E26" s="60">
        <f t="shared" si="0"/>
        <v>3.2885544001058489E-2</v>
      </c>
    </row>
    <row r="27" spans="4:5" x14ac:dyDescent="0.25">
      <c r="D27" s="85">
        <v>12.5</v>
      </c>
      <c r="E27" s="60">
        <f t="shared" si="0"/>
        <v>2.83630759160509E-2</v>
      </c>
    </row>
    <row r="28" spans="4:5" x14ac:dyDescent="0.25">
      <c r="D28" s="85">
        <v>13</v>
      </c>
      <c r="E28" s="60">
        <f t="shared" si="0"/>
        <v>2.4364811465178757E-2</v>
      </c>
    </row>
    <row r="29" spans="4:5" x14ac:dyDescent="0.25">
      <c r="D29" s="85">
        <v>13.5</v>
      </c>
      <c r="E29" s="60">
        <f t="shared" si="0"/>
        <v>2.0852852684496753E-2</v>
      </c>
    </row>
    <row r="30" spans="4:5" x14ac:dyDescent="0.25">
      <c r="D30" s="85">
        <v>14</v>
      </c>
      <c r="E30" s="60">
        <f t="shared" si="0"/>
        <v>1.7785968656399267E-2</v>
      </c>
    </row>
    <row r="31" spans="4:5" x14ac:dyDescent="0.25">
      <c r="D31" s="85">
        <v>14.5</v>
      </c>
      <c r="E31" s="60">
        <f t="shared" si="0"/>
        <v>1.5121811446552865E-2</v>
      </c>
    </row>
    <row r="32" spans="4:5" x14ac:dyDescent="0.25">
      <c r="D32" s="85">
        <v>15</v>
      </c>
      <c r="E32" s="60">
        <f t="shared" si="0"/>
        <v>1.2818533423821167E-2</v>
      </c>
    </row>
    <row r="33" spans="4:5" x14ac:dyDescent="0.25">
      <c r="D33" s="85">
        <v>15.5</v>
      </c>
      <c r="E33" s="60">
        <f t="shared" si="0"/>
        <v>1.083592068364625E-2</v>
      </c>
    </row>
    <row r="34" spans="4:5" x14ac:dyDescent="0.25">
      <c r="D34" s="85">
        <v>16</v>
      </c>
      <c r="E34" s="60">
        <f t="shared" si="0"/>
        <v>9.136143412216172E-3</v>
      </c>
    </row>
    <row r="35" spans="4:5" x14ac:dyDescent="0.25">
      <c r="D35" s="85">
        <v>16.5</v>
      </c>
      <c r="E35" s="60">
        <f t="shared" si="0"/>
        <v>7.6842094074924781E-3</v>
      </c>
    </row>
    <row r="36" spans="4:5" x14ac:dyDescent="0.25">
      <c r="D36" s="85">
        <v>17</v>
      </c>
      <c r="E36" s="60">
        <f t="shared" si="0"/>
        <v>6.4481927955769855E-3</v>
      </c>
    </row>
    <row r="37" spans="4:5" x14ac:dyDescent="0.25">
      <c r="D37" s="85">
        <v>17.5</v>
      </c>
      <c r="E37" s="60">
        <f t="shared" si="0"/>
        <v>5.3992969302881014E-3</v>
      </c>
    </row>
    <row r="38" spans="4:5" x14ac:dyDescent="0.25">
      <c r="D38" s="85">
        <v>18</v>
      </c>
      <c r="E38" s="60">
        <f t="shared" si="0"/>
        <v>4.5117988830746317E-3</v>
      </c>
    </row>
    <row r="39" spans="4:5" x14ac:dyDescent="0.25">
      <c r="D39" s="85">
        <v>18.5</v>
      </c>
      <c r="E39" s="60">
        <f t="shared" si="0"/>
        <v>3.7629129375096899E-3</v>
      </c>
    </row>
    <row r="40" spans="4:5" x14ac:dyDescent="0.25">
      <c r="D40" s="85">
        <v>19</v>
      </c>
      <c r="E40" s="60">
        <f t="shared" si="0"/>
        <v>3.1326020735592563E-3</v>
      </c>
    </row>
    <row r="41" spans="4:5" x14ac:dyDescent="0.25">
      <c r="D41" s="85">
        <v>19.5</v>
      </c>
      <c r="E41" s="60">
        <f t="shared" si="0"/>
        <v>2.6033594537907497E-3</v>
      </c>
    </row>
    <row r="42" spans="4:5" x14ac:dyDescent="0.25">
      <c r="D42" s="85">
        <v>20</v>
      </c>
      <c r="E42" s="60">
        <f t="shared" si="0"/>
        <v>2.1599762549570989E-3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D511CDFD32BAE4DB6984ACFD1117AAF" ma:contentTypeVersion="15" ma:contentTypeDescription="Crie um novo documento." ma:contentTypeScope="" ma:versionID="07c67dcdde0dcbff5de33d60004e61d8">
  <xsd:schema xmlns:xsd="http://www.w3.org/2001/XMLSchema" xmlns:xs="http://www.w3.org/2001/XMLSchema" xmlns:p="http://schemas.microsoft.com/office/2006/metadata/properties" xmlns:ns2="5e253ad8-99bc-4895-b377-eab5d2679348" xmlns:ns3="45bd9b4a-47bd-4c71-9096-100877aa1038" targetNamespace="http://schemas.microsoft.com/office/2006/metadata/properties" ma:root="true" ma:fieldsID="414fa5f9b220de6bad5ea4783bf1e949" ns2:_="" ns3:_="">
    <xsd:import namespace="5e253ad8-99bc-4895-b377-eab5d2679348"/>
    <xsd:import namespace="45bd9b4a-47bd-4c71-9096-100877aa1038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253ad8-99bc-4895-b377-eab5d267934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cf329bc3-ce7e-4e75-9c56-962f8f350e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d9b4a-47bd-4c71-9096-100877aa1038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1c5c36c-1c45-4119-aa3b-41677bff21c6}" ma:internalName="TaxCatchAll" ma:showField="CatchAllData" ma:web="45bd9b4a-47bd-4c71-9096-100877aa1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3CCE47-ED42-417E-BE90-5B290F656231}"/>
</file>

<file path=customXml/itemProps2.xml><?xml version="1.0" encoding="utf-8"?>
<ds:datastoreItem xmlns:ds="http://schemas.openxmlformats.org/officeDocument/2006/customXml" ds:itemID="{28737F65-BBE7-426D-AA84-FC52FAD841C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Tabela de Frequências</vt:lpstr>
      <vt:lpstr>Descritivas - Quantitativa</vt:lpstr>
      <vt:lpstr>Associação - Qui²</vt:lpstr>
      <vt:lpstr>Correlação de Pearson</vt:lpstr>
      <vt:lpstr>Distribuição Binomial</vt:lpstr>
      <vt:lpstr>Distribuição Binomial Negativa</vt:lpstr>
      <vt:lpstr>Distribuição Poisson</vt:lpstr>
      <vt:lpstr>Distribuição Normal</vt:lpstr>
      <vt:lpstr>Distribuição Qui-Quadrado</vt:lpstr>
      <vt:lpstr>Distribuição t Student</vt:lpstr>
      <vt:lpstr>Distribuição F Snedecor</vt:lpstr>
      <vt:lpstr>Teste Z Médias</vt:lpstr>
      <vt:lpstr>Teste t Médias</vt:lpstr>
      <vt:lpstr>Teste Qui² Uma Amostra</vt:lpstr>
      <vt:lpstr>Teste F Variâncias</vt:lpstr>
      <vt:lpstr>Intervalo de Confiança - Média</vt:lpstr>
      <vt:lpstr>Teste t Duas Amostras Indep.</vt:lpstr>
      <vt:lpstr>Tabela Normal Padrão</vt:lpstr>
      <vt:lpstr>Tabela Qui²</vt:lpstr>
      <vt:lpstr>Tabela t de Student</vt:lpstr>
      <vt:lpstr>Tabela F de Snedecor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T. Junior</dc:creator>
  <cp:lastModifiedBy>Wilson Tarantin Junior</cp:lastModifiedBy>
  <dcterms:created xsi:type="dcterms:W3CDTF">2021-03-14T12:58:54Z</dcterms:created>
  <dcterms:modified xsi:type="dcterms:W3CDTF">2024-04-19T12:33:36Z</dcterms:modified>
</cp:coreProperties>
</file>