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_\Downloads\"/>
    </mc:Choice>
  </mc:AlternateContent>
  <bookViews>
    <workbookView xWindow="0" yWindow="0" windowWidth="19200" windowHeight="6940" tabRatio="993" activeTab="4" xr2:uid="{00000000-000D-0000-FFFF-FFFF00000000}"/>
  </bookViews>
  <sheets>
    <sheet name="Calibracao" sheetId="1" r:id="rId1"/>
    <sheet name="Talio" sheetId="2" r:id="rId2"/>
    <sheet name="Bismuto" sheetId="3" r:id="rId3"/>
    <sheet name="Auger" sheetId="4" r:id="rId4"/>
    <sheet name="Resolução Energia" sheetId="6" r:id="rId5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5" i="6" l="1"/>
  <c r="I6" i="6"/>
  <c r="I7" i="6"/>
  <c r="I4" i="6"/>
  <c r="H3" i="6" l="1"/>
  <c r="J3" i="6" s="1"/>
  <c r="E3" i="6"/>
  <c r="G5" i="6"/>
  <c r="G6" i="6"/>
  <c r="G7" i="6"/>
  <c r="G4" i="6"/>
  <c r="F5" i="6"/>
  <c r="F6" i="6"/>
  <c r="F7" i="6"/>
  <c r="F4" i="6"/>
  <c r="I3" i="6"/>
  <c r="D41" i="2"/>
  <c r="X18" i="3"/>
  <c r="W18" i="3"/>
  <c r="W17" i="3"/>
  <c r="T11" i="3" s="1"/>
  <c r="R17" i="3"/>
  <c r="X17" i="3" s="1"/>
  <c r="Q17" i="3"/>
  <c r="P17" i="3"/>
  <c r="V17" i="3" s="1"/>
  <c r="T10" i="3" s="1"/>
  <c r="X13" i="3"/>
  <c r="W13" i="3"/>
  <c r="T13" i="3"/>
  <c r="Z12" i="3"/>
  <c r="Y12" i="3"/>
  <c r="X12" i="3"/>
  <c r="W12" i="3"/>
  <c r="X11" i="3"/>
  <c r="W11" i="3"/>
  <c r="Y11" i="3" s="1"/>
  <c r="Z11" i="3" s="1"/>
  <c r="X10" i="3"/>
  <c r="W10" i="3"/>
  <c r="Y10" i="3" s="1"/>
  <c r="Z10" i="3" s="1"/>
  <c r="X3" i="3"/>
  <c r="AB3" i="3" s="1"/>
  <c r="W3" i="3"/>
  <c r="Z3" i="3" s="1"/>
  <c r="B41" i="2"/>
  <c r="A41" i="2"/>
  <c r="I24" i="1"/>
  <c r="H24" i="1"/>
  <c r="K24" i="1" s="1"/>
  <c r="E18" i="1"/>
  <c r="D18" i="1"/>
  <c r="F18" i="1" s="1"/>
  <c r="E15" i="1"/>
  <c r="D15" i="1"/>
  <c r="F15" i="1" s="1"/>
  <c r="E12" i="1"/>
  <c r="D12" i="1" s="1"/>
  <c r="F12" i="1" s="1"/>
  <c r="E9" i="1"/>
  <c r="D9" i="1" s="1"/>
  <c r="F9" i="1" s="1"/>
  <c r="E6" i="1"/>
  <c r="D6" i="1"/>
  <c r="F6" i="1" s="1"/>
  <c r="E2" i="1"/>
  <c r="D2" i="1"/>
  <c r="F2" i="1" s="1"/>
  <c r="H4" i="6" l="1"/>
  <c r="J4" i="6" s="1"/>
  <c r="H5" i="6"/>
  <c r="K6" i="6"/>
  <c r="H7" i="6"/>
  <c r="J7" i="6" s="1"/>
  <c r="H6" i="6"/>
  <c r="J6" i="6" s="1"/>
  <c r="K3" i="6"/>
  <c r="K4" i="6"/>
  <c r="AA3" i="3"/>
  <c r="J24" i="1"/>
  <c r="F24" i="1" s="1"/>
  <c r="C41" i="2"/>
  <c r="Y3" i="3"/>
  <c r="V18" i="3"/>
  <c r="T12" i="3" s="1"/>
  <c r="K7" i="6" l="1"/>
  <c r="K5" i="6"/>
  <c r="J5" i="6"/>
  <c r="R11" i="3"/>
  <c r="U11" i="3" s="1"/>
  <c r="S10" i="3"/>
  <c r="S13" i="3"/>
  <c r="R10" i="3"/>
  <c r="U10" i="3" s="1"/>
  <c r="R12" i="3"/>
  <c r="U12" i="3" s="1"/>
  <c r="V12" i="3" s="1"/>
  <c r="S11" i="3"/>
  <c r="R13" i="3"/>
  <c r="U13" i="3" s="1"/>
  <c r="V13" i="3" s="1"/>
  <c r="S12" i="3"/>
  <c r="V11" i="3" l="1"/>
  <c r="V10" i="3"/>
</calcChain>
</file>

<file path=xl/sharedStrings.xml><?xml version="1.0" encoding="utf-8"?>
<sst xmlns="http://schemas.openxmlformats.org/spreadsheetml/2006/main" count="111" uniqueCount="65">
  <si>
    <t>Pulso</t>
  </si>
  <si>
    <t>Canal</t>
  </si>
  <si>
    <t>Contagens</t>
  </si>
  <si>
    <t>sigma estatistico</t>
  </si>
  <si>
    <t>Centróide</t>
  </si>
  <si>
    <t>Erro Centroide</t>
  </si>
  <si>
    <t>Ponto Graduador</t>
  </si>
  <si>
    <t>Conversao</t>
  </si>
  <si>
    <t>FWHM</t>
  </si>
  <si>
    <t>Centroide</t>
  </si>
  <si>
    <t>Energia</t>
  </si>
  <si>
    <t>K</t>
  </si>
  <si>
    <t>Erro K</t>
  </si>
  <si>
    <t>a'</t>
  </si>
  <si>
    <t>b'</t>
  </si>
  <si>
    <t>Calibracao Tensao-Canal</t>
  </si>
  <si>
    <t>a</t>
  </si>
  <si>
    <t>erro a</t>
  </si>
  <si>
    <t>b</t>
  </si>
  <si>
    <t>erro b</t>
  </si>
  <si>
    <t>Raw</t>
  </si>
  <si>
    <t>Ruído</t>
  </si>
  <si>
    <t>Sinal</t>
  </si>
  <si>
    <t>Pico</t>
  </si>
  <si>
    <t xml:space="preserve">Canal </t>
  </si>
  <si>
    <t>N</t>
  </si>
  <si>
    <t xml:space="preserve">b </t>
  </si>
  <si>
    <t>Erro centróide</t>
  </si>
  <si>
    <t>sigma</t>
  </si>
  <si>
    <t>erro sigma</t>
  </si>
  <si>
    <t>Ns</t>
  </si>
  <si>
    <t>erro Ns</t>
  </si>
  <si>
    <t>delta E</t>
  </si>
  <si>
    <t>erro</t>
  </si>
  <si>
    <t>K(menos energético)</t>
  </si>
  <si>
    <t>centróide</t>
  </si>
  <si>
    <t>E</t>
  </si>
  <si>
    <t>Eteor</t>
  </si>
  <si>
    <t>Desv.</t>
  </si>
  <si>
    <t>Desv #sig</t>
  </si>
  <si>
    <t>Sigma Ns</t>
  </si>
  <si>
    <t>NL/NK</t>
  </si>
  <si>
    <t>L+M(menos energético)</t>
  </si>
  <si>
    <t>-</t>
  </si>
  <si>
    <t>L</t>
  </si>
  <si>
    <t>M</t>
  </si>
  <si>
    <t>Gamma</t>
  </si>
  <si>
    <t>EeK</t>
  </si>
  <si>
    <t>EeL</t>
  </si>
  <si>
    <t>EeM</t>
  </si>
  <si>
    <t>K(mais energético)</t>
  </si>
  <si>
    <t>L(mais energético)</t>
  </si>
  <si>
    <t>err</t>
  </si>
  <si>
    <t>Conversão K 1634 keV</t>
  </si>
  <si>
    <t>Conversão K 570 keV</t>
  </si>
  <si>
    <t>$^{207}Bi$</t>
  </si>
  <si>
    <t>Conversão K</t>
  </si>
  <si>
    <t>$^{137}Cs$</t>
  </si>
  <si>
    <t>Resolução (\%)</t>
  </si>
  <si>
    <t>FWHM (KeV)</t>
  </si>
  <si>
    <t>E (KeV)</t>
  </si>
  <si>
    <t>C</t>
  </si>
  <si>
    <t>Fonte</t>
  </si>
  <si>
    <t>Conversão L+M 570 keV</t>
  </si>
  <si>
    <t>Conversão L+M 1634 keV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</si>
</sst>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2" x14ac:knownFonts="1">
    <font>
      <sz val="11"/>
      <color rgb="FF000000"/>
      <name val="Calibri"/>
      <family val="2"/>
      <charset val="1"/>
    </font>
    <font>
      <sz val="11"/>
      <color rgb="FF8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/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2" borderId="0" xfId="0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165" fontId="0" fillId="3" borderId="0" xfId="0" applyNumberFormat="1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opLeftCell="A10" zoomScaleNormal="100" workbookViewId="0">
      <selection activeCell="F24" sqref="F24"/>
    </sheetView>
  </sheetViews>
  <sheetFormatPr defaultRowHeight="14.5" x14ac:dyDescent="0.35"/>
  <cols>
    <col min="1" max="2" width="8.54296875"/>
    <col min="3" max="3" width="12.7265625"/>
    <col min="4" max="4" width="16.08984375"/>
    <col min="5" max="5" width="15.54296875"/>
    <col min="6" max="6" width="14.453125"/>
    <col min="7" max="1025" width="8.54296875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18">
        <v>0.1</v>
      </c>
      <c r="B2" s="1">
        <v>20</v>
      </c>
      <c r="C2" s="1">
        <v>38</v>
      </c>
      <c r="D2" s="19">
        <f>SQRT((POWER((B2-E2),2)*C2+POWER((B3-E2),2)*C3+POWER((B4-E2),2)*C4+POWER((B5-E2),2)*C5)/SUM(C2:C5))</f>
        <v>0.64360105495582876</v>
      </c>
      <c r="E2" s="19">
        <f>(B2*C2+B3*C3+B4*C4+B5*C5)/(SUM(C2:C5))</f>
        <v>21.471674876847292</v>
      </c>
      <c r="F2" s="19">
        <f>D2/SQRT(SUM(C2:C5))</f>
        <v>2.2585969257828763E-2</v>
      </c>
    </row>
    <row r="3" spans="1:6" x14ac:dyDescent="0.35">
      <c r="A3" s="18"/>
      <c r="B3" s="1">
        <v>21</v>
      </c>
      <c r="C3" s="1">
        <v>382</v>
      </c>
      <c r="D3" s="19"/>
      <c r="E3" s="19"/>
      <c r="F3" s="19"/>
    </row>
    <row r="4" spans="1:6" x14ac:dyDescent="0.35">
      <c r="A4" s="18"/>
      <c r="B4" s="1">
        <v>22</v>
      </c>
      <c r="C4" s="1">
        <v>363</v>
      </c>
      <c r="D4" s="19"/>
      <c r="E4" s="19"/>
      <c r="F4" s="19"/>
    </row>
    <row r="5" spans="1:6" x14ac:dyDescent="0.35">
      <c r="A5" s="18"/>
      <c r="B5" s="1">
        <v>23</v>
      </c>
      <c r="C5" s="1">
        <v>29</v>
      </c>
      <c r="D5" s="19"/>
      <c r="E5" s="19"/>
      <c r="F5" s="19"/>
    </row>
    <row r="6" spans="1:6" x14ac:dyDescent="0.35">
      <c r="A6" s="18">
        <v>0.3</v>
      </c>
      <c r="B6" s="1">
        <v>64</v>
      </c>
      <c r="C6" s="1">
        <v>121</v>
      </c>
      <c r="D6" s="19">
        <f>SQRT((POWER((B6-E6),2)*C6+POWER((B7-E6),2)*C7+POWER((B8-E6),2)*C8)/SUM(C6:C8))</f>
        <v>0.61469116016393355</v>
      </c>
      <c r="E6" s="21">
        <f>(B6*C6+B7*C7+B8*C8)/(SUM(C6:C8))</f>
        <v>65.083437110834367</v>
      </c>
      <c r="F6" s="19">
        <f>D6/SQRT(SUM(C6:C8))</f>
        <v>2.1691979981008913E-2</v>
      </c>
    </row>
    <row r="7" spans="1:6" x14ac:dyDescent="0.35">
      <c r="A7" s="18"/>
      <c r="B7" s="1">
        <v>65</v>
      </c>
      <c r="C7" s="1">
        <v>494</v>
      </c>
      <c r="D7" s="19"/>
      <c r="E7" s="21"/>
      <c r="F7" s="19"/>
    </row>
    <row r="8" spans="1:6" x14ac:dyDescent="0.35">
      <c r="A8" s="18"/>
      <c r="B8" s="1">
        <v>66</v>
      </c>
      <c r="C8" s="1">
        <v>188</v>
      </c>
      <c r="D8" s="19"/>
      <c r="E8" s="21"/>
      <c r="F8" s="19"/>
    </row>
    <row r="9" spans="1:6" x14ac:dyDescent="0.35">
      <c r="A9" s="20">
        <v>0.5</v>
      </c>
      <c r="B9" s="1">
        <v>110</v>
      </c>
      <c r="C9" s="1">
        <v>132</v>
      </c>
      <c r="D9" s="19">
        <f>SQRT((POWER((B9-E9),2)*C9+POWER((B10-E9),2)*C10+POWER(B11-E9,2)*C11)/SUM(C9:C11))</f>
        <v>0.62995483661343943</v>
      </c>
      <c r="E9" s="19">
        <f>(B9*C9+B10*C10+B11*C11)/(SUM(C9:C11))</f>
        <v>111.07347447073475</v>
      </c>
      <c r="F9" s="19">
        <f>D9/SQRT(SUM(C9:C11))</f>
        <v>2.2230623425777141E-2</v>
      </c>
    </row>
    <row r="10" spans="1:6" x14ac:dyDescent="0.35">
      <c r="A10" s="20"/>
      <c r="B10" s="1">
        <v>111</v>
      </c>
      <c r="C10" s="1">
        <v>480</v>
      </c>
      <c r="D10" s="19"/>
      <c r="E10" s="19"/>
      <c r="F10" s="19"/>
    </row>
    <row r="11" spans="1:6" x14ac:dyDescent="0.35">
      <c r="A11" s="20"/>
      <c r="B11" s="1">
        <v>112</v>
      </c>
      <c r="C11" s="1">
        <v>191</v>
      </c>
      <c r="D11" s="19"/>
      <c r="E11" s="19"/>
      <c r="F11" s="19"/>
    </row>
    <row r="12" spans="1:6" x14ac:dyDescent="0.35">
      <c r="A12" s="18">
        <v>0.7</v>
      </c>
      <c r="B12" s="1">
        <v>152</v>
      </c>
      <c r="C12" s="1">
        <v>187</v>
      </c>
      <c r="D12" s="19">
        <f>SQRT((POWER((B12-E12),2)*C12+POWER((B13-E12),2)*C13+POWER(B14-E12,2)*C14)/SUM(C12:C14))</f>
        <v>0.63702540715324474</v>
      </c>
      <c r="E12" s="19">
        <f>(B12*C12+B13*C13+B14*C14)/(SUM(C12:C14))</f>
        <v>152.94117647058823</v>
      </c>
      <c r="F12" s="19">
        <f>D12/SQRT(SUM(C12:C15))</f>
        <v>2.0832958497102285E-2</v>
      </c>
    </row>
    <row r="13" spans="1:6" x14ac:dyDescent="0.35">
      <c r="A13" s="18"/>
      <c r="B13" s="1">
        <v>153</v>
      </c>
      <c r="C13" s="1">
        <v>472</v>
      </c>
      <c r="D13" s="19"/>
      <c r="E13" s="19"/>
      <c r="F13" s="19"/>
    </row>
    <row r="14" spans="1:6" x14ac:dyDescent="0.35">
      <c r="A14" s="18"/>
      <c r="B14" s="1">
        <v>154</v>
      </c>
      <c r="C14" s="1">
        <v>140</v>
      </c>
      <c r="D14" s="19"/>
      <c r="E14" s="19"/>
      <c r="F14" s="19"/>
    </row>
    <row r="15" spans="1:6" x14ac:dyDescent="0.35">
      <c r="A15" s="18">
        <v>0.9</v>
      </c>
      <c r="B15" s="1">
        <v>197</v>
      </c>
      <c r="C15" s="1">
        <v>136</v>
      </c>
      <c r="D15" s="19">
        <f>SQRT((POWER((B15-E15),2)*C15+POWER((B16-E15),2)*C16+POWER(B17-E15,2)*C17)/SUM(C15:C17))</f>
        <v>0.59945631472517569</v>
      </c>
      <c r="E15" s="19">
        <f>(B15*C15+B16*C16+B17*C17)/(SUM(C15:C17))</f>
        <v>198.00520833333334</v>
      </c>
      <c r="F15" s="19">
        <f>D15/SQRT(SUM(C15:C17))</f>
        <v>2.1631016542125077E-2</v>
      </c>
    </row>
    <row r="16" spans="1:6" x14ac:dyDescent="0.35">
      <c r="A16" s="18"/>
      <c r="B16" s="1">
        <v>198</v>
      </c>
      <c r="C16" s="1">
        <v>492</v>
      </c>
      <c r="D16" s="19"/>
      <c r="E16" s="19"/>
      <c r="F16" s="19"/>
    </row>
    <row r="17" spans="1:11" x14ac:dyDescent="0.35">
      <c r="A17" s="18"/>
      <c r="B17" s="1">
        <v>199</v>
      </c>
      <c r="C17" s="1">
        <v>140</v>
      </c>
      <c r="D17" s="19"/>
      <c r="E17" s="19"/>
      <c r="F17" s="19"/>
    </row>
    <row r="18" spans="1:11" x14ac:dyDescent="0.35">
      <c r="A18" s="18">
        <v>1.1000000000000001</v>
      </c>
      <c r="B18" s="1">
        <v>241</v>
      </c>
      <c r="C18" s="1">
        <v>154</v>
      </c>
      <c r="D18" s="19">
        <f>SQRT((POWER((B18-E18),2)*C18+POWER((B19-E18),2)*C19+POWER(B20-E18,2)*C20)/SUM(C18:C20))</f>
        <v>0.62956592705577619</v>
      </c>
      <c r="E18" s="19">
        <f>(B18*C18+B19*C19+B20*C20)/(SUM(C18:C20))</f>
        <v>242.01246882793018</v>
      </c>
      <c r="F18" s="19">
        <f>D18/SQRT(SUM(C18:C20))</f>
        <v>2.2230745725194487E-2</v>
      </c>
    </row>
    <row r="19" spans="1:11" x14ac:dyDescent="0.35">
      <c r="A19" s="18"/>
      <c r="B19" s="1">
        <v>242</v>
      </c>
      <c r="C19" s="1">
        <v>484</v>
      </c>
      <c r="D19" s="19"/>
      <c r="E19" s="19"/>
      <c r="F19" s="19"/>
    </row>
    <row r="20" spans="1:11" x14ac:dyDescent="0.35">
      <c r="A20" s="18"/>
      <c r="B20" s="1">
        <v>243</v>
      </c>
      <c r="C20" s="1">
        <v>164</v>
      </c>
      <c r="D20" s="19"/>
      <c r="E20" s="19"/>
      <c r="F20" s="19"/>
    </row>
    <row r="22" spans="1:11" x14ac:dyDescent="0.35">
      <c r="A22" s="17" t="s">
        <v>6</v>
      </c>
      <c r="B22" s="17"/>
      <c r="C22" s="17"/>
      <c r="H22" s="17" t="s">
        <v>7</v>
      </c>
      <c r="I22" s="17"/>
      <c r="J22" s="17"/>
      <c r="K22" s="17"/>
    </row>
    <row r="23" spans="1:11" x14ac:dyDescent="0.35">
      <c r="A23" s="1" t="s">
        <v>8</v>
      </c>
      <c r="B23" s="1" t="s">
        <v>9</v>
      </c>
      <c r="C23" s="2" t="s">
        <v>5</v>
      </c>
      <c r="D23" s="1" t="s">
        <v>10</v>
      </c>
      <c r="H23" s="1" t="s">
        <v>11</v>
      </c>
      <c r="I23" s="1" t="s">
        <v>12</v>
      </c>
      <c r="J23" s="1" t="s">
        <v>13</v>
      </c>
      <c r="K23" s="1" t="s">
        <v>14</v>
      </c>
    </row>
    <row r="24" spans="1:11" x14ac:dyDescent="0.35">
      <c r="A24" s="1">
        <v>5.88</v>
      </c>
      <c r="B24" s="1">
        <v>116.19</v>
      </c>
      <c r="C24" s="2">
        <v>4.3999999999999997E-2</v>
      </c>
      <c r="D24" s="1">
        <v>620</v>
      </c>
      <c r="F24">
        <f>J24*B24+K24</f>
        <v>620.00000000000011</v>
      </c>
      <c r="H24" s="1">
        <f>D24/(A28*B24+C28)</f>
        <v>1.1710022455044626</v>
      </c>
      <c r="I24" s="1">
        <f>SQRT(POWER((B24*D24*B28/POWER(A28*B24+C28,2)),2)+POWER((D24*D28/POWER(A28*B24+C28,2)),2)+POWER((A28*D24*C24/POWER(A28*B24+C28,2)),2))</f>
        <v>4.9849537537035812E-4</v>
      </c>
      <c r="J24" s="1">
        <f>H24*A28</f>
        <v>5.3113148849345917</v>
      </c>
      <c r="K24" s="1">
        <f>H24*C28</f>
        <v>2.8783235194499692</v>
      </c>
    </row>
    <row r="26" spans="1:11" x14ac:dyDescent="0.35">
      <c r="A26" s="17" t="s">
        <v>15</v>
      </c>
      <c r="B26" s="17"/>
      <c r="C26" s="17"/>
      <c r="D26" s="17"/>
    </row>
    <row r="27" spans="1:11" x14ac:dyDescent="0.35">
      <c r="A27" s="1" t="s">
        <v>16</v>
      </c>
      <c r="B27" s="1" t="s">
        <v>17</v>
      </c>
      <c r="C27" s="1" t="s">
        <v>18</v>
      </c>
      <c r="D27" s="1" t="s">
        <v>19</v>
      </c>
    </row>
    <row r="28" spans="1:11" x14ac:dyDescent="0.35">
      <c r="A28" s="1">
        <v>4.5357000000000003</v>
      </c>
      <c r="B28" s="1">
        <v>5.5000000000000003E-4</v>
      </c>
      <c r="C28" s="1">
        <v>2.4580000000000002</v>
      </c>
      <c r="D28" s="1">
        <v>8.3000000000000004E-2</v>
      </c>
    </row>
  </sheetData>
  <mergeCells count="27">
    <mergeCell ref="A2:A5"/>
    <mergeCell ref="D2:D5"/>
    <mergeCell ref="E2:E5"/>
    <mergeCell ref="F2:F5"/>
    <mergeCell ref="A6:A8"/>
    <mergeCell ref="D6:D8"/>
    <mergeCell ref="E6:E8"/>
    <mergeCell ref="F6:F8"/>
    <mergeCell ref="A9:A11"/>
    <mergeCell ref="D9:D11"/>
    <mergeCell ref="E9:E11"/>
    <mergeCell ref="F9:F11"/>
    <mergeCell ref="A12:A14"/>
    <mergeCell ref="D12:D14"/>
    <mergeCell ref="E12:E14"/>
    <mergeCell ref="F12:F14"/>
    <mergeCell ref="A22:C22"/>
    <mergeCell ref="H22:K22"/>
    <mergeCell ref="A26:D26"/>
    <mergeCell ref="A15:A17"/>
    <mergeCell ref="D15:D17"/>
    <mergeCell ref="E15:E17"/>
    <mergeCell ref="F15:F17"/>
    <mergeCell ref="A18:A20"/>
    <mergeCell ref="D18:D20"/>
    <mergeCell ref="E18:E20"/>
    <mergeCell ref="F18:F2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1"/>
  <sheetViews>
    <sheetView topLeftCell="A22" zoomScaleNormal="100" workbookViewId="0">
      <selection activeCell="D41" sqref="D41"/>
    </sheetView>
  </sheetViews>
  <sheetFormatPr defaultRowHeight="14.5" x14ac:dyDescent="0.35"/>
  <cols>
    <col min="1" max="1" width="5.36328125"/>
    <col min="2" max="2" width="9.453125"/>
    <col min="3" max="1025" width="8.54296875"/>
  </cols>
  <sheetData>
    <row r="1" spans="1:2" x14ac:dyDescent="0.35">
      <c r="A1" s="1" t="s">
        <v>1</v>
      </c>
      <c r="B1" s="1" t="s">
        <v>2</v>
      </c>
    </row>
    <row r="2" spans="1:2" x14ac:dyDescent="0.35">
      <c r="A2" s="1">
        <v>60</v>
      </c>
      <c r="B2" s="1">
        <v>596</v>
      </c>
    </row>
    <row r="3" spans="1:2" x14ac:dyDescent="0.35">
      <c r="A3" s="1">
        <v>62</v>
      </c>
      <c r="B3" s="1">
        <v>573</v>
      </c>
    </row>
    <row r="4" spans="1:2" x14ac:dyDescent="0.35">
      <c r="A4" s="1">
        <v>64</v>
      </c>
      <c r="B4" s="1">
        <v>610</v>
      </c>
    </row>
    <row r="5" spans="1:2" x14ac:dyDescent="0.35">
      <c r="A5" s="1">
        <v>66</v>
      </c>
      <c r="B5" s="1">
        <v>578</v>
      </c>
    </row>
    <row r="6" spans="1:2" x14ac:dyDescent="0.35">
      <c r="A6" s="1">
        <v>68</v>
      </c>
      <c r="B6" s="1">
        <v>567</v>
      </c>
    </row>
    <row r="7" spans="1:2" x14ac:dyDescent="0.35">
      <c r="A7" s="1">
        <v>70</v>
      </c>
      <c r="B7" s="1">
        <v>538</v>
      </c>
    </row>
    <row r="8" spans="1:2" x14ac:dyDescent="0.35">
      <c r="A8" s="1">
        <v>72</v>
      </c>
      <c r="B8" s="1">
        <v>548</v>
      </c>
    </row>
    <row r="9" spans="1:2" x14ac:dyDescent="0.35">
      <c r="A9" s="1">
        <v>74</v>
      </c>
      <c r="B9" s="1">
        <v>515</v>
      </c>
    </row>
    <row r="10" spans="1:2" x14ac:dyDescent="0.35">
      <c r="A10" s="1">
        <v>76</v>
      </c>
      <c r="B10" s="1">
        <v>483</v>
      </c>
    </row>
    <row r="11" spans="1:2" x14ac:dyDescent="0.35">
      <c r="A11" s="1">
        <v>78</v>
      </c>
      <c r="B11" s="1">
        <v>402</v>
      </c>
    </row>
    <row r="12" spans="1:2" x14ac:dyDescent="0.35">
      <c r="A12" s="1">
        <v>80</v>
      </c>
      <c r="B12" s="1">
        <v>440</v>
      </c>
    </row>
    <row r="13" spans="1:2" x14ac:dyDescent="0.35">
      <c r="A13" s="1">
        <v>82</v>
      </c>
      <c r="B13" s="1">
        <v>426</v>
      </c>
    </row>
    <row r="14" spans="1:2" x14ac:dyDescent="0.35">
      <c r="A14" s="1">
        <v>84</v>
      </c>
      <c r="B14" s="1">
        <v>428</v>
      </c>
    </row>
    <row r="15" spans="1:2" x14ac:dyDescent="0.35">
      <c r="A15" s="1">
        <v>86</v>
      </c>
      <c r="B15" s="1">
        <v>351</v>
      </c>
    </row>
    <row r="16" spans="1:2" x14ac:dyDescent="0.35">
      <c r="A16" s="1">
        <v>88</v>
      </c>
      <c r="B16" s="1">
        <v>320</v>
      </c>
    </row>
    <row r="17" spans="1:2" x14ac:dyDescent="0.35">
      <c r="A17" s="1">
        <v>90</v>
      </c>
      <c r="B17" s="1">
        <v>333</v>
      </c>
    </row>
    <row r="18" spans="1:2" x14ac:dyDescent="0.35">
      <c r="A18" s="1">
        <v>92</v>
      </c>
      <c r="B18" s="1">
        <v>375</v>
      </c>
    </row>
    <row r="19" spans="1:2" x14ac:dyDescent="0.35">
      <c r="A19" s="1">
        <v>94</v>
      </c>
      <c r="B19" s="1">
        <v>351</v>
      </c>
    </row>
    <row r="20" spans="1:2" x14ac:dyDescent="0.35">
      <c r="A20" s="1">
        <v>96</v>
      </c>
      <c r="B20" s="1">
        <v>266</v>
      </c>
    </row>
    <row r="21" spans="1:2" x14ac:dyDescent="0.35">
      <c r="A21" s="1">
        <v>988</v>
      </c>
      <c r="B21" s="1">
        <v>236</v>
      </c>
    </row>
    <row r="22" spans="1:2" x14ac:dyDescent="0.35">
      <c r="A22" s="1">
        <v>100</v>
      </c>
      <c r="B22" s="1">
        <v>218</v>
      </c>
    </row>
    <row r="23" spans="1:2" x14ac:dyDescent="0.35">
      <c r="A23" s="1">
        <v>102</v>
      </c>
      <c r="B23" s="1">
        <v>208</v>
      </c>
    </row>
    <row r="24" spans="1:2" x14ac:dyDescent="0.35">
      <c r="A24" s="1">
        <v>104</v>
      </c>
      <c r="B24" s="1">
        <v>172</v>
      </c>
    </row>
    <row r="25" spans="1:2" x14ac:dyDescent="0.35">
      <c r="A25" s="1">
        <v>106</v>
      </c>
      <c r="B25" s="1">
        <v>152</v>
      </c>
    </row>
    <row r="26" spans="1:2" x14ac:dyDescent="0.35">
      <c r="A26" s="1">
        <v>108</v>
      </c>
      <c r="B26" s="1">
        <v>142</v>
      </c>
    </row>
    <row r="27" spans="1:2" x14ac:dyDescent="0.35">
      <c r="A27" s="1">
        <v>110</v>
      </c>
      <c r="B27" s="1">
        <v>112</v>
      </c>
    </row>
    <row r="28" spans="1:2" x14ac:dyDescent="0.35">
      <c r="A28" s="1">
        <v>112</v>
      </c>
      <c r="B28" s="1">
        <v>97</v>
      </c>
    </row>
    <row r="29" spans="1:2" x14ac:dyDescent="0.35">
      <c r="A29" s="1">
        <v>114</v>
      </c>
      <c r="B29" s="1">
        <v>77</v>
      </c>
    </row>
    <row r="30" spans="1:2" x14ac:dyDescent="0.35">
      <c r="A30" s="1">
        <v>116</v>
      </c>
      <c r="B30" s="1">
        <v>84</v>
      </c>
    </row>
    <row r="31" spans="1:2" x14ac:dyDescent="0.35">
      <c r="A31" s="1">
        <v>118</v>
      </c>
      <c r="B31" s="1">
        <v>68</v>
      </c>
    </row>
    <row r="32" spans="1:2" x14ac:dyDescent="0.35">
      <c r="A32" s="1">
        <v>120</v>
      </c>
      <c r="B32" s="1">
        <v>48</v>
      </c>
    </row>
    <row r="33" spans="1:4" x14ac:dyDescent="0.35">
      <c r="A33" s="1">
        <v>122</v>
      </c>
      <c r="B33" s="1">
        <v>51</v>
      </c>
    </row>
    <row r="34" spans="1:4" x14ac:dyDescent="0.35">
      <c r="A34" s="1">
        <v>124</v>
      </c>
      <c r="B34" s="1">
        <v>40</v>
      </c>
    </row>
    <row r="35" spans="1:4" x14ac:dyDescent="0.35">
      <c r="A35" s="1">
        <v>126</v>
      </c>
      <c r="B35" s="1">
        <v>30</v>
      </c>
    </row>
    <row r="36" spans="1:4" x14ac:dyDescent="0.35">
      <c r="A36" s="1">
        <v>128</v>
      </c>
      <c r="B36" s="1">
        <v>33</v>
      </c>
    </row>
    <row r="37" spans="1:4" x14ac:dyDescent="0.35">
      <c r="A37" s="1">
        <v>130</v>
      </c>
      <c r="B37" s="1">
        <v>14</v>
      </c>
    </row>
    <row r="39" spans="1:4" x14ac:dyDescent="0.35">
      <c r="A39" s="17" t="s">
        <v>7</v>
      </c>
      <c r="B39" s="17"/>
      <c r="C39" s="17"/>
      <c r="D39" s="17"/>
    </row>
    <row r="40" spans="1:4" x14ac:dyDescent="0.35">
      <c r="A40" s="1" t="s">
        <v>11</v>
      </c>
      <c r="B40" s="1" t="s">
        <v>12</v>
      </c>
      <c r="C40" s="1" t="s">
        <v>13</v>
      </c>
      <c r="D40" s="1" t="s">
        <v>14</v>
      </c>
    </row>
    <row r="41" spans="1:4" x14ac:dyDescent="0.35">
      <c r="A41" s="1" t="e">
        <f>#REF!/(#REF!*#REF!+#REF!)</f>
        <v>#REF!</v>
      </c>
      <c r="B41" s="1" t="e">
        <f>SQRT(POWER((#REF!*#REF!*#REF!/POWER(#REF!*#REF!+#REF!,2)),2)+POWER((#REF!*#REF!/POWER(#REF!*#REF!+#REF!,2)),2)+POWER((#REF!*#REF!*#REF!/POWER(#REF!*#REF!+#REF!,2)),2))</f>
        <v>#REF!</v>
      </c>
      <c r="C41" s="1" t="e">
        <f>A41*#REF!</f>
        <v>#REF!</v>
      </c>
      <c r="D41" s="1" t="e">
        <f>A41*#REF!</f>
        <v>#REF!</v>
      </c>
    </row>
  </sheetData>
  <mergeCells count="1">
    <mergeCell ref="A39:D39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48"/>
  <sheetViews>
    <sheetView topLeftCell="L1" zoomScaleNormal="100" workbookViewId="0">
      <selection activeCell="H49" sqref="H49"/>
    </sheetView>
  </sheetViews>
  <sheetFormatPr defaultRowHeight="14.5" x14ac:dyDescent="0.35"/>
  <cols>
    <col min="1" max="1" width="20.08984375"/>
    <col min="2" max="3" width="8.54296875"/>
    <col min="4" max="4" width="10.54296875"/>
    <col min="5" max="5" width="9.453125"/>
    <col min="6" max="7" width="8.54296875"/>
    <col min="8" max="8" width="11.08984375"/>
    <col min="9" max="9" width="12.36328125"/>
    <col min="10" max="10" width="8.54296875"/>
    <col min="11" max="11" width="11.08984375"/>
    <col min="12" max="12" width="9.1796875"/>
    <col min="13" max="17" width="8.54296875"/>
    <col min="18" max="18" width="12.6328125"/>
    <col min="19" max="25" width="8.54296875"/>
    <col min="26" max="26" width="10.36328125"/>
    <col min="27" max="1025" width="8.54296875"/>
  </cols>
  <sheetData>
    <row r="1" spans="1:28" x14ac:dyDescent="0.35">
      <c r="A1" s="27" t="s">
        <v>20</v>
      </c>
      <c r="B1" s="27"/>
      <c r="C1" s="27"/>
      <c r="D1" s="27" t="s">
        <v>21</v>
      </c>
      <c r="E1" s="27"/>
      <c r="F1" s="27"/>
      <c r="G1" s="27"/>
      <c r="H1" s="27" t="s">
        <v>22</v>
      </c>
      <c r="I1" s="27"/>
      <c r="J1" s="27"/>
      <c r="K1" s="27"/>
      <c r="L1" s="27"/>
      <c r="M1" s="27"/>
      <c r="P1" s="17" t="s">
        <v>6</v>
      </c>
      <c r="Q1" s="17"/>
      <c r="R1" s="17"/>
      <c r="W1" s="17" t="s">
        <v>7</v>
      </c>
      <c r="X1" s="17"/>
      <c r="Y1" s="17"/>
      <c r="Z1" s="17"/>
      <c r="AA1" s="17"/>
      <c r="AB1" s="17"/>
    </row>
    <row r="2" spans="1:28" x14ac:dyDescent="0.35">
      <c r="A2" s="1" t="s">
        <v>23</v>
      </c>
      <c r="B2" s="1" t="s">
        <v>24</v>
      </c>
      <c r="C2" s="1" t="s">
        <v>25</v>
      </c>
      <c r="D2" t="s">
        <v>16</v>
      </c>
      <c r="E2" t="s">
        <v>17</v>
      </c>
      <c r="F2" t="s">
        <v>26</v>
      </c>
      <c r="G2" t="s">
        <v>19</v>
      </c>
      <c r="H2" t="s">
        <v>4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P2" s="1" t="s">
        <v>8</v>
      </c>
      <c r="Q2" s="1" t="s">
        <v>9</v>
      </c>
      <c r="R2" s="2" t="s">
        <v>5</v>
      </c>
      <c r="S2" s="1" t="s">
        <v>10</v>
      </c>
      <c r="T2" t="s">
        <v>32</v>
      </c>
      <c r="W2" s="1" t="s">
        <v>11</v>
      </c>
      <c r="X2" s="1" t="s">
        <v>12</v>
      </c>
      <c r="Y2" s="1" t="s">
        <v>13</v>
      </c>
      <c r="Z2" t="s">
        <v>33</v>
      </c>
      <c r="AA2" s="1" t="s">
        <v>14</v>
      </c>
      <c r="AB2" t="s">
        <v>33</v>
      </c>
    </row>
    <row r="3" spans="1:28" x14ac:dyDescent="0.35">
      <c r="A3" s="17" t="s">
        <v>34</v>
      </c>
      <c r="B3" s="1">
        <v>100</v>
      </c>
      <c r="C3" s="1">
        <v>893</v>
      </c>
      <c r="D3" s="25">
        <v>3739.75</v>
      </c>
      <c r="E3" s="25">
        <v>293.38299999999998</v>
      </c>
      <c r="F3" s="25">
        <v>-28.5169</v>
      </c>
      <c r="G3" s="25">
        <v>2.7662</v>
      </c>
      <c r="H3" s="23">
        <v>104.224</v>
      </c>
      <c r="I3" s="23">
        <v>1.0400899999999999E-2</v>
      </c>
      <c r="J3" s="23">
        <v>0.72657300000000002</v>
      </c>
      <c r="K3" s="23">
        <v>9.1839399999999998E-3</v>
      </c>
      <c r="L3" s="22">
        <v>8637.7000000000007</v>
      </c>
      <c r="M3" s="22">
        <v>118.205</v>
      </c>
      <c r="P3" s="1">
        <v>5.88</v>
      </c>
      <c r="Q3" s="1">
        <v>116.19</v>
      </c>
      <c r="R3" s="2">
        <v>4.3999999999999997E-2</v>
      </c>
      <c r="S3" s="1">
        <v>620</v>
      </c>
      <c r="T3">
        <v>92</v>
      </c>
      <c r="W3" s="1">
        <f>(S3-T3)/(P7*Q3+R7)</f>
        <v>0.9972406219779939</v>
      </c>
      <c r="X3" s="1">
        <f>(S3-T3)/(P7*Q3+R7)^2*SQRT(S7^2+(P7*R3)^2 +(Q3*Q7)^2 )</f>
        <v>4.2452509386378884E-4</v>
      </c>
      <c r="Y3" s="1">
        <f>W3*P7</f>
        <v>4.5231842891055871</v>
      </c>
      <c r="Z3">
        <f>SQRT((W3*Q7)^2+(X3*P7)^2)</f>
        <v>2.002112447168687E-3</v>
      </c>
      <c r="AA3" s="1">
        <f>W3*R7</f>
        <v>2.4512174488219092</v>
      </c>
      <c r="AB3">
        <f>SQRT((R7*X3)^2+(W3*S7)^2)</f>
        <v>8.2777548886849087E-2</v>
      </c>
    </row>
    <row r="4" spans="1:28" x14ac:dyDescent="0.35">
      <c r="A4" s="17"/>
      <c r="B4" s="1">
        <v>101</v>
      </c>
      <c r="C4" s="1">
        <v>835</v>
      </c>
      <c r="D4" s="25"/>
      <c r="E4" s="25"/>
      <c r="F4" s="25"/>
      <c r="G4" s="25"/>
      <c r="H4" s="23"/>
      <c r="I4" s="23"/>
      <c r="J4" s="23"/>
      <c r="K4" s="23"/>
      <c r="L4" s="22"/>
      <c r="M4" s="22"/>
    </row>
    <row r="5" spans="1:28" x14ac:dyDescent="0.35">
      <c r="A5" s="17"/>
      <c r="B5" s="1">
        <v>102</v>
      </c>
      <c r="C5" s="1">
        <v>959</v>
      </c>
      <c r="D5" s="25"/>
      <c r="E5" s="25"/>
      <c r="F5" s="25"/>
      <c r="G5" s="25"/>
      <c r="H5" s="23"/>
      <c r="I5" s="23"/>
      <c r="J5" s="23"/>
      <c r="K5" s="23"/>
      <c r="L5" s="22"/>
      <c r="M5" s="22"/>
      <c r="P5" s="17" t="s">
        <v>15</v>
      </c>
      <c r="Q5" s="17"/>
      <c r="R5" s="17"/>
      <c r="S5" s="17"/>
    </row>
    <row r="6" spans="1:28" x14ac:dyDescent="0.35">
      <c r="A6" s="17"/>
      <c r="B6" s="1">
        <v>103</v>
      </c>
      <c r="C6" s="1">
        <v>1971</v>
      </c>
      <c r="D6" s="25"/>
      <c r="E6" s="25"/>
      <c r="F6" s="25"/>
      <c r="G6" s="25"/>
      <c r="H6" s="23"/>
      <c r="I6" s="23"/>
      <c r="J6" s="23"/>
      <c r="K6" s="23"/>
      <c r="L6" s="22"/>
      <c r="M6" s="22"/>
      <c r="P6" s="1" t="s">
        <v>16</v>
      </c>
      <c r="Q6" s="1" t="s">
        <v>17</v>
      </c>
      <c r="R6" s="1" t="s">
        <v>18</v>
      </c>
      <c r="S6" s="1" t="s">
        <v>19</v>
      </c>
    </row>
    <row r="7" spans="1:28" x14ac:dyDescent="0.35">
      <c r="A7" s="17"/>
      <c r="B7" s="1">
        <v>104</v>
      </c>
      <c r="C7" s="1">
        <v>5228</v>
      </c>
      <c r="D7" s="25"/>
      <c r="E7" s="25"/>
      <c r="F7" s="25"/>
      <c r="G7" s="25"/>
      <c r="H7" s="23"/>
      <c r="I7" s="23"/>
      <c r="J7" s="23"/>
      <c r="K7" s="23"/>
      <c r="L7" s="22"/>
      <c r="M7" s="22"/>
      <c r="P7" s="1">
        <v>4.5357000000000003</v>
      </c>
      <c r="Q7" s="1">
        <v>5.5000000000000003E-4</v>
      </c>
      <c r="R7" s="1">
        <v>2.4580000000000002</v>
      </c>
      <c r="S7" s="1">
        <v>8.3000000000000004E-2</v>
      </c>
    </row>
    <row r="8" spans="1:28" x14ac:dyDescent="0.35">
      <c r="A8" s="17"/>
      <c r="B8" s="1">
        <v>105</v>
      </c>
      <c r="C8" s="1">
        <v>3514</v>
      </c>
      <c r="D8" s="25"/>
      <c r="E8" s="25"/>
      <c r="F8" s="25"/>
      <c r="G8" s="25"/>
      <c r="H8" s="23"/>
      <c r="I8" s="23"/>
      <c r="J8" s="23"/>
      <c r="K8" s="23"/>
      <c r="L8" s="22"/>
      <c r="M8" s="22"/>
    </row>
    <row r="9" spans="1:28" x14ac:dyDescent="0.35">
      <c r="A9" s="17"/>
      <c r="B9" s="1">
        <v>106</v>
      </c>
      <c r="C9" s="1">
        <v>872</v>
      </c>
      <c r="D9" s="25"/>
      <c r="E9" s="25"/>
      <c r="F9" s="25"/>
      <c r="G9" s="25"/>
      <c r="H9" s="23"/>
      <c r="I9" s="23"/>
      <c r="J9" s="23"/>
      <c r="K9" s="23"/>
      <c r="L9" s="22"/>
      <c r="M9" s="22"/>
      <c r="P9" t="s">
        <v>35</v>
      </c>
      <c r="Q9" t="s">
        <v>33</v>
      </c>
      <c r="R9" t="s">
        <v>36</v>
      </c>
      <c r="S9" t="s">
        <v>33</v>
      </c>
      <c r="T9" t="s">
        <v>37</v>
      </c>
      <c r="U9" t="s">
        <v>38</v>
      </c>
      <c r="V9" t="s">
        <v>39</v>
      </c>
      <c r="W9" t="s">
        <v>30</v>
      </c>
      <c r="X9" t="s">
        <v>40</v>
      </c>
      <c r="Y9" t="s">
        <v>41</v>
      </c>
      <c r="Z9" t="s">
        <v>33</v>
      </c>
    </row>
    <row r="10" spans="1:28" x14ac:dyDescent="0.35">
      <c r="A10" s="17"/>
      <c r="B10" s="1">
        <v>107</v>
      </c>
      <c r="C10" s="1">
        <v>650</v>
      </c>
      <c r="D10" s="25"/>
      <c r="E10" s="25"/>
      <c r="F10" s="25"/>
      <c r="G10" s="25"/>
      <c r="H10" s="23"/>
      <c r="I10" s="23"/>
      <c r="J10" s="23"/>
      <c r="K10" s="23"/>
      <c r="L10" s="22"/>
      <c r="M10" s="22"/>
      <c r="P10">
        <v>104.224</v>
      </c>
      <c r="Q10">
        <v>1.0400899999999999E-2</v>
      </c>
      <c r="R10">
        <f>$Y$3*P10+$AA$3</f>
        <v>473.87557679656265</v>
      </c>
      <c r="S10">
        <f>SQRT(($Y$3*Q10)^2+ (P10*$Z$3)^2 +$AB$3^2)</f>
        <v>0.22936385171315207</v>
      </c>
      <c r="T10">
        <f>V17</f>
        <v>479.178</v>
      </c>
      <c r="U10">
        <f>(T10-R10)/T10</f>
        <v>1.1065664958402395E-2</v>
      </c>
      <c r="V10">
        <f>U10/S10*T10</f>
        <v>23.117955003950144</v>
      </c>
      <c r="W10" s="4">
        <f>L3</f>
        <v>8637.7000000000007</v>
      </c>
      <c r="X10" s="4">
        <f>M3</f>
        <v>118.205</v>
      </c>
      <c r="Y10" s="26">
        <f>W10/W11</f>
        <v>5.4073155921147356</v>
      </c>
      <c r="Z10" s="26">
        <f>Y10*SQRT((X10/W10)^2+(X11/W11)^2)</f>
        <v>0.28170279580023055</v>
      </c>
    </row>
    <row r="11" spans="1:28" x14ac:dyDescent="0.35">
      <c r="A11" s="17"/>
      <c r="B11" s="1">
        <v>108</v>
      </c>
      <c r="C11" s="1">
        <v>633</v>
      </c>
      <c r="D11" s="25"/>
      <c r="E11" s="25"/>
      <c r="F11" s="25"/>
      <c r="G11" s="25"/>
      <c r="H11" s="23"/>
      <c r="I11" s="23"/>
      <c r="J11" s="23"/>
      <c r="K11" s="23"/>
      <c r="L11" s="22"/>
      <c r="M11" s="22"/>
      <c r="P11">
        <v>116.05800000000001</v>
      </c>
      <c r="Q11">
        <v>3.8230399999999998E-2</v>
      </c>
      <c r="R11">
        <f>$Y$3*P11+$AA$3</f>
        <v>527.4029396738382</v>
      </c>
      <c r="S11">
        <f>SQRT(($Y$3*Q11)^2+ (P11*$Z$3)^2 +$AB$3^2)</f>
        <v>0.30124117945892193</v>
      </c>
      <c r="T11">
        <f>W17</f>
        <v>554.52933333333328</v>
      </c>
      <c r="U11">
        <f>(T11-R11)/T11</f>
        <v>4.8917869675956571E-2</v>
      </c>
      <c r="V11">
        <f>U11/S11*T11</f>
        <v>90.048756641500617</v>
      </c>
      <c r="W11" s="4">
        <f>L14</f>
        <v>1597.41</v>
      </c>
      <c r="X11" s="4">
        <f>M14</f>
        <v>80.297200000000004</v>
      </c>
      <c r="Y11" s="26">
        <f>W11/W12</f>
        <v>0.67709529885003883</v>
      </c>
      <c r="Z11" s="26">
        <f>Y11*SQRT((X11/W11)^2+(X12/W12)^2)</f>
        <v>3.7382240347744594E-2</v>
      </c>
    </row>
    <row r="12" spans="1:28" x14ac:dyDescent="0.35">
      <c r="A12" s="17"/>
      <c r="B12" s="1">
        <v>109</v>
      </c>
      <c r="C12" s="1">
        <v>667</v>
      </c>
      <c r="D12" s="25"/>
      <c r="E12" s="25"/>
      <c r="F12" s="25"/>
      <c r="G12" s="25"/>
      <c r="H12" s="23"/>
      <c r="I12" s="23"/>
      <c r="J12" s="23"/>
      <c r="K12" s="23"/>
      <c r="L12" s="22"/>
      <c r="M12" s="22"/>
      <c r="P12">
        <v>211.346</v>
      </c>
      <c r="Q12">
        <v>1.8996800000000001E-2</v>
      </c>
      <c r="R12">
        <f>$Y$3*P12+$AA$3</f>
        <v>958.40812421413136</v>
      </c>
      <c r="S12">
        <f>SQRT(($Y$3*Q12)^2+ (P12*$Z$3)^2 +$AB$3^2)</f>
        <v>0.43963798605174076</v>
      </c>
      <c r="T12">
        <f>V18</f>
        <v>973.13800000000003</v>
      </c>
      <c r="U12">
        <f>(T12-R12)/T12</f>
        <v>1.5136471688361436E-2</v>
      </c>
      <c r="V12">
        <f>U12/S12*T12</f>
        <v>33.504556597015984</v>
      </c>
      <c r="W12" s="4">
        <f>L25</f>
        <v>2359.21</v>
      </c>
      <c r="X12" s="4">
        <f>M25</f>
        <v>53.866999999999997</v>
      </c>
      <c r="Y12" s="26">
        <f>W12/W13</f>
        <v>6.5946325196297941</v>
      </c>
      <c r="Z12" s="26">
        <f>Y12*SQRT((X12/W12)^2+(X13/W13)^2)</f>
        <v>0.47087650065945502</v>
      </c>
    </row>
    <row r="13" spans="1:28" x14ac:dyDescent="0.35">
      <c r="A13" s="17"/>
      <c r="B13" s="1">
        <v>110</v>
      </c>
      <c r="C13" s="1">
        <v>644</v>
      </c>
      <c r="D13" s="25"/>
      <c r="E13" s="25"/>
      <c r="F13" s="25"/>
      <c r="G13" s="25"/>
      <c r="H13" s="23"/>
      <c r="I13" s="23"/>
      <c r="J13" s="23"/>
      <c r="K13" s="23"/>
      <c r="L13" s="22"/>
      <c r="M13" s="22"/>
      <c r="P13">
        <v>227.161</v>
      </c>
      <c r="Q13">
        <v>5.6705699999999998E-2</v>
      </c>
      <c r="R13">
        <f>$Y$3*P13+$AA$3</f>
        <v>1029.942283746336</v>
      </c>
      <c r="S13">
        <f>SQRT(($Y$3*Q13)^2+ (P13*$Z$3)^2 +$AB$3^2)</f>
        <v>0.52866260472585624</v>
      </c>
      <c r="T13">
        <f>W18</f>
        <v>1048.4893333333334</v>
      </c>
      <c r="U13">
        <f>(T13-R13)/T13</f>
        <v>1.7689306888829366E-2</v>
      </c>
      <c r="V13">
        <f>U13/S13*T13</f>
        <v>35.082961081794728</v>
      </c>
      <c r="W13" s="4">
        <f>L36</f>
        <v>357.74700000000001</v>
      </c>
      <c r="X13" s="4">
        <f>M36</f>
        <v>24.202999999999999</v>
      </c>
      <c r="Y13" s="26"/>
      <c r="Z13" s="26"/>
    </row>
    <row r="14" spans="1:28" x14ac:dyDescent="0.35">
      <c r="A14" s="17" t="s">
        <v>42</v>
      </c>
      <c r="B14" s="1">
        <v>111</v>
      </c>
      <c r="C14" s="1">
        <v>574</v>
      </c>
      <c r="D14" s="25">
        <v>598.72400000000005</v>
      </c>
      <c r="E14" s="25">
        <v>9.7213499999999993</v>
      </c>
      <c r="F14" s="25" t="s">
        <v>43</v>
      </c>
      <c r="G14" s="25" t="s">
        <v>43</v>
      </c>
      <c r="H14" s="23">
        <v>116.05800000000001</v>
      </c>
      <c r="I14" s="23">
        <v>3.8230399999999998E-2</v>
      </c>
      <c r="J14" s="23">
        <v>0.79620800000000003</v>
      </c>
      <c r="K14" s="23">
        <v>4.6525400000000001E-2</v>
      </c>
      <c r="L14" s="22">
        <v>1597.41</v>
      </c>
      <c r="M14" s="22">
        <v>80.297200000000004</v>
      </c>
    </row>
    <row r="15" spans="1:28" x14ac:dyDescent="0.35">
      <c r="A15" s="17"/>
      <c r="B15" s="1">
        <v>112</v>
      </c>
      <c r="C15" s="1">
        <v>599</v>
      </c>
      <c r="D15" s="25"/>
      <c r="E15" s="25"/>
      <c r="F15" s="25"/>
      <c r="G15" s="25"/>
      <c r="H15" s="23"/>
      <c r="I15" s="23"/>
      <c r="J15" s="23"/>
      <c r="K15" s="23"/>
      <c r="L15" s="22"/>
      <c r="M15" s="22"/>
    </row>
    <row r="16" spans="1:28" x14ac:dyDescent="0.35">
      <c r="A16" s="17"/>
      <c r="B16" s="1">
        <v>113</v>
      </c>
      <c r="C16" s="1">
        <v>594</v>
      </c>
      <c r="D16" s="25"/>
      <c r="E16" s="25"/>
      <c r="F16" s="25"/>
      <c r="G16" s="25"/>
      <c r="H16" s="23"/>
      <c r="I16" s="23"/>
      <c r="J16" s="23"/>
      <c r="K16" s="23"/>
      <c r="L16" s="22"/>
      <c r="M16" s="22"/>
      <c r="P16" t="s">
        <v>11</v>
      </c>
      <c r="Q16" t="s">
        <v>44</v>
      </c>
      <c r="R16" t="s">
        <v>45</v>
      </c>
      <c r="T16" t="s">
        <v>46</v>
      </c>
      <c r="U16" t="s">
        <v>36</v>
      </c>
      <c r="V16" t="s">
        <v>47</v>
      </c>
      <c r="W16" t="s">
        <v>48</v>
      </c>
      <c r="X16" t="s">
        <v>49</v>
      </c>
    </row>
    <row r="17" spans="1:24" x14ac:dyDescent="0.35">
      <c r="A17" s="17"/>
      <c r="B17" s="1">
        <v>114</v>
      </c>
      <c r="C17" s="1">
        <v>596</v>
      </c>
      <c r="D17" s="25"/>
      <c r="E17" s="25"/>
      <c r="F17" s="25"/>
      <c r="G17" s="25"/>
      <c r="H17" s="23"/>
      <c r="I17" s="23"/>
      <c r="J17" s="23"/>
      <c r="K17" s="23"/>
      <c r="L17" s="22"/>
      <c r="M17" s="22"/>
      <c r="P17" s="5">
        <f>90524/1000</f>
        <v>90.524000000000001</v>
      </c>
      <c r="Q17">
        <f>AVERAGE(Q19:Q21)/1000</f>
        <v>15.172666666666666</v>
      </c>
      <c r="R17">
        <f>AVERAGE(R19:R23)/1000</f>
        <v>3.2280000000000002</v>
      </c>
      <c r="T17">
        <v>1</v>
      </c>
      <c r="U17" s="5">
        <v>569.702</v>
      </c>
      <c r="V17">
        <f>U17-$P$17</f>
        <v>479.178</v>
      </c>
      <c r="W17">
        <f>U17-$Q$17</f>
        <v>554.52933333333328</v>
      </c>
      <c r="X17">
        <f>U17-$R$17</f>
        <v>566.47400000000005</v>
      </c>
    </row>
    <row r="18" spans="1:24" x14ac:dyDescent="0.35">
      <c r="A18" s="17"/>
      <c r="B18" s="1">
        <v>115</v>
      </c>
      <c r="C18" s="1">
        <v>922</v>
      </c>
      <c r="D18" s="25"/>
      <c r="E18" s="25"/>
      <c r="F18" s="25"/>
      <c r="G18" s="25"/>
      <c r="H18" s="23"/>
      <c r="I18" s="23"/>
      <c r="J18" s="23"/>
      <c r="K18" s="23"/>
      <c r="L18" s="22"/>
      <c r="M18" s="22"/>
      <c r="T18">
        <v>2</v>
      </c>
      <c r="U18" s="5">
        <v>1063.662</v>
      </c>
      <c r="V18">
        <f>U18-$P$17</f>
        <v>973.13800000000003</v>
      </c>
      <c r="W18">
        <f>U18-$Q$17</f>
        <v>1048.4893333333334</v>
      </c>
      <c r="X18">
        <f>U18-$R$17</f>
        <v>1060.434</v>
      </c>
    </row>
    <row r="19" spans="1:24" x14ac:dyDescent="0.35">
      <c r="A19" s="17"/>
      <c r="B19" s="1">
        <v>116</v>
      </c>
      <c r="C19" s="1">
        <v>1427</v>
      </c>
      <c r="D19" s="25"/>
      <c r="E19" s="25"/>
      <c r="F19" s="25"/>
      <c r="G19" s="25"/>
      <c r="H19" s="23"/>
      <c r="I19" s="23"/>
      <c r="J19" s="23"/>
      <c r="K19" s="23"/>
      <c r="L19" s="22"/>
      <c r="M19" s="22"/>
      <c r="Q19">
        <v>16388</v>
      </c>
      <c r="R19" s="5">
        <v>3999</v>
      </c>
    </row>
    <row r="20" spans="1:24" x14ac:dyDescent="0.35">
      <c r="A20" s="17"/>
      <c r="B20" s="1">
        <v>117</v>
      </c>
      <c r="C20" s="1">
        <v>950</v>
      </c>
      <c r="D20" s="25"/>
      <c r="E20" s="25"/>
      <c r="F20" s="25"/>
      <c r="G20" s="25"/>
      <c r="H20" s="23"/>
      <c r="I20" s="23"/>
      <c r="J20" s="23"/>
      <c r="K20" s="23"/>
      <c r="L20" s="22"/>
      <c r="M20" s="22"/>
      <c r="Q20">
        <v>15711</v>
      </c>
      <c r="R20">
        <v>3696</v>
      </c>
    </row>
    <row r="21" spans="1:24" x14ac:dyDescent="0.35">
      <c r="A21" s="17"/>
      <c r="B21" s="1">
        <v>118</v>
      </c>
      <c r="C21" s="1">
        <v>765</v>
      </c>
      <c r="D21" s="25"/>
      <c r="E21" s="25"/>
      <c r="F21" s="25"/>
      <c r="G21" s="25"/>
      <c r="H21" s="23"/>
      <c r="I21" s="23"/>
      <c r="J21" s="23"/>
      <c r="K21" s="23"/>
      <c r="L21" s="22"/>
      <c r="M21" s="22"/>
      <c r="Q21">
        <v>13419</v>
      </c>
      <c r="R21">
        <v>3177</v>
      </c>
    </row>
    <row r="22" spans="1:24" x14ac:dyDescent="0.35">
      <c r="A22" s="17"/>
      <c r="B22" s="1">
        <v>119</v>
      </c>
      <c r="C22" s="1">
        <v>717</v>
      </c>
      <c r="D22" s="25"/>
      <c r="E22" s="25"/>
      <c r="F22" s="25"/>
      <c r="G22" s="25"/>
      <c r="H22" s="23"/>
      <c r="I22" s="23"/>
      <c r="J22" s="23"/>
      <c r="K22" s="23"/>
      <c r="L22" s="22"/>
      <c r="M22" s="22"/>
      <c r="R22">
        <v>2688</v>
      </c>
    </row>
    <row r="23" spans="1:24" x14ac:dyDescent="0.35">
      <c r="A23" s="17"/>
      <c r="B23" s="1">
        <v>120</v>
      </c>
      <c r="C23" s="1">
        <v>568</v>
      </c>
      <c r="D23" s="25"/>
      <c r="E23" s="25"/>
      <c r="F23" s="25"/>
      <c r="G23" s="25"/>
      <c r="H23" s="23"/>
      <c r="I23" s="23"/>
      <c r="J23" s="23"/>
      <c r="K23" s="23"/>
      <c r="L23" s="22"/>
      <c r="M23" s="22"/>
      <c r="R23">
        <v>2580</v>
      </c>
    </row>
    <row r="24" spans="1:24" x14ac:dyDescent="0.35">
      <c r="A24" s="17"/>
      <c r="B24" s="1">
        <v>121</v>
      </c>
      <c r="C24" s="1">
        <v>528</v>
      </c>
      <c r="D24" s="25"/>
      <c r="E24" s="25"/>
      <c r="F24" s="25"/>
      <c r="G24" s="25"/>
      <c r="H24" s="23"/>
      <c r="I24" s="23"/>
      <c r="J24" s="23"/>
      <c r="K24" s="23"/>
      <c r="L24" s="22"/>
      <c r="M24" s="22"/>
    </row>
    <row r="25" spans="1:24" x14ac:dyDescent="0.35">
      <c r="A25" s="17" t="s">
        <v>50</v>
      </c>
      <c r="B25" s="1">
        <v>205</v>
      </c>
      <c r="C25" s="1">
        <v>141</v>
      </c>
      <c r="D25" s="25">
        <v>2627.17</v>
      </c>
      <c r="E25" s="25">
        <v>-12.102399999999999</v>
      </c>
      <c r="F25" s="25">
        <v>176.779</v>
      </c>
      <c r="G25" s="25">
        <v>0.83528199999999997</v>
      </c>
      <c r="H25" s="23">
        <v>211.346</v>
      </c>
      <c r="I25" s="23">
        <v>1.8996800000000001E-2</v>
      </c>
      <c r="J25" s="23">
        <v>0.77722000000000002</v>
      </c>
      <c r="K25" s="23">
        <v>1.5429200000000001E-2</v>
      </c>
      <c r="L25" s="22">
        <v>2359.21</v>
      </c>
      <c r="M25" s="22">
        <v>53.866999999999997</v>
      </c>
    </row>
    <row r="26" spans="1:24" x14ac:dyDescent="0.35">
      <c r="A26" s="17"/>
      <c r="B26" s="1">
        <v>206</v>
      </c>
      <c r="C26" s="1">
        <v>131</v>
      </c>
      <c r="D26" s="25"/>
      <c r="E26" s="25"/>
      <c r="F26" s="25"/>
      <c r="G26" s="25"/>
      <c r="H26" s="23"/>
      <c r="I26" s="23"/>
      <c r="J26" s="23"/>
      <c r="K26" s="23"/>
      <c r="L26" s="22"/>
      <c r="M26" s="22"/>
    </row>
    <row r="27" spans="1:24" x14ac:dyDescent="0.35">
      <c r="A27" s="17"/>
      <c r="B27" s="1">
        <v>207</v>
      </c>
      <c r="C27" s="1">
        <v>121</v>
      </c>
      <c r="D27" s="25"/>
      <c r="E27" s="25"/>
      <c r="F27" s="25"/>
      <c r="G27" s="25"/>
      <c r="H27" s="23"/>
      <c r="I27" s="23"/>
      <c r="J27" s="23"/>
      <c r="K27" s="23"/>
      <c r="L27" s="22"/>
      <c r="M27" s="22"/>
    </row>
    <row r="28" spans="1:24" x14ac:dyDescent="0.35">
      <c r="A28" s="17"/>
      <c r="B28" s="1">
        <v>208</v>
      </c>
      <c r="C28" s="1">
        <v>105</v>
      </c>
      <c r="D28" s="25"/>
      <c r="E28" s="25"/>
      <c r="F28" s="25"/>
      <c r="G28" s="25"/>
      <c r="H28" s="23"/>
      <c r="I28" s="23"/>
      <c r="J28" s="23"/>
      <c r="K28" s="23"/>
      <c r="L28" s="22"/>
      <c r="M28" s="22"/>
    </row>
    <row r="29" spans="1:24" x14ac:dyDescent="0.35">
      <c r="A29" s="17"/>
      <c r="B29" s="1">
        <v>209</v>
      </c>
      <c r="C29" s="1">
        <v>139</v>
      </c>
      <c r="D29" s="25"/>
      <c r="E29" s="25"/>
      <c r="F29" s="25"/>
      <c r="G29" s="25"/>
      <c r="H29" s="23"/>
      <c r="I29" s="23"/>
      <c r="J29" s="23"/>
      <c r="K29" s="23"/>
      <c r="L29" s="22"/>
      <c r="M29" s="22"/>
    </row>
    <row r="30" spans="1:24" x14ac:dyDescent="0.35">
      <c r="A30" s="17"/>
      <c r="B30" s="1">
        <v>210</v>
      </c>
      <c r="C30" s="1">
        <v>372</v>
      </c>
      <c r="D30" s="25"/>
      <c r="E30" s="25"/>
      <c r="F30" s="25"/>
      <c r="G30" s="25"/>
      <c r="H30" s="23"/>
      <c r="I30" s="23"/>
      <c r="J30" s="23"/>
      <c r="K30" s="23"/>
      <c r="L30" s="22"/>
      <c r="M30" s="22"/>
    </row>
    <row r="31" spans="1:24" x14ac:dyDescent="0.35">
      <c r="A31" s="17"/>
      <c r="B31" s="1">
        <v>211</v>
      </c>
      <c r="C31" s="1">
        <v>1120</v>
      </c>
      <c r="D31" s="25"/>
      <c r="E31" s="25"/>
      <c r="F31" s="25"/>
      <c r="G31" s="25"/>
      <c r="H31" s="23"/>
      <c r="I31" s="23"/>
      <c r="J31" s="23"/>
      <c r="K31" s="23"/>
      <c r="L31" s="22"/>
      <c r="M31" s="22"/>
    </row>
    <row r="32" spans="1:24" x14ac:dyDescent="0.35">
      <c r="A32" s="17"/>
      <c r="B32" s="1">
        <v>212</v>
      </c>
      <c r="C32" s="1">
        <v>972</v>
      </c>
      <c r="D32" s="25"/>
      <c r="E32" s="25"/>
      <c r="F32" s="25"/>
      <c r="G32" s="25"/>
      <c r="H32" s="23"/>
      <c r="I32" s="23"/>
      <c r="J32" s="23"/>
      <c r="K32" s="23"/>
      <c r="L32" s="22"/>
      <c r="M32" s="22"/>
    </row>
    <row r="33" spans="1:13" x14ac:dyDescent="0.35">
      <c r="A33" s="17"/>
      <c r="B33" s="1">
        <v>213</v>
      </c>
      <c r="C33" s="1">
        <v>154</v>
      </c>
      <c r="D33" s="25"/>
      <c r="E33" s="25"/>
      <c r="F33" s="25"/>
      <c r="G33" s="25"/>
      <c r="H33" s="23"/>
      <c r="I33" s="23"/>
      <c r="J33" s="23"/>
      <c r="K33" s="23"/>
      <c r="L33" s="22"/>
      <c r="M33" s="22"/>
    </row>
    <row r="34" spans="1:13" x14ac:dyDescent="0.35">
      <c r="A34" s="17"/>
      <c r="B34" s="1">
        <v>214</v>
      </c>
      <c r="C34" s="1">
        <v>34</v>
      </c>
      <c r="D34" s="25"/>
      <c r="E34" s="25"/>
      <c r="F34" s="25"/>
      <c r="G34" s="25"/>
      <c r="H34" s="23"/>
      <c r="I34" s="23"/>
      <c r="J34" s="23"/>
      <c r="K34" s="23"/>
      <c r="L34" s="22"/>
      <c r="M34" s="22"/>
    </row>
    <row r="35" spans="1:13" x14ac:dyDescent="0.35">
      <c r="A35" s="17"/>
      <c r="B35" s="1">
        <v>215</v>
      </c>
      <c r="C35" s="1">
        <v>31</v>
      </c>
      <c r="D35" s="25"/>
      <c r="E35" s="25"/>
      <c r="F35" s="25"/>
      <c r="G35" s="25"/>
      <c r="H35" s="23"/>
      <c r="I35" s="23"/>
      <c r="J35" s="23"/>
      <c r="K35" s="23"/>
      <c r="L35" s="22"/>
      <c r="M35" s="22"/>
    </row>
    <row r="36" spans="1:13" ht="13.75" customHeight="1" x14ac:dyDescent="0.35">
      <c r="A36" s="24" t="s">
        <v>51</v>
      </c>
      <c r="B36" s="1">
        <v>220</v>
      </c>
      <c r="C36" s="1">
        <v>33</v>
      </c>
      <c r="D36" s="25">
        <v>29.043600000000001</v>
      </c>
      <c r="E36" s="25">
        <v>2.0008699999999999</v>
      </c>
      <c r="F36" s="25" t="s">
        <v>43</v>
      </c>
      <c r="G36" s="25" t="s">
        <v>43</v>
      </c>
      <c r="H36" s="23">
        <v>227.161</v>
      </c>
      <c r="I36" s="23">
        <v>5.6705699999999998E-2</v>
      </c>
      <c r="J36" s="23">
        <v>0.81362599999999996</v>
      </c>
      <c r="K36" s="23">
        <v>5.8854299999999998E-2</v>
      </c>
      <c r="L36" s="22">
        <v>357.74700000000001</v>
      </c>
      <c r="M36" s="22">
        <v>24.202999999999999</v>
      </c>
    </row>
    <row r="37" spans="1:13" x14ac:dyDescent="0.35">
      <c r="A37" s="24"/>
      <c r="B37" s="1">
        <v>221</v>
      </c>
      <c r="C37" s="1">
        <v>28</v>
      </c>
      <c r="D37" s="25"/>
      <c r="E37" s="25"/>
      <c r="F37" s="25"/>
      <c r="G37" s="25"/>
      <c r="H37" s="23"/>
      <c r="I37" s="23"/>
      <c r="J37" s="23"/>
      <c r="K37" s="23"/>
      <c r="L37" s="22"/>
      <c r="M37" s="22"/>
    </row>
    <row r="38" spans="1:13" x14ac:dyDescent="0.35">
      <c r="A38" s="24"/>
      <c r="B38" s="1">
        <v>222</v>
      </c>
      <c r="C38" s="1">
        <v>24</v>
      </c>
      <c r="D38" s="25"/>
      <c r="E38" s="25"/>
      <c r="F38" s="25"/>
      <c r="G38" s="25"/>
      <c r="H38" s="23"/>
      <c r="I38" s="23"/>
      <c r="J38" s="23"/>
      <c r="K38" s="23"/>
      <c r="L38" s="22"/>
      <c r="M38" s="22"/>
    </row>
    <row r="39" spans="1:13" x14ac:dyDescent="0.35">
      <c r="A39" s="24"/>
      <c r="B39" s="1">
        <v>223</v>
      </c>
      <c r="C39" s="1">
        <v>36</v>
      </c>
      <c r="D39" s="25"/>
      <c r="E39" s="25"/>
      <c r="F39" s="25"/>
      <c r="G39" s="25"/>
      <c r="H39" s="23"/>
      <c r="I39" s="23"/>
      <c r="J39" s="23"/>
      <c r="K39" s="23"/>
      <c r="L39" s="22"/>
      <c r="M39" s="22"/>
    </row>
    <row r="40" spans="1:13" x14ac:dyDescent="0.35">
      <c r="A40" s="24"/>
      <c r="B40" s="1">
        <v>224</v>
      </c>
      <c r="C40" s="1">
        <v>24</v>
      </c>
      <c r="D40" s="25"/>
      <c r="E40" s="25"/>
      <c r="F40" s="25"/>
      <c r="G40" s="25"/>
      <c r="H40" s="23"/>
      <c r="I40" s="23"/>
      <c r="J40" s="23"/>
      <c r="K40" s="23"/>
      <c r="L40" s="22"/>
      <c r="M40" s="22"/>
    </row>
    <row r="41" spans="1:13" x14ac:dyDescent="0.35">
      <c r="A41" s="24"/>
      <c r="B41" s="1">
        <v>225</v>
      </c>
      <c r="C41" s="1">
        <v>33</v>
      </c>
      <c r="D41" s="25"/>
      <c r="E41" s="25"/>
      <c r="F41" s="25"/>
      <c r="G41" s="25"/>
      <c r="H41" s="23"/>
      <c r="I41" s="23"/>
      <c r="J41" s="23"/>
      <c r="K41" s="23"/>
      <c r="L41" s="22"/>
      <c r="M41" s="22"/>
    </row>
    <row r="42" spans="1:13" x14ac:dyDescent="0.35">
      <c r="A42" s="24"/>
      <c r="B42" s="1">
        <v>226</v>
      </c>
      <c r="C42" s="1">
        <v>91</v>
      </c>
      <c r="D42" s="25"/>
      <c r="E42" s="25"/>
      <c r="F42" s="25"/>
      <c r="G42" s="25"/>
      <c r="H42" s="23"/>
      <c r="I42" s="23"/>
      <c r="J42" s="23"/>
      <c r="K42" s="23"/>
      <c r="L42" s="22"/>
      <c r="M42" s="22"/>
    </row>
    <row r="43" spans="1:13" x14ac:dyDescent="0.35">
      <c r="A43" s="24"/>
      <c r="B43" s="1">
        <v>227</v>
      </c>
      <c r="C43" s="1">
        <v>206</v>
      </c>
      <c r="D43" s="25"/>
      <c r="E43" s="25"/>
      <c r="F43" s="25"/>
      <c r="G43" s="25"/>
      <c r="H43" s="23"/>
      <c r="I43" s="23"/>
      <c r="J43" s="23"/>
      <c r="K43" s="23"/>
      <c r="L43" s="22"/>
      <c r="M43" s="22"/>
    </row>
    <row r="44" spans="1:13" x14ac:dyDescent="0.35">
      <c r="A44" s="24"/>
      <c r="B44" s="1">
        <v>228</v>
      </c>
      <c r="C44" s="1">
        <v>127</v>
      </c>
      <c r="D44" s="25"/>
      <c r="E44" s="25"/>
      <c r="F44" s="25"/>
      <c r="G44" s="25"/>
      <c r="H44" s="23"/>
      <c r="I44" s="23"/>
      <c r="J44" s="23"/>
      <c r="K44" s="23"/>
      <c r="L44" s="22"/>
      <c r="M44" s="22"/>
    </row>
    <row r="45" spans="1:13" x14ac:dyDescent="0.35">
      <c r="A45" s="24"/>
      <c r="B45" s="1">
        <v>229</v>
      </c>
      <c r="C45" s="1">
        <v>46</v>
      </c>
      <c r="D45" s="25"/>
      <c r="E45" s="25"/>
      <c r="F45" s="25"/>
      <c r="G45" s="25"/>
      <c r="H45" s="23"/>
      <c r="I45" s="23"/>
      <c r="J45" s="23"/>
      <c r="K45" s="23"/>
      <c r="L45" s="22"/>
      <c r="M45" s="22"/>
    </row>
    <row r="46" spans="1:13" x14ac:dyDescent="0.35">
      <c r="A46" s="24"/>
      <c r="B46" s="1">
        <v>300</v>
      </c>
      <c r="C46" s="1">
        <v>73</v>
      </c>
      <c r="D46" s="25"/>
      <c r="E46" s="25"/>
      <c r="F46" s="25"/>
      <c r="G46" s="25"/>
      <c r="H46" s="23"/>
      <c r="I46" s="23"/>
      <c r="J46" s="23"/>
      <c r="K46" s="23"/>
      <c r="L46" s="22"/>
      <c r="M46" s="22"/>
    </row>
    <row r="47" spans="1:13" x14ac:dyDescent="0.35">
      <c r="A47" s="24"/>
      <c r="B47" s="1">
        <v>301</v>
      </c>
      <c r="C47" s="1">
        <v>20</v>
      </c>
      <c r="D47" s="25"/>
      <c r="E47" s="25"/>
      <c r="F47" s="25"/>
      <c r="G47" s="25"/>
      <c r="H47" s="23"/>
      <c r="I47" s="23"/>
      <c r="J47" s="23"/>
      <c r="K47" s="23"/>
      <c r="L47" s="22"/>
      <c r="M47" s="22"/>
    </row>
    <row r="48" spans="1:13" x14ac:dyDescent="0.35">
      <c r="A48" s="24"/>
      <c r="B48" s="1">
        <v>302</v>
      </c>
      <c r="C48" s="1">
        <v>0</v>
      </c>
      <c r="D48" s="25"/>
      <c r="E48" s="25"/>
      <c r="F48" s="25"/>
      <c r="G48" s="25"/>
      <c r="H48" s="23"/>
      <c r="I48" s="23"/>
      <c r="J48" s="23"/>
      <c r="K48" s="23"/>
      <c r="L48" s="22"/>
      <c r="M48" s="22"/>
    </row>
  </sheetData>
  <mergeCells count="54">
    <mergeCell ref="A1:C1"/>
    <mergeCell ref="D1:G1"/>
    <mergeCell ref="H1:M1"/>
    <mergeCell ref="P1:R1"/>
    <mergeCell ref="W1:AB1"/>
    <mergeCell ref="A3:A13"/>
    <mergeCell ref="D3:D13"/>
    <mergeCell ref="E3:E13"/>
    <mergeCell ref="F3:F13"/>
    <mergeCell ref="G3:G13"/>
    <mergeCell ref="H3:H13"/>
    <mergeCell ref="I3:I13"/>
    <mergeCell ref="J3:J13"/>
    <mergeCell ref="K3:K13"/>
    <mergeCell ref="L3:L13"/>
    <mergeCell ref="M3:M13"/>
    <mergeCell ref="P5:S5"/>
    <mergeCell ref="Y10:Y11"/>
    <mergeCell ref="Z10:Z11"/>
    <mergeCell ref="Y12:Y13"/>
    <mergeCell ref="Z12:Z13"/>
    <mergeCell ref="L14:L24"/>
    <mergeCell ref="A14:A24"/>
    <mergeCell ref="D14:D24"/>
    <mergeCell ref="E14:E24"/>
    <mergeCell ref="F14:F24"/>
    <mergeCell ref="G14:G24"/>
    <mergeCell ref="M14:M24"/>
    <mergeCell ref="A25:A35"/>
    <mergeCell ref="D25:D35"/>
    <mergeCell ref="E25:E35"/>
    <mergeCell ref="F25:F35"/>
    <mergeCell ref="G25:G35"/>
    <mergeCell ref="H25:H35"/>
    <mergeCell ref="I25:I35"/>
    <mergeCell ref="J25:J35"/>
    <mergeCell ref="K25:K35"/>
    <mergeCell ref="L25:L35"/>
    <mergeCell ref="M25:M35"/>
    <mergeCell ref="H14:H24"/>
    <mergeCell ref="I14:I24"/>
    <mergeCell ref="J14:J24"/>
    <mergeCell ref="K14:K24"/>
    <mergeCell ref="A36:A48"/>
    <mergeCell ref="D36:D48"/>
    <mergeCell ref="E36:E48"/>
    <mergeCell ref="F36:F48"/>
    <mergeCell ref="G36:G48"/>
    <mergeCell ref="M36:M48"/>
    <mergeCell ref="H36:H48"/>
    <mergeCell ref="I36:I48"/>
    <mergeCell ref="J36:J48"/>
    <mergeCell ref="K36:K48"/>
    <mergeCell ref="L36:L4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zoomScaleNormal="100" workbookViewId="0">
      <selection activeCell="B11" sqref="B11"/>
    </sheetView>
  </sheetViews>
  <sheetFormatPr defaultRowHeight="14.5" x14ac:dyDescent="0.35"/>
  <cols>
    <col min="1" max="1" width="8.54296875"/>
    <col min="2" max="2" width="9.453125"/>
    <col min="3" max="1025" width="8.54296875"/>
  </cols>
  <sheetData>
    <row r="1" spans="1:2" x14ac:dyDescent="0.35">
      <c r="A1" t="s">
        <v>1</v>
      </c>
      <c r="B1" t="s">
        <v>2</v>
      </c>
    </row>
    <row r="2" spans="1:2" x14ac:dyDescent="0.35">
      <c r="A2">
        <v>10</v>
      </c>
      <c r="B2">
        <v>6388</v>
      </c>
    </row>
    <row r="3" spans="1:2" x14ac:dyDescent="0.35">
      <c r="A3">
        <v>16</v>
      </c>
      <c r="B3">
        <v>5097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E3924-58A6-4912-AAD6-1D34886AA02B}">
  <dimension ref="B2:L13"/>
  <sheetViews>
    <sheetView tabSelected="1" workbookViewId="0">
      <selection activeCell="K7" sqref="B2:K7"/>
    </sheetView>
  </sheetViews>
  <sheetFormatPr defaultRowHeight="14.5" x14ac:dyDescent="0.35"/>
  <cols>
    <col min="2" max="2" width="10" bestFit="1" customWidth="1"/>
    <col min="3" max="3" width="21.81640625" bestFit="1" customWidth="1"/>
    <col min="4" max="4" width="7.36328125" bestFit="1" customWidth="1"/>
    <col min="5" max="5" width="6.36328125" bestFit="1" customWidth="1"/>
    <col min="6" max="6" width="11.81640625" bestFit="1" customWidth="1"/>
    <col min="7" max="7" width="6.36328125" bestFit="1" customWidth="1"/>
    <col min="8" max="8" width="11.81640625" bestFit="1" customWidth="1"/>
    <col min="9" max="9" width="10.90625" customWidth="1"/>
    <col min="10" max="10" width="13.36328125" bestFit="1" customWidth="1"/>
    <col min="11" max="11" width="11.81640625" bestFit="1" customWidth="1"/>
    <col min="12" max="12" width="8.7265625" customWidth="1"/>
  </cols>
  <sheetData>
    <row r="2" spans="2:12" x14ac:dyDescent="0.35">
      <c r="B2" s="12" t="s">
        <v>62</v>
      </c>
      <c r="C2" s="12" t="s">
        <v>23</v>
      </c>
      <c r="D2" s="12" t="s">
        <v>60</v>
      </c>
      <c r="E2" s="12" t="s">
        <v>52</v>
      </c>
      <c r="F2" s="12" t="s">
        <v>8</v>
      </c>
      <c r="G2" s="12" t="s">
        <v>52</v>
      </c>
      <c r="H2" s="12" t="s">
        <v>59</v>
      </c>
      <c r="I2" s="12" t="s">
        <v>52</v>
      </c>
      <c r="J2" s="12" t="s">
        <v>58</v>
      </c>
      <c r="K2" s="12" t="s">
        <v>52</v>
      </c>
    </row>
    <row r="3" spans="2:12" x14ac:dyDescent="0.35">
      <c r="B3" s="11" t="s">
        <v>57</v>
      </c>
      <c r="C3" s="6" t="s">
        <v>56</v>
      </c>
      <c r="D3" s="7">
        <v>620</v>
      </c>
      <c r="E3" s="7">
        <f>SQRT(D10^2*0.0024^4+(Calibracao!J24)^2*(Calibracao!C24)^4+(0.097)^2)</f>
        <v>9.7545794047014675E-2</v>
      </c>
      <c r="F3">
        <v>5.88</v>
      </c>
      <c r="H3" s="10">
        <f>F3*Calibracao!J24</f>
        <v>31.230531523415397</v>
      </c>
      <c r="I3" s="10">
        <f>F3*0.0024</f>
        <v>1.4111999999999998E-2</v>
      </c>
      <c r="J3" s="15">
        <f>H3/D3*100</f>
        <v>5.0371825037766769</v>
      </c>
      <c r="K3" s="15">
        <f>SQRT((I3/D3)^2+(H3*E3/(D3)^2)^2)*100</f>
        <v>2.4101524591110647E-3</v>
      </c>
    </row>
    <row r="4" spans="2:12" x14ac:dyDescent="0.35">
      <c r="B4" s="28" t="s">
        <v>55</v>
      </c>
      <c r="C4" s="6" t="s">
        <v>54</v>
      </c>
      <c r="D4" s="7">
        <v>468.49062706023813</v>
      </c>
      <c r="E4" s="7">
        <v>0.22675744430732078</v>
      </c>
      <c r="F4" s="14">
        <f t="shared" ref="F4:G7" si="0">E10/2.355</f>
        <v>0.30852356687898091</v>
      </c>
      <c r="G4" s="14">
        <f t="shared" si="0"/>
        <v>3.8997622080679407E-3</v>
      </c>
      <c r="H4" s="10">
        <f>F4*Bismuto!Y$3</f>
        <v>1.3955089505258234</v>
      </c>
      <c r="I4" s="10">
        <f>SQRT((F4*Bismuto!Z$3)^2+(Bismuto!Y$3*G4)^2)</f>
        <v>1.7650155202980685E-2</v>
      </c>
      <c r="J4" s="15">
        <f>H4/D4 *100</f>
        <v>0.29787339808324276</v>
      </c>
      <c r="K4" s="15">
        <f>SQRT((I4/D4)^2+(H4*E4/(D4)^2)^2)*100</f>
        <v>3.770208790489876E-3</v>
      </c>
    </row>
    <row r="5" spans="2:12" x14ac:dyDescent="0.35">
      <c r="B5" s="28"/>
      <c r="C5" s="6" t="s">
        <v>63</v>
      </c>
      <c r="D5" s="7">
        <v>521.40972445027194</v>
      </c>
      <c r="E5" s="7">
        <v>0.29781798423779776</v>
      </c>
      <c r="F5" s="13">
        <f t="shared" si="0"/>
        <v>0.33809256900212314</v>
      </c>
      <c r="G5" s="13">
        <f t="shared" si="0"/>
        <v>1.9756008492569001E-2</v>
      </c>
      <c r="H5" s="7">
        <f>F5*Bismuto!Y$3</f>
        <v>1.5292549963737501</v>
      </c>
      <c r="I5" s="10">
        <f>SQRT((F5*Bismuto!Z$3)^2+(Bismuto!Y$3*G5)^2)</f>
        <v>8.9362630936500737E-2</v>
      </c>
      <c r="J5" s="10">
        <f>H5/D5 *100</f>
        <v>0.29329238114729456</v>
      </c>
      <c r="K5" s="10">
        <f>SQRT((I5/D5)^2+(H5*E5/(D5)^2)^2)*100</f>
        <v>1.7139476990633312E-2</v>
      </c>
    </row>
    <row r="6" spans="2:12" x14ac:dyDescent="0.35">
      <c r="B6" s="28"/>
      <c r="C6" s="6" t="s">
        <v>53</v>
      </c>
      <c r="D6" s="7">
        <v>947.51712280260722</v>
      </c>
      <c r="E6" s="7">
        <v>0.43464209984660729</v>
      </c>
      <c r="F6" s="14">
        <f t="shared" si="0"/>
        <v>0.33002972399150743</v>
      </c>
      <c r="G6" s="14">
        <f t="shared" si="0"/>
        <v>6.5516772823779193E-3</v>
      </c>
      <c r="H6" s="10">
        <f>F6*Bismuto!Y$3</f>
        <v>1.4927852624962397</v>
      </c>
      <c r="I6" s="10">
        <f>SQRT((F6*Bismuto!Z$3)^2+(Bismuto!Y$3*G6)^2)</f>
        <v>2.964180925207522E-2</v>
      </c>
      <c r="J6" s="15">
        <f t="shared" ref="J6:J7" si="1">H6/D6 *100</f>
        <v>0.15754704865710656</v>
      </c>
      <c r="K6" s="15">
        <f t="shared" ref="K6:K7" si="2">SQRT((I6/D6)^2+(H6*E6/(D6)^2)^2)*100</f>
        <v>3.1292012556446364E-3</v>
      </c>
    </row>
    <row r="7" spans="2:12" x14ac:dyDescent="0.35">
      <c r="B7" s="28"/>
      <c r="C7" s="6" t="s">
        <v>64</v>
      </c>
      <c r="D7" s="7">
        <v>1018.2383941583098</v>
      </c>
      <c r="E7" s="7">
        <v>0.52265507512669862</v>
      </c>
      <c r="F7" s="13">
        <f t="shared" si="0"/>
        <v>0.34548874734607216</v>
      </c>
      <c r="G7" s="13">
        <f t="shared" si="0"/>
        <v>2.4991210191082802E-2</v>
      </c>
      <c r="H7" s="7">
        <f>F7*Bismuto!Y$3</f>
        <v>1.5627092740585231</v>
      </c>
      <c r="I7" s="10">
        <f>SQRT((F7*Bismuto!Z$3)^2+(Bismuto!Y$3*G7)^2)</f>
        <v>0.11304196561121307</v>
      </c>
      <c r="J7" s="10">
        <f t="shared" si="1"/>
        <v>0.15347184736146988</v>
      </c>
      <c r="K7" s="10">
        <f t="shared" si="2"/>
        <v>1.1101998521544735E-2</v>
      </c>
    </row>
    <row r="8" spans="2:12" x14ac:dyDescent="0.35">
      <c r="D8" s="10"/>
      <c r="G8" s="9"/>
      <c r="I8" s="6"/>
      <c r="J8" s="6"/>
      <c r="K8" s="6"/>
      <c r="L8" s="8"/>
    </row>
    <row r="9" spans="2:12" x14ac:dyDescent="0.35">
      <c r="D9" s="12" t="s">
        <v>61</v>
      </c>
      <c r="E9" s="16" t="s">
        <v>28</v>
      </c>
      <c r="F9" s="16" t="s">
        <v>52</v>
      </c>
    </row>
    <row r="10" spans="2:12" x14ac:dyDescent="0.35">
      <c r="D10" s="6">
        <v>116.19</v>
      </c>
      <c r="E10" s="3">
        <v>0.72657300000000002</v>
      </c>
      <c r="F10" s="3">
        <v>9.1839399999999998E-3</v>
      </c>
    </row>
    <row r="11" spans="2:12" x14ac:dyDescent="0.35">
      <c r="E11" s="3">
        <v>0.79620800000000003</v>
      </c>
      <c r="F11" s="3">
        <v>4.6525400000000001E-2</v>
      </c>
    </row>
    <row r="12" spans="2:12" x14ac:dyDescent="0.35">
      <c r="E12" s="3">
        <v>0.77722000000000002</v>
      </c>
      <c r="F12" s="3">
        <v>1.5429200000000001E-2</v>
      </c>
    </row>
    <row r="13" spans="2:12" x14ac:dyDescent="0.35">
      <c r="E13" s="3">
        <v>0.81362599999999996</v>
      </c>
      <c r="F13" s="3">
        <v>5.8854299999999998E-2</v>
      </c>
    </row>
  </sheetData>
  <mergeCells count="1">
    <mergeCell ref="B4:B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Calibracao</vt:lpstr>
      <vt:lpstr>Talio</vt:lpstr>
      <vt:lpstr>Bismuto</vt:lpstr>
      <vt:lpstr>Auger</vt:lpstr>
      <vt:lpstr>Resolução Energia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Duque</dc:creator>
  <dc:description/>
  <cp:lastModifiedBy>João Bravo</cp:lastModifiedBy>
  <cp:revision>6</cp:revision>
  <dcterms:created xsi:type="dcterms:W3CDTF">2017-11-29T20:24:49Z</dcterms:created>
  <dcterms:modified xsi:type="dcterms:W3CDTF">2017-12-01T22:37:57Z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