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oao_\Downloads\"/>
    </mc:Choice>
  </mc:AlternateContent>
  <bookViews>
    <workbookView xWindow="0" yWindow="0" windowWidth="19200" windowHeight="8190" activeTab="5" xr2:uid="{00000000-000D-0000-FFFF-FFFF00000000}"/>
  </bookViews>
  <sheets>
    <sheet name="Pre" sheetId="2" r:id="rId1"/>
    <sheet name="Calibração" sheetId="1" r:id="rId2"/>
    <sheet name="Massa eletrao" sheetId="4" r:id="rId3"/>
    <sheet name="Seção eficaz Diferencial " sheetId="3" r:id="rId4"/>
    <sheet name="Picos" sheetId="5" r:id="rId5"/>
    <sheet name="Estatistica" sheetId="6" r:id="rId6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3" l="1"/>
  <c r="G8" i="3"/>
  <c r="G9" i="3"/>
  <c r="G10" i="3"/>
  <c r="G11" i="3"/>
  <c r="K9" i="4" l="1"/>
  <c r="N4" i="6" l="1"/>
  <c r="N5" i="6"/>
  <c r="N6" i="6"/>
  <c r="N7" i="6"/>
  <c r="N8" i="6"/>
  <c r="N3" i="6"/>
  <c r="M4" i="6"/>
  <c r="M5" i="6"/>
  <c r="M6" i="6"/>
  <c r="M7" i="6"/>
  <c r="M8" i="6"/>
  <c r="M3" i="6"/>
  <c r="D31" i="3"/>
  <c r="D30" i="3"/>
  <c r="D29" i="3"/>
  <c r="D28" i="3"/>
  <c r="D27" i="3"/>
  <c r="D26" i="3"/>
  <c r="H4" i="6"/>
  <c r="H5" i="6"/>
  <c r="H6" i="6"/>
  <c r="H7" i="6"/>
  <c r="H8" i="6"/>
  <c r="G4" i="6"/>
  <c r="G5" i="6"/>
  <c r="G6" i="6"/>
  <c r="G7" i="6"/>
  <c r="G8" i="6"/>
  <c r="H3" i="6"/>
  <c r="G3" i="6"/>
  <c r="G6" i="3"/>
  <c r="I6" i="3" s="1"/>
  <c r="O6" i="3" s="1"/>
  <c r="M6" i="3"/>
  <c r="I7" i="3"/>
  <c r="O7" i="3" s="1"/>
  <c r="M7" i="3"/>
  <c r="N6" i="3"/>
  <c r="H6" i="3"/>
  <c r="J6" i="3" s="1"/>
  <c r="N7" i="3"/>
  <c r="H7" i="3"/>
  <c r="J7" i="3" s="1"/>
  <c r="I8" i="3"/>
  <c r="O8" i="3" s="1"/>
  <c r="M8" i="3"/>
  <c r="N8" i="3"/>
  <c r="H8" i="3"/>
  <c r="J8" i="3"/>
  <c r="I9" i="3"/>
  <c r="O9" i="3" s="1"/>
  <c r="M9" i="3"/>
  <c r="N9" i="3"/>
  <c r="H9" i="3"/>
  <c r="J9" i="3"/>
  <c r="I10" i="3"/>
  <c r="O10" i="3" s="1"/>
  <c r="M10" i="3"/>
  <c r="N10" i="3"/>
  <c r="H10" i="3"/>
  <c r="J10" i="3"/>
  <c r="I11" i="3"/>
  <c r="O11" i="3" s="1"/>
  <c r="M11" i="3"/>
  <c r="N11" i="3"/>
  <c r="H11" i="3"/>
  <c r="J11" i="3"/>
  <c r="D21" i="3"/>
  <c r="D20" i="3"/>
  <c r="D19" i="3"/>
  <c r="D18" i="3"/>
  <c r="D17" i="3"/>
  <c r="D16" i="3"/>
  <c r="F3" i="4"/>
  <c r="F4" i="4"/>
  <c r="F5" i="4"/>
  <c r="F6" i="4"/>
  <c r="F7" i="4"/>
  <c r="F8" i="4"/>
  <c r="F9" i="4"/>
  <c r="P9" i="4" s="1"/>
  <c r="K3" i="4"/>
  <c r="M3" i="4" s="1"/>
  <c r="O9" i="4"/>
  <c r="K4" i="4"/>
  <c r="M4" i="4" s="1"/>
  <c r="N4" i="4" s="1"/>
  <c r="L4" i="4"/>
  <c r="K5" i="4"/>
  <c r="M5" i="4" s="1"/>
  <c r="N5" i="4" s="1"/>
  <c r="L5" i="4"/>
  <c r="K6" i="4"/>
  <c r="M6" i="4" s="1"/>
  <c r="N6" i="4" s="1"/>
  <c r="L6" i="4"/>
  <c r="K7" i="4"/>
  <c r="M7" i="4" s="1"/>
  <c r="N7" i="4" s="1"/>
  <c r="L7" i="4"/>
  <c r="K8" i="4"/>
  <c r="M8" i="4" s="1"/>
  <c r="N8" i="4" s="1"/>
  <c r="L8" i="4"/>
  <c r="M9" i="4"/>
  <c r="N9" i="4" s="1"/>
  <c r="L9" i="4"/>
  <c r="L3" i="4"/>
  <c r="E8" i="4"/>
  <c r="P8" i="4" s="1"/>
  <c r="I6" i="4"/>
  <c r="J6" i="4" s="1"/>
  <c r="I8" i="4"/>
  <c r="J8" i="4" s="1"/>
  <c r="I4" i="4"/>
  <c r="J4" i="4" s="1"/>
  <c r="E4" i="4"/>
  <c r="P4" i="4" s="1"/>
  <c r="E5" i="4"/>
  <c r="I5" i="4" s="1"/>
  <c r="J5" i="4" s="1"/>
  <c r="E6" i="4"/>
  <c r="P6" i="4" s="1"/>
  <c r="E7" i="4"/>
  <c r="P7" i="4" s="1"/>
  <c r="E9" i="4"/>
  <c r="I9" i="4" s="1"/>
  <c r="J9" i="4" s="1"/>
  <c r="E3" i="4"/>
  <c r="P3" i="4" s="1"/>
  <c r="C6" i="3"/>
  <c r="C4" i="3"/>
  <c r="C5" i="3"/>
  <c r="C7" i="3"/>
  <c r="C8" i="3"/>
  <c r="C9" i="3"/>
  <c r="C10" i="3"/>
  <c r="C11" i="3"/>
  <c r="C3" i="3"/>
  <c r="J4" i="1"/>
  <c r="E4" i="2"/>
  <c r="F4" i="2"/>
  <c r="G4" i="2" s="1"/>
  <c r="E5" i="2"/>
  <c r="F5" i="2" s="1"/>
  <c r="G5" i="2" s="1"/>
  <c r="E6" i="2"/>
  <c r="F6" i="2"/>
  <c r="G6" i="2" s="1"/>
  <c r="E7" i="2"/>
  <c r="F7" i="2" s="1"/>
  <c r="G7" i="2" s="1"/>
  <c r="E8" i="2"/>
  <c r="F8" i="2"/>
  <c r="G8" i="2" s="1"/>
  <c r="E9" i="2"/>
  <c r="F9" i="2" s="1"/>
  <c r="G9" i="2" s="1"/>
  <c r="E10" i="2"/>
  <c r="F10" i="2"/>
  <c r="G10" i="2" s="1"/>
  <c r="J3" i="1"/>
  <c r="J2" i="1"/>
  <c r="N3" i="4" l="1"/>
  <c r="S8" i="3"/>
  <c r="P8" i="3"/>
  <c r="Q8" i="3"/>
  <c r="S6" i="3"/>
  <c r="Q6" i="3"/>
  <c r="P6" i="3"/>
  <c r="H10" i="2"/>
  <c r="Q11" i="3"/>
  <c r="P11" i="3"/>
  <c r="S11" i="3"/>
  <c r="T11" i="3" s="1"/>
  <c r="S9" i="3"/>
  <c r="Q9" i="3"/>
  <c r="P9" i="3"/>
  <c r="G11" i="2"/>
  <c r="H8" i="2" s="1"/>
  <c r="H4" i="2"/>
  <c r="S10" i="3"/>
  <c r="P10" i="3"/>
  <c r="Q10" i="3"/>
  <c r="P7" i="3"/>
  <c r="Q7" i="3"/>
  <c r="S7" i="3"/>
  <c r="P5" i="4"/>
  <c r="I7" i="4"/>
  <c r="J7" i="4" s="1"/>
  <c r="O8" i="4"/>
  <c r="O4" i="4"/>
  <c r="O7" i="4"/>
  <c r="J3" i="4"/>
  <c r="O5" i="4"/>
  <c r="F11" i="2"/>
  <c r="O3" i="4"/>
  <c r="O6" i="4"/>
  <c r="T9" i="3" l="1"/>
  <c r="R8" i="3"/>
  <c r="H7" i="2"/>
  <c r="H6" i="2"/>
  <c r="R11" i="3"/>
  <c r="R6" i="3"/>
  <c r="T8" i="3"/>
  <c r="R9" i="3"/>
  <c r="R10" i="3"/>
  <c r="T7" i="3"/>
  <c r="R7" i="3"/>
  <c r="T10" i="3"/>
  <c r="H9" i="2"/>
  <c r="H5" i="2"/>
  <c r="T6" i="3"/>
</calcChain>
</file>

<file path=xl/sharedStrings.xml><?xml version="1.0" encoding="utf-8"?>
<sst xmlns="http://schemas.openxmlformats.org/spreadsheetml/2006/main" count="146" uniqueCount="99">
  <si>
    <t>Nt</t>
  </si>
  <si>
    <t>Erro Nt</t>
  </si>
  <si>
    <t>Ns</t>
  </si>
  <si>
    <t>Erro Ns</t>
  </si>
  <si>
    <t>Energia teorica</t>
  </si>
  <si>
    <t>C</t>
  </si>
  <si>
    <t>ErroC</t>
  </si>
  <si>
    <t>FWHM</t>
  </si>
  <si>
    <t>Cesio</t>
  </si>
  <si>
    <t>t_aq</t>
  </si>
  <si>
    <t>Fonte</t>
  </si>
  <si>
    <t>Cobalto</t>
  </si>
  <si>
    <t>Sodio</t>
  </si>
  <si>
    <t>Theta (º)</t>
  </si>
  <si>
    <t>Theta (rad)</t>
  </si>
  <si>
    <t>Seção Eficaz Dif (cm^2/Sr)</t>
  </si>
  <si>
    <t>1/Sec Eficaz Dif</t>
  </si>
  <si>
    <t>t aq (s)</t>
  </si>
  <si>
    <t>Dados</t>
  </si>
  <si>
    <t>r0 (cm)</t>
  </si>
  <si>
    <t>alpha</t>
  </si>
  <si>
    <t>Total</t>
  </si>
  <si>
    <t xml:space="preserve">Angulo (º) </t>
  </si>
  <si>
    <t>Angulo (rad)</t>
  </si>
  <si>
    <t>Contagens</t>
  </si>
  <si>
    <t>Erro Contagens</t>
  </si>
  <si>
    <t>Contagens Corr</t>
  </si>
  <si>
    <t>Erro Contagens Corr</t>
  </si>
  <si>
    <t>R (counts/s)</t>
  </si>
  <si>
    <t>Erro R (conts/s)</t>
  </si>
  <si>
    <t>t aqui</t>
  </si>
  <si>
    <t>sem dif</t>
  </si>
  <si>
    <t>com dif</t>
  </si>
  <si>
    <t>-</t>
  </si>
  <si>
    <t>Centroide</t>
  </si>
  <si>
    <t>Erro Centroide</t>
  </si>
  <si>
    <t>Erro 1/EnM</t>
  </si>
  <si>
    <t>1-Cos()</t>
  </si>
  <si>
    <t>par</t>
  </si>
  <si>
    <t>err</t>
  </si>
  <si>
    <t>a</t>
  </si>
  <si>
    <t>b</t>
  </si>
  <si>
    <t>Calibração (ax+b)</t>
  </si>
  <si>
    <t>Erro Angulo</t>
  </si>
  <si>
    <t xml:space="preserve"> Eteorica (keV)</t>
  </si>
  <si>
    <t>Erro Eteorica (keV)</t>
  </si>
  <si>
    <t>Emedida</t>
  </si>
  <si>
    <t>Erro Emedida</t>
  </si>
  <si>
    <t>1/Emedida</t>
  </si>
  <si>
    <t>Erro 1-Cos()</t>
  </si>
  <si>
    <t>Fundo</t>
  </si>
  <si>
    <t>Dados do pico</t>
  </si>
  <si>
    <t>Evento</t>
  </si>
  <si>
    <t>p0</t>
  </si>
  <si>
    <t>ep0</t>
  </si>
  <si>
    <t>p1</t>
  </si>
  <si>
    <t>ep1</t>
  </si>
  <si>
    <t>erro Centroide</t>
  </si>
  <si>
    <t>sigma</t>
  </si>
  <si>
    <t>erro sigma</t>
  </si>
  <si>
    <t>erro Ns</t>
  </si>
  <si>
    <t>Chi ^2/Ndf</t>
  </si>
  <si>
    <t>c0s</t>
  </si>
  <si>
    <t>c0c</t>
  </si>
  <si>
    <t>c10s</t>
  </si>
  <si>
    <t>c10c</t>
  </si>
  <si>
    <t>c20</t>
  </si>
  <si>
    <t>c30</t>
  </si>
  <si>
    <t>c50</t>
  </si>
  <si>
    <t>c70</t>
  </si>
  <si>
    <t>c90</t>
  </si>
  <si>
    <t>fit</t>
  </si>
  <si>
    <t>x</t>
  </si>
  <si>
    <t>y</t>
  </si>
  <si>
    <t>ex</t>
  </si>
  <si>
    <t>ey</t>
  </si>
  <si>
    <t xml:space="preserve">R/R0 </t>
  </si>
  <si>
    <t>Erro R/R0</t>
  </si>
  <si>
    <t>R corr</t>
  </si>
  <si>
    <t>Erro R corr</t>
  </si>
  <si>
    <t>eficiencia intrínseca</t>
  </si>
  <si>
    <t>Eficiência</t>
  </si>
  <si>
    <t>Erro Eficiência</t>
  </si>
  <si>
    <t>Theta</t>
  </si>
  <si>
    <t>R/R0 (20)</t>
  </si>
  <si>
    <t>Erro R/R0 (20)</t>
  </si>
  <si>
    <t>R/R0 (50)</t>
  </si>
  <si>
    <t>Erro R/R0 (50)</t>
  </si>
  <si>
    <t>fit (20)</t>
  </si>
  <si>
    <t>fit (50)</t>
  </si>
  <si>
    <t>R/R0 TH (20)</t>
  </si>
  <si>
    <t>R/R0 KN (20)</t>
  </si>
  <si>
    <t>#sigma TH (20)</t>
  </si>
  <si>
    <t>#sigma KN (20)</t>
  </si>
  <si>
    <t>R/R0 TH (50)</t>
  </si>
  <si>
    <t>R/R0 KN (50)</t>
  </si>
  <si>
    <t>#sigma TH (50)</t>
  </si>
  <si>
    <t>#sigma KN (50)</t>
  </si>
  <si>
    <t>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</si>
</sst>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\ _€_-;\-* #,##0.00\ _€_-;_-* &quot;-&quot;??\ _€_-;_-@_-"/>
    <numFmt numFmtId="164" formatCode="0.000"/>
    <numFmt numFmtId="165" formatCode="0.0"/>
    <numFmt numFmtId="166" formatCode="0.0000"/>
    <numFmt numFmtId="167" formatCode="0.00000"/>
    <numFmt numFmtId="168" formatCode="_-* #,##0.00000\ _€_-;\-* #,##0.00000\ _€_-;_-* &quot;-&quot;??\ _€_-;_-@_-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3" xfId="0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9" xfId="0" applyBorder="1"/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3" fontId="0" fillId="0" borderId="0" xfId="239" applyFont="1" applyAlignment="1">
      <alignment horizontal="center" vertical="center"/>
    </xf>
    <xf numFmtId="168" fontId="0" fillId="0" borderId="0" xfId="239" applyNumberFormat="1" applyFont="1" applyAlignment="1">
      <alignment horizontal="center" vertical="center"/>
    </xf>
    <xf numFmtId="43" fontId="0" fillId="0" borderId="0" xfId="239" applyNumberFormat="1" applyFont="1" applyAlignment="1">
      <alignment horizontal="center" vertical="center"/>
    </xf>
    <xf numFmtId="167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240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" xfId="155" builtinId="8" hidden="1"/>
    <cellStyle name="Hiperligação" xfId="157" builtinId="8" hidden="1"/>
    <cellStyle name="Hiperligação" xfId="159" builtinId="8" hidden="1"/>
    <cellStyle name="Hiperligação" xfId="161" builtinId="8" hidden="1"/>
    <cellStyle name="Hiperligação" xfId="163" builtinId="8" hidden="1"/>
    <cellStyle name="Hiperligação" xfId="165" builtinId="8" hidden="1"/>
    <cellStyle name="Hiperligação" xfId="167" builtinId="8" hidden="1"/>
    <cellStyle name="Hiperligação" xfId="169" builtinId="8" hidden="1"/>
    <cellStyle name="Hiperligação" xfId="171" builtinId="8" hidden="1"/>
    <cellStyle name="Hiperligação" xfId="173" builtinId="8" hidden="1"/>
    <cellStyle name="Hiperligação" xfId="175" builtinId="8" hidden="1"/>
    <cellStyle name="Hiperligação" xfId="177" builtinId="8" hidden="1"/>
    <cellStyle name="Hiperligação" xfId="179" builtinId="8" hidden="1"/>
    <cellStyle name="Hiperligação" xfId="181" builtinId="8" hidden="1"/>
    <cellStyle name="Hiperligação" xfId="183" builtinId="8" hidden="1"/>
    <cellStyle name="Hiperligação" xfId="185" builtinId="8" hidden="1"/>
    <cellStyle name="Hiperligação" xfId="187" builtinId="8" hidden="1"/>
    <cellStyle name="Hiperligação" xfId="189" builtinId="8" hidden="1"/>
    <cellStyle name="Hiperligação" xfId="191" builtinId="8" hidden="1"/>
    <cellStyle name="Hiperligação" xfId="193" builtinId="8" hidden="1"/>
    <cellStyle name="Hiperligação" xfId="195" builtinId="8" hidden="1"/>
    <cellStyle name="Hiperligação" xfId="197" builtinId="8" hidden="1"/>
    <cellStyle name="Hiperligação" xfId="199" builtinId="8" hidden="1"/>
    <cellStyle name="Hiperligação" xfId="201" builtinId="8" hidden="1"/>
    <cellStyle name="Hiperligação" xfId="203" builtinId="8" hidden="1"/>
    <cellStyle name="Hiperligação" xfId="205" builtinId="8" hidden="1"/>
    <cellStyle name="Hiperligação" xfId="207" builtinId="8" hidden="1"/>
    <cellStyle name="Hiperligação" xfId="209" builtinId="8" hidden="1"/>
    <cellStyle name="Hiperligação" xfId="211" builtinId="8" hidden="1"/>
    <cellStyle name="Hiperligação" xfId="213" builtinId="8" hidden="1"/>
    <cellStyle name="Hiperligação" xfId="215" builtinId="8" hidden="1"/>
    <cellStyle name="Hiperligação" xfId="217" builtinId="8" hidden="1"/>
    <cellStyle name="Hiperligação" xfId="219" builtinId="8" hidden="1"/>
    <cellStyle name="Hiperligação" xfId="221" builtinId="8" hidden="1"/>
    <cellStyle name="Hiperligação" xfId="223" builtinId="8" hidden="1"/>
    <cellStyle name="Hiperligação" xfId="225" builtinId="8" hidden="1"/>
    <cellStyle name="Hiperligação" xfId="227" builtinId="8" hidden="1"/>
    <cellStyle name="Hiperligação" xfId="229" builtinId="8" hidden="1"/>
    <cellStyle name="Hiperligação" xfId="231" builtinId="8" hidden="1"/>
    <cellStyle name="Hiperligação" xfId="233" builtinId="8" hidden="1"/>
    <cellStyle name="Hiperligação" xfId="235" builtinId="8" hidden="1"/>
    <cellStyle name="Hiperligação" xfId="23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Hiperligação Visitada" xfId="156" builtinId="9" hidden="1"/>
    <cellStyle name="Hiperligação Visitada" xfId="158" builtinId="9" hidden="1"/>
    <cellStyle name="Hiperligação Visitada" xfId="160" builtinId="9" hidden="1"/>
    <cellStyle name="Hiperligação Visitada" xfId="162" builtinId="9" hidden="1"/>
    <cellStyle name="Hiperligação Visitada" xfId="164" builtinId="9" hidden="1"/>
    <cellStyle name="Hiperligação Visitada" xfId="166" builtinId="9" hidden="1"/>
    <cellStyle name="Hiperligação Visitada" xfId="168" builtinId="9" hidden="1"/>
    <cellStyle name="Hiperligação Visitada" xfId="170" builtinId="9" hidden="1"/>
    <cellStyle name="Hiperligação Visitada" xfId="172" builtinId="9" hidden="1"/>
    <cellStyle name="Hiperligação Visitada" xfId="174" builtinId="9" hidden="1"/>
    <cellStyle name="Hiperligação Visitada" xfId="176" builtinId="9" hidden="1"/>
    <cellStyle name="Hiperligação Visitada" xfId="178" builtinId="9" hidden="1"/>
    <cellStyle name="Hiperligação Visitada" xfId="180" builtinId="9" hidden="1"/>
    <cellStyle name="Hiperligação Visitada" xfId="182" builtinId="9" hidden="1"/>
    <cellStyle name="Hiperligação Visitada" xfId="184" builtinId="9" hidden="1"/>
    <cellStyle name="Hiperligação Visitada" xfId="186" builtinId="9" hidden="1"/>
    <cellStyle name="Hiperligação Visitada" xfId="188" builtinId="9" hidden="1"/>
    <cellStyle name="Hiperligação Visitada" xfId="190" builtinId="9" hidden="1"/>
    <cellStyle name="Hiperligação Visitada" xfId="192" builtinId="9" hidden="1"/>
    <cellStyle name="Hiperligação Visitada" xfId="194" builtinId="9" hidden="1"/>
    <cellStyle name="Hiperligação Visitada" xfId="196" builtinId="9" hidden="1"/>
    <cellStyle name="Hiperligação Visitada" xfId="198" builtinId="9" hidden="1"/>
    <cellStyle name="Hiperligação Visitada" xfId="200" builtinId="9" hidden="1"/>
    <cellStyle name="Hiperligação Visitada" xfId="202" builtinId="9" hidden="1"/>
    <cellStyle name="Hiperligação Visitada" xfId="204" builtinId="9" hidden="1"/>
    <cellStyle name="Hiperligação Visitada" xfId="206" builtinId="9" hidden="1"/>
    <cellStyle name="Hiperligação Visitada" xfId="208" builtinId="9" hidden="1"/>
    <cellStyle name="Hiperligação Visitada" xfId="210" builtinId="9" hidden="1"/>
    <cellStyle name="Hiperligação Visitada" xfId="212" builtinId="9" hidden="1"/>
    <cellStyle name="Hiperligação Visitada" xfId="214" builtinId="9" hidden="1"/>
    <cellStyle name="Hiperligação Visitada" xfId="216" builtinId="9" hidden="1"/>
    <cellStyle name="Hiperligação Visitada" xfId="218" builtinId="9" hidden="1"/>
    <cellStyle name="Hiperligação Visitada" xfId="220" builtinId="9" hidden="1"/>
    <cellStyle name="Hiperligação Visitada" xfId="222" builtinId="9" hidden="1"/>
    <cellStyle name="Hiperligação Visitada" xfId="224" builtinId="9" hidden="1"/>
    <cellStyle name="Hiperligação Visitada" xfId="226" builtinId="9" hidden="1"/>
    <cellStyle name="Hiperligação Visitada" xfId="228" builtinId="9" hidden="1"/>
    <cellStyle name="Hiperligação Visitada" xfId="230" builtinId="9" hidden="1"/>
    <cellStyle name="Hiperligação Visitada" xfId="232" builtinId="9" hidden="1"/>
    <cellStyle name="Hiperligação Visitada" xfId="234" builtinId="9" hidden="1"/>
    <cellStyle name="Hiperligação Visitada" xfId="236" builtinId="9" hidden="1"/>
    <cellStyle name="Hiperligação Visitada" xfId="238" builtinId="9" hidden="1"/>
    <cellStyle name="Normal" xfId="0" builtinId="0"/>
    <cellStyle name="Vírgula" xfId="23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workbookViewId="0">
      <selection activeCell="D22" sqref="D22"/>
    </sheetView>
  </sheetViews>
  <sheetFormatPr defaultColWidth="10.90625" defaultRowHeight="14.5" x14ac:dyDescent="0.35"/>
  <sheetData>
    <row r="2" spans="1:1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35">
      <c r="A3" s="7"/>
      <c r="B3" s="7"/>
      <c r="C3" s="7"/>
      <c r="D3" s="8" t="s">
        <v>13</v>
      </c>
      <c r="E3" s="8" t="s">
        <v>14</v>
      </c>
      <c r="F3" s="8" t="s">
        <v>15</v>
      </c>
      <c r="G3" s="9" t="s">
        <v>16</v>
      </c>
      <c r="H3" s="9" t="s">
        <v>17</v>
      </c>
      <c r="I3" s="7"/>
      <c r="J3" s="7"/>
      <c r="K3" s="7"/>
    </row>
    <row r="4" spans="1:11" x14ac:dyDescent="0.35">
      <c r="A4" s="7"/>
      <c r="B4" s="7"/>
      <c r="C4" s="7"/>
      <c r="D4" s="7">
        <v>0</v>
      </c>
      <c r="E4" s="7">
        <f>D4*PI()/180</f>
        <v>0</v>
      </c>
      <c r="F4" s="7">
        <f>(($B$7*$B$7)/2)*((1+COS(E4)*COS(E4))/(1+$B$8*(1-COS(E4))^2))*(1+(($B$8*$B$8)*(1-COS(E4))^2)/((1+COS(E4)*COS(E4))*(1+$B$8*(1-COS(E4)))))</f>
        <v>7.9524000000000002E-26</v>
      </c>
      <c r="G4" s="7">
        <f>1/F4</f>
        <v>1.2574820180071424E+25</v>
      </c>
      <c r="H4" s="10">
        <f>(G4/$G$11)*3600</f>
        <v>344.57466923811342</v>
      </c>
      <c r="I4" s="7"/>
      <c r="J4" s="7"/>
      <c r="K4" s="7"/>
    </row>
    <row r="5" spans="1:11" ht="15" thickBot="1" x14ac:dyDescent="0.4">
      <c r="A5" s="7"/>
      <c r="B5" s="7"/>
      <c r="C5" s="7"/>
      <c r="D5" s="7">
        <v>10</v>
      </c>
      <c r="E5" s="7">
        <f t="shared" ref="E5:E10" si="0">D5*PI()/180</f>
        <v>0.17453292519943295</v>
      </c>
      <c r="F5" s="7">
        <f t="shared" ref="F5:F10" si="1">(($B$7*$B$7)/2)*((1+COS(E5)*COS(E5))/(1+$B$8*(1-COS(E5))^2))*(1+(($B$8*$B$8)*(1-COS(E5))^2)/((1+COS(E5)*COS(E5))*(1+$B$8*(1-COS(E5)))))</f>
        <v>7.8316689473670242E-26</v>
      </c>
      <c r="G5" s="7">
        <f t="shared" ref="G5:G9" si="2">1/F5</f>
        <v>1.2768670467566126E+25</v>
      </c>
      <c r="H5" s="10">
        <f t="shared" ref="H5:H10" si="3">(G5/$G$11)*3600</f>
        <v>349.88654628595049</v>
      </c>
      <c r="I5" s="7"/>
      <c r="J5" s="7"/>
      <c r="K5" s="7"/>
    </row>
    <row r="6" spans="1:11" x14ac:dyDescent="0.35">
      <c r="A6" s="55" t="s">
        <v>18</v>
      </c>
      <c r="B6" s="56"/>
      <c r="C6" s="7"/>
      <c r="D6" s="7">
        <v>20</v>
      </c>
      <c r="E6" s="7">
        <f t="shared" si="0"/>
        <v>0.3490658503988659</v>
      </c>
      <c r="F6" s="7">
        <f t="shared" si="1"/>
        <v>7.4745327611324064E-26</v>
      </c>
      <c r="G6" s="7">
        <f t="shared" si="2"/>
        <v>1.3378762686010331E+25</v>
      </c>
      <c r="H6" s="10">
        <f t="shared" si="3"/>
        <v>366.60426640956064</v>
      </c>
      <c r="I6" s="7"/>
      <c r="J6" s="7"/>
      <c r="K6" s="7"/>
    </row>
    <row r="7" spans="1:11" x14ac:dyDescent="0.35">
      <c r="A7" s="11" t="s">
        <v>19</v>
      </c>
      <c r="B7" s="12">
        <v>2.8200000000000001E-13</v>
      </c>
      <c r="C7" s="7"/>
      <c r="D7" s="7">
        <v>30</v>
      </c>
      <c r="E7" s="7">
        <f t="shared" si="0"/>
        <v>0.52359877559829882</v>
      </c>
      <c r="F7" s="7">
        <f t="shared" si="1"/>
        <v>6.8998524557820298E-26</v>
      </c>
      <c r="G7" s="7">
        <f t="shared" si="2"/>
        <v>1.4493063531554313E+25</v>
      </c>
      <c r="H7" s="10">
        <f t="shared" si="3"/>
        <v>397.13828914601032</v>
      </c>
      <c r="I7" s="7"/>
      <c r="J7" s="7"/>
      <c r="K7" s="7"/>
    </row>
    <row r="8" spans="1:11" ht="15" thickBot="1" x14ac:dyDescent="0.4">
      <c r="A8" s="13" t="s">
        <v>20</v>
      </c>
      <c r="B8" s="14">
        <v>1.29</v>
      </c>
      <c r="C8" s="7"/>
      <c r="D8" s="7">
        <v>50</v>
      </c>
      <c r="E8" s="7">
        <f t="shared" si="0"/>
        <v>0.87266462599716477</v>
      </c>
      <c r="F8" s="7">
        <f t="shared" si="1"/>
        <v>5.3211562671111247E-26</v>
      </c>
      <c r="G8" s="7">
        <f t="shared" si="2"/>
        <v>1.8792907965901622E+25</v>
      </c>
      <c r="H8" s="10">
        <f t="shared" si="3"/>
        <v>514.96243712775527</v>
      </c>
      <c r="I8" s="7"/>
      <c r="J8" s="7"/>
      <c r="K8" s="7"/>
    </row>
    <row r="9" spans="1:11" x14ac:dyDescent="0.35">
      <c r="A9" s="7"/>
      <c r="B9" s="7"/>
      <c r="C9" s="7"/>
      <c r="D9" s="7">
        <v>70</v>
      </c>
      <c r="E9" s="7">
        <f t="shared" si="0"/>
        <v>1.2217304763960306</v>
      </c>
      <c r="F9" s="7">
        <f t="shared" si="1"/>
        <v>3.8439794620989795E-26</v>
      </c>
      <c r="G9" s="7">
        <f t="shared" si="2"/>
        <v>2.6014707150749359E+25</v>
      </c>
      <c r="H9" s="10">
        <f t="shared" si="3"/>
        <v>712.85386060645283</v>
      </c>
      <c r="I9" s="7"/>
      <c r="J9" s="7"/>
      <c r="K9" s="7"/>
    </row>
    <row r="10" spans="1:11" ht="15" thickBot="1" x14ac:dyDescent="0.4">
      <c r="A10" s="7"/>
      <c r="B10" s="7"/>
      <c r="C10" s="7"/>
      <c r="D10" s="7">
        <v>90</v>
      </c>
      <c r="E10" s="7">
        <f t="shared" si="0"/>
        <v>1.5707963267948966</v>
      </c>
      <c r="F10" s="7">
        <f t="shared" si="1"/>
        <v>2.9980916496634308E-26</v>
      </c>
      <c r="G10" s="7">
        <f>1/F10</f>
        <v>3.335455072269926E+25</v>
      </c>
      <c r="H10" s="10">
        <f t="shared" si="3"/>
        <v>913.97993118615659</v>
      </c>
      <c r="I10" s="7"/>
      <c r="J10" s="7"/>
      <c r="K10" s="7"/>
    </row>
    <row r="11" spans="1:11" ht="15" thickBot="1" x14ac:dyDescent="0.4">
      <c r="A11" s="7"/>
      <c r="B11" s="7"/>
      <c r="C11" s="7"/>
      <c r="D11" s="7"/>
      <c r="E11" s="7" t="s">
        <v>21</v>
      </c>
      <c r="F11" s="15">
        <f>SUM(F4:F10)</f>
        <v>4.2321681543154998E-25</v>
      </c>
      <c r="G11" s="15">
        <f>SUM(G4:G10)</f>
        <v>1.3137748270455245E+26</v>
      </c>
      <c r="H11" s="10"/>
      <c r="I11" s="7"/>
      <c r="J11" s="7"/>
      <c r="K11" s="7"/>
    </row>
    <row r="12" spans="1:11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</sheetData>
  <mergeCells count="1"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F28" sqref="F28"/>
    </sheetView>
  </sheetViews>
  <sheetFormatPr defaultColWidth="8.81640625" defaultRowHeight="14.5" x14ac:dyDescent="0.35"/>
  <cols>
    <col min="7" max="7" width="13.36328125" bestFit="1" customWidth="1"/>
  </cols>
  <sheetData>
    <row r="1" spans="1:10" ht="15" thickBot="1" x14ac:dyDescent="0.4">
      <c r="A1" s="2" t="s">
        <v>10</v>
      </c>
      <c r="B1" s="3" t="s">
        <v>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5</v>
      </c>
      <c r="J1" s="3" t="s">
        <v>6</v>
      </c>
    </row>
    <row r="2" spans="1:10" x14ac:dyDescent="0.35">
      <c r="A2" s="4" t="s">
        <v>8</v>
      </c>
      <c r="B2" s="5">
        <v>5</v>
      </c>
      <c r="C2" s="1">
        <v>1856</v>
      </c>
      <c r="D2" s="1">
        <v>43</v>
      </c>
      <c r="E2" s="1">
        <v>1285</v>
      </c>
      <c r="F2" s="1">
        <v>122</v>
      </c>
      <c r="G2" s="6">
        <v>662</v>
      </c>
      <c r="H2" s="1">
        <v>45.92</v>
      </c>
      <c r="I2" s="1">
        <v>901.94</v>
      </c>
      <c r="J2" s="1">
        <f>H2/(2.35*SQRT(E2))</f>
        <v>0.54510787135669614</v>
      </c>
    </row>
    <row r="3" spans="1:10" x14ac:dyDescent="0.35">
      <c r="A3" s="4" t="s">
        <v>11</v>
      </c>
      <c r="B3" s="5">
        <v>100</v>
      </c>
      <c r="C3" s="1">
        <v>1927</v>
      </c>
      <c r="D3" s="1">
        <v>44</v>
      </c>
      <c r="E3" s="1">
        <v>1131</v>
      </c>
      <c r="F3" s="1">
        <v>110</v>
      </c>
      <c r="G3" s="1">
        <v>122</v>
      </c>
      <c r="H3" s="1">
        <v>19.82</v>
      </c>
      <c r="I3" s="1">
        <v>188.76</v>
      </c>
      <c r="J3" s="1">
        <f t="shared" ref="J3" si="0">H3/(2.35*SQRT(E3))</f>
        <v>0.2507866911272349</v>
      </c>
    </row>
    <row r="4" spans="1:10" x14ac:dyDescent="0.35">
      <c r="A4" s="4" t="s">
        <v>12</v>
      </c>
      <c r="B4" s="5">
        <v>81</v>
      </c>
      <c r="C4" s="1">
        <v>2248</v>
      </c>
      <c r="D4" s="1">
        <v>47</v>
      </c>
      <c r="E4" s="1">
        <v>1620</v>
      </c>
      <c r="F4" s="1">
        <v>132</v>
      </c>
      <c r="G4" s="1">
        <v>511</v>
      </c>
      <c r="H4" s="1">
        <v>47.83</v>
      </c>
      <c r="I4" s="1">
        <v>708</v>
      </c>
      <c r="J4" s="1">
        <f>H4/(2.35*SQRT(E4))</f>
        <v>0.50567910810314387</v>
      </c>
    </row>
    <row r="5" spans="1:10" x14ac:dyDescent="0.35">
      <c r="A5" s="4"/>
      <c r="B5" s="5"/>
      <c r="C5" s="1"/>
      <c r="D5" s="1"/>
      <c r="E5" s="1"/>
      <c r="F5" s="1"/>
      <c r="G5" s="1"/>
      <c r="H5" s="1"/>
      <c r="I5" s="1"/>
      <c r="J5" s="1"/>
    </row>
    <row r="9" spans="1:10" x14ac:dyDescent="0.35">
      <c r="E9" s="1"/>
      <c r="F9" s="6"/>
    </row>
    <row r="10" spans="1:10" x14ac:dyDescent="0.35">
      <c r="E10" s="1"/>
      <c r="F10" s="1"/>
    </row>
    <row r="11" spans="1:10" x14ac:dyDescent="0.35">
      <c r="E11" s="1"/>
      <c r="F11" s="1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6"/>
  <sheetViews>
    <sheetView topLeftCell="D1" workbookViewId="0">
      <selection activeCell="L3" sqref="L3"/>
    </sheetView>
  </sheetViews>
  <sheetFormatPr defaultColWidth="10.90625" defaultRowHeight="14.5" x14ac:dyDescent="0.35"/>
  <cols>
    <col min="5" max="5" width="12.1796875" bestFit="1" customWidth="1"/>
    <col min="6" max="6" width="12.1796875" customWidth="1"/>
    <col min="8" max="8" width="12.1796875" bestFit="1" customWidth="1"/>
    <col min="9" max="9" width="13.1796875" bestFit="1" customWidth="1"/>
    <col min="10" max="10" width="15.36328125" bestFit="1" customWidth="1"/>
    <col min="11" max="11" width="16.36328125" bestFit="1" customWidth="1"/>
    <col min="12" max="12" width="16.453125" bestFit="1" customWidth="1"/>
    <col min="13" max="13" width="14.6328125" bestFit="1" customWidth="1"/>
  </cols>
  <sheetData>
    <row r="1" spans="1:2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5">
      <c r="A2" s="1"/>
      <c r="B2" s="1"/>
      <c r="C2" s="1"/>
      <c r="D2" s="16" t="s">
        <v>22</v>
      </c>
      <c r="E2" s="16" t="s">
        <v>23</v>
      </c>
      <c r="F2" s="16" t="s">
        <v>43</v>
      </c>
      <c r="G2" s="16" t="s">
        <v>34</v>
      </c>
      <c r="H2" s="16" t="s">
        <v>35</v>
      </c>
      <c r="I2" s="16" t="s">
        <v>44</v>
      </c>
      <c r="J2" s="16" t="s">
        <v>45</v>
      </c>
      <c r="K2" s="16" t="s">
        <v>46</v>
      </c>
      <c r="L2" s="16" t="s">
        <v>47</v>
      </c>
      <c r="M2" s="16" t="s">
        <v>48</v>
      </c>
      <c r="N2" s="16" t="s">
        <v>36</v>
      </c>
      <c r="O2" s="16" t="s">
        <v>37</v>
      </c>
      <c r="P2" s="16" t="s">
        <v>49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5">
      <c r="A3" s="1"/>
      <c r="B3" s="1"/>
      <c r="C3" s="1"/>
      <c r="D3" s="1">
        <v>0</v>
      </c>
      <c r="E3" s="1">
        <f>D3*PI()/180</f>
        <v>0</v>
      </c>
      <c r="F3" s="1">
        <f>PI()/180</f>
        <v>1.7453292519943295E-2</v>
      </c>
      <c r="G3">
        <v>912.20399999999995</v>
      </c>
      <c r="H3">
        <v>1.2434400000000001</v>
      </c>
      <c r="I3" s="1">
        <v>662</v>
      </c>
      <c r="J3" s="1">
        <f>(I3^2/$I$3)*$I$3/511*SIN(E3+F3)*F3</f>
        <v>0.26123283570902911</v>
      </c>
      <c r="K3" s="53">
        <f>G3*$B$12+$C$12</f>
        <v>667.60717829199984</v>
      </c>
      <c r="L3" s="53">
        <f>H3*$B$12+G3*$B$13+$C$13</f>
        <v>1.6948023092919999</v>
      </c>
      <c r="M3" s="52">
        <f>1/K3</f>
        <v>1.4978868300343788E-3</v>
      </c>
      <c r="N3" s="25">
        <f>(M3/K3)*L3</f>
        <v>3.8025685480122105E-6</v>
      </c>
      <c r="O3" s="1">
        <f>1-COS(E3)</f>
        <v>0</v>
      </c>
      <c r="P3" s="1">
        <f>SIN(E3+F3)*F3</f>
        <v>3.0460195472685052E-4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5">
      <c r="A4" s="1"/>
      <c r="B4" s="1"/>
      <c r="C4" s="1"/>
      <c r="D4" s="1">
        <v>10</v>
      </c>
      <c r="E4" s="1">
        <f t="shared" ref="E4:E9" si="0">D4*PI()/180</f>
        <v>0.17453292519943295</v>
      </c>
      <c r="F4" s="1">
        <f t="shared" ref="F4:F9" si="1">PI()/180</f>
        <v>1.7453292519943295E-2</v>
      </c>
      <c r="G4">
        <v>899.279</v>
      </c>
      <c r="H4">
        <v>1.8829899999999999</v>
      </c>
      <c r="I4" s="1">
        <f>$I$3/(1+($I$3/511)*(1-COS(E4)))</f>
        <v>649.22230452559177</v>
      </c>
      <c r="J4" s="1">
        <f>(I4^2/$I$3)*$I$3/511*SIN(E4)*F4</f>
        <v>2.4998477614539856</v>
      </c>
      <c r="K4" s="51">
        <f t="shared" ref="K4:K9" si="2">G4*$B$12+$C$12</f>
        <v>657.85626101699995</v>
      </c>
      <c r="L4" s="53">
        <f t="shared" ref="L4:L9" si="3">H4*$B$12+G4*$B$13+$C$13</f>
        <v>2.1702507969169997</v>
      </c>
      <c r="M4" s="52">
        <f t="shared" ref="M4:M9" si="4">1/K4</f>
        <v>1.5200888997454697E-3</v>
      </c>
      <c r="N4" s="25">
        <f t="shared" ref="N4:N9" si="5">(M4/K4)*L4</f>
        <v>5.0147339799689779E-6</v>
      </c>
      <c r="O4" s="1">
        <f t="shared" ref="O4:O9" si="6">1-COS(E4)</f>
        <v>1.519224698779198E-2</v>
      </c>
      <c r="P4" s="1">
        <f t="shared" ref="P4:P9" si="7">SIN(E4)*F4</f>
        <v>3.0307324403760195E-3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>
        <v>20</v>
      </c>
      <c r="E5" s="1">
        <f t="shared" si="0"/>
        <v>0.3490658503988659</v>
      </c>
      <c r="F5" s="1">
        <f t="shared" si="1"/>
        <v>1.7453292519943295E-2</v>
      </c>
      <c r="G5">
        <v>832.02499999999998</v>
      </c>
      <c r="H5" s="54">
        <v>3.1139000000000001</v>
      </c>
      <c r="I5" s="1">
        <f t="shared" ref="I5:I9" si="8">$I$3/(1+($I$3/511)*(1-COS(E5)))</f>
        <v>614.02719104560504</v>
      </c>
      <c r="J5" s="1">
        <f t="shared" ref="J5:J9" si="9">(I5^2/$I$3)*$I$3/511*SIN(E5)*F5</f>
        <v>4.4043655708145195</v>
      </c>
      <c r="K5" s="51">
        <f t="shared" si="2"/>
        <v>607.11829657499993</v>
      </c>
      <c r="L5" s="53">
        <f t="shared" si="3"/>
        <v>3.0622313780249999</v>
      </c>
      <c r="M5" s="52">
        <f t="shared" si="4"/>
        <v>1.6471254542012731E-3</v>
      </c>
      <c r="N5" s="25">
        <f t="shared" si="5"/>
        <v>8.3079018996024038E-6</v>
      </c>
      <c r="O5" s="1">
        <f t="shared" si="6"/>
        <v>6.0307379214091572E-2</v>
      </c>
      <c r="P5" s="1">
        <f t="shared" si="7"/>
        <v>5.9693776091758275E-3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>
        <v>30</v>
      </c>
      <c r="E6" s="1">
        <f t="shared" si="0"/>
        <v>0.52359877559829882</v>
      </c>
      <c r="F6" s="1">
        <f t="shared" si="1"/>
        <v>1.7453292519943295E-2</v>
      </c>
      <c r="G6">
        <v>764.57299999999998</v>
      </c>
      <c r="H6">
        <v>2.4855700000000001</v>
      </c>
      <c r="I6" s="1">
        <f t="shared" si="8"/>
        <v>564.09366981174526</v>
      </c>
      <c r="J6" s="1">
        <f t="shared" si="9"/>
        <v>5.434116240266432</v>
      </c>
      <c r="K6" s="51">
        <f t="shared" si="2"/>
        <v>556.23095637899996</v>
      </c>
      <c r="L6" s="53">
        <f t="shared" si="3"/>
        <v>2.5514506517990001</v>
      </c>
      <c r="M6" s="52">
        <f t="shared" si="4"/>
        <v>1.7978143584634085E-3</v>
      </c>
      <c r="N6" s="25">
        <f t="shared" si="5"/>
        <v>8.2466366966990411E-6</v>
      </c>
      <c r="O6" s="1">
        <f t="shared" si="6"/>
        <v>0.13397459621556129</v>
      </c>
      <c r="P6" s="1">
        <f t="shared" si="7"/>
        <v>8.726646259971646E-3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>
        <v>50</v>
      </c>
      <c r="E7" s="1">
        <f t="shared" si="0"/>
        <v>0.87266462599716477</v>
      </c>
      <c r="F7" s="1">
        <f t="shared" si="1"/>
        <v>1.7453292519943295E-2</v>
      </c>
      <c r="G7">
        <v>639.41200000000003</v>
      </c>
      <c r="H7">
        <v>3.2078899999999999</v>
      </c>
      <c r="I7" s="1">
        <f t="shared" si="8"/>
        <v>452.56654730407217</v>
      </c>
      <c r="J7" s="1">
        <f t="shared" si="9"/>
        <v>5.3588960334081888</v>
      </c>
      <c r="K7" s="51">
        <f t="shared" si="2"/>
        <v>461.80661927599999</v>
      </c>
      <c r="L7" s="53">
        <f t="shared" si="3"/>
        <v>3.0281861203860001</v>
      </c>
      <c r="M7" s="52">
        <f t="shared" si="4"/>
        <v>2.1654085460441337E-3</v>
      </c>
      <c r="N7" s="25">
        <f t="shared" si="5"/>
        <v>1.4199147068043884E-5</v>
      </c>
      <c r="O7" s="1">
        <f t="shared" si="6"/>
        <v>0.35721239031346064</v>
      </c>
      <c r="P7" s="1">
        <f t="shared" si="7"/>
        <v>1.3369997749032586E-2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5">
      <c r="A8" s="1"/>
      <c r="B8" s="1"/>
      <c r="C8" s="1"/>
      <c r="D8" s="1">
        <v>70</v>
      </c>
      <c r="E8" s="1">
        <f t="shared" si="0"/>
        <v>1.2217304763960306</v>
      </c>
      <c r="F8" s="1">
        <f t="shared" si="1"/>
        <v>1.7453292519943295E-2</v>
      </c>
      <c r="G8">
        <v>510.37900000000002</v>
      </c>
      <c r="H8">
        <v>2.9993500000000002</v>
      </c>
      <c r="I8" s="1">
        <f t="shared" si="8"/>
        <v>357.37185188964412</v>
      </c>
      <c r="J8" s="1">
        <f t="shared" si="9"/>
        <v>4.0990476721244367</v>
      </c>
      <c r="K8" s="51">
        <f t="shared" si="2"/>
        <v>364.46115631700002</v>
      </c>
      <c r="L8" s="53">
        <f t="shared" si="3"/>
        <v>2.8005495694970004</v>
      </c>
      <c r="M8" s="52">
        <f t="shared" si="4"/>
        <v>2.7437766210954531E-3</v>
      </c>
      <c r="N8" s="25">
        <f t="shared" si="5"/>
        <v>2.1083405739736406E-5</v>
      </c>
      <c r="O8" s="1">
        <f t="shared" si="6"/>
        <v>0.65797985667433112</v>
      </c>
      <c r="P8" s="1">
        <f t="shared" si="7"/>
        <v>1.6400730189408606E-2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thickBot="1" x14ac:dyDescent="0.4">
      <c r="A9" s="1"/>
      <c r="B9" s="1"/>
      <c r="C9" s="1"/>
      <c r="D9" s="1">
        <v>90</v>
      </c>
      <c r="E9" s="1">
        <f t="shared" si="0"/>
        <v>1.5707963267948966</v>
      </c>
      <c r="F9" s="1">
        <f t="shared" si="1"/>
        <v>1.7453292519943295E-2</v>
      </c>
      <c r="G9">
        <v>412.19400000000002</v>
      </c>
      <c r="H9">
        <v>3.4271799999999999</v>
      </c>
      <c r="I9" s="1">
        <f t="shared" si="8"/>
        <v>288.3904518329071</v>
      </c>
      <c r="J9" s="1">
        <f t="shared" si="9"/>
        <v>2.8406532397770712</v>
      </c>
      <c r="K9" s="51">
        <f t="shared" si="2"/>
        <v>290.38813406199995</v>
      </c>
      <c r="L9" s="53">
        <f t="shared" si="3"/>
        <v>3.0698140423819997</v>
      </c>
      <c r="M9" s="52">
        <f t="shared" si="4"/>
        <v>3.4436668813281912E-3</v>
      </c>
      <c r="N9" s="25">
        <f t="shared" si="5"/>
        <v>3.6404438438004617E-5</v>
      </c>
      <c r="O9" s="1">
        <f t="shared" si="6"/>
        <v>0.99999999999999989</v>
      </c>
      <c r="P9" s="1">
        <f t="shared" si="7"/>
        <v>1.7453292519943295E-2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5">
      <c r="A10" s="57" t="s">
        <v>42</v>
      </c>
      <c r="B10" s="58"/>
      <c r="C10" s="5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5">
      <c r="A11" s="18"/>
      <c r="B11" s="5" t="s">
        <v>40</v>
      </c>
      <c r="C11" s="19" t="s">
        <v>41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5">
      <c r="A12" s="18" t="s">
        <v>38</v>
      </c>
      <c r="B12" s="21">
        <v>0.75442299999999995</v>
      </c>
      <c r="C12" s="23">
        <v>-20.580500000000001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thickBot="1" x14ac:dyDescent="0.4">
      <c r="A13" s="20" t="s">
        <v>39</v>
      </c>
      <c r="B13" s="22">
        <v>5.4489299999999996E-4</v>
      </c>
      <c r="C13" s="24">
        <v>0.25966899999999998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5">
      <c r="A14" s="1"/>
      <c r="B14" s="1"/>
      <c r="C14" s="1"/>
      <c r="D14" s="1"/>
      <c r="E14" s="60" t="s">
        <v>71</v>
      </c>
      <c r="F14" s="61"/>
      <c r="G14" s="61"/>
      <c r="H14" s="6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5">
      <c r="A15" s="1"/>
      <c r="B15" s="1"/>
      <c r="C15" s="1"/>
      <c r="D15" s="1"/>
      <c r="E15" s="18" t="s">
        <v>72</v>
      </c>
      <c r="F15" s="5" t="s">
        <v>73</v>
      </c>
      <c r="G15" s="5" t="s">
        <v>74</v>
      </c>
      <c r="H15" s="19" t="s">
        <v>75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5">
      <c r="A16" s="1"/>
      <c r="B16" s="1"/>
      <c r="C16" s="1"/>
      <c r="D16" s="1"/>
      <c r="E16" s="18">
        <v>0</v>
      </c>
      <c r="F16" s="5">
        <v>1.500498089878782E-3</v>
      </c>
      <c r="G16" s="5">
        <v>3.0460195472685052E-4</v>
      </c>
      <c r="H16" s="19">
        <v>3.8139487996594026E-6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5">
      <c r="A17" s="1"/>
      <c r="B17" s="1"/>
      <c r="C17" s="1"/>
      <c r="D17" s="1"/>
      <c r="E17" s="31">
        <v>1.519224698779198E-2</v>
      </c>
      <c r="F17" s="27">
        <v>1.5140656217727103E-3</v>
      </c>
      <c r="G17" s="5">
        <v>3.0307324403760195E-3</v>
      </c>
      <c r="H17" s="19">
        <v>4.8064610725794941E-6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5">
      <c r="A18" s="1"/>
      <c r="B18" s="1"/>
      <c r="C18" s="1"/>
      <c r="D18" s="1"/>
      <c r="E18" s="31">
        <v>6.0307379214091572E-2</v>
      </c>
      <c r="F18" s="27">
        <v>1.6471254542012731E-3</v>
      </c>
      <c r="G18" s="5">
        <v>5.9693776091758275E-3</v>
      </c>
      <c r="H18" s="19">
        <v>8.3079018996024038E-6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5">
      <c r="A19" s="1"/>
      <c r="B19" s="1"/>
      <c r="C19" s="1"/>
      <c r="D19" s="1"/>
      <c r="E19" s="31">
        <v>0.13397459621556129</v>
      </c>
      <c r="F19" s="27">
        <v>1.7978143584634085E-3</v>
      </c>
      <c r="G19" s="5">
        <v>8.726646259971646E-3</v>
      </c>
      <c r="H19" s="19">
        <v>8.2466366966990411E-6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5">
      <c r="A20" s="1"/>
      <c r="B20" s="1"/>
      <c r="C20" s="1"/>
      <c r="D20" s="1"/>
      <c r="E20" s="31">
        <v>0.35721239031346064</v>
      </c>
      <c r="F20" s="27">
        <v>2.1654085460441337E-3</v>
      </c>
      <c r="G20" s="5">
        <v>1.3369997749032586E-2</v>
      </c>
      <c r="H20" s="19">
        <v>1.4199147068043884E-5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5">
      <c r="A21" s="1"/>
      <c r="B21" s="1"/>
      <c r="C21" s="1"/>
      <c r="D21" s="1"/>
      <c r="E21" s="31">
        <v>0.65797985667433112</v>
      </c>
      <c r="F21" s="27">
        <v>2.7437766210954531E-3</v>
      </c>
      <c r="G21" s="5">
        <v>1.6400730189408606E-2</v>
      </c>
      <c r="H21" s="19">
        <v>2.1083405739736406E-5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thickBot="1" x14ac:dyDescent="0.4">
      <c r="A22" s="1"/>
      <c r="B22" s="1"/>
      <c r="C22" s="1"/>
      <c r="D22" s="1"/>
      <c r="E22" s="32">
        <v>0.99999999999999989</v>
      </c>
      <c r="F22" s="33">
        <v>3.4436668813281912E-3</v>
      </c>
      <c r="G22" s="3">
        <v>1.7453292519943295E-2</v>
      </c>
      <c r="H22" s="34">
        <v>3.6404438438004617E-5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5">
      <c r="A23" s="1"/>
      <c r="B23" s="1"/>
      <c r="C23" s="1"/>
      <c r="D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5">
      <c r="A24" s="1"/>
      <c r="B24" s="1"/>
      <c r="C24" s="1"/>
      <c r="D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5">
      <c r="A25" s="1"/>
      <c r="B25" s="1"/>
      <c r="C25" s="1"/>
      <c r="D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</sheetData>
  <mergeCells count="2">
    <mergeCell ref="A10:C10"/>
    <mergeCell ref="E14:H1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9"/>
  <sheetViews>
    <sheetView topLeftCell="I1" workbookViewId="0">
      <selection activeCell="O12" sqref="K11:O12"/>
    </sheetView>
  </sheetViews>
  <sheetFormatPr defaultColWidth="10.90625" defaultRowHeight="14.5" x14ac:dyDescent="0.35"/>
  <cols>
    <col min="6" max="6" width="12.6328125" bestFit="1" customWidth="1"/>
    <col min="7" max="7" width="12.81640625" bestFit="1" customWidth="1"/>
    <col min="8" max="8" width="16.36328125" bestFit="1" customWidth="1"/>
    <col min="10" max="10" width="12.81640625" bestFit="1" customWidth="1"/>
    <col min="11" max="12" width="12.81640625" customWidth="1"/>
    <col min="14" max="14" width="11.81640625" bestFit="1" customWidth="1"/>
    <col min="16" max="16" width="12.81640625" bestFit="1" customWidth="1"/>
    <col min="17" max="20" width="11" bestFit="1" customWidth="1"/>
  </cols>
  <sheetData>
    <row r="1" spans="1:28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8" x14ac:dyDescent="0.35">
      <c r="A2" s="1"/>
      <c r="B2" s="49" t="s">
        <v>22</v>
      </c>
      <c r="C2" s="16" t="s">
        <v>23</v>
      </c>
      <c r="D2" s="16" t="s">
        <v>30</v>
      </c>
      <c r="E2" s="16" t="s">
        <v>24</v>
      </c>
      <c r="F2" s="16" t="s">
        <v>25</v>
      </c>
      <c r="G2" s="16" t="s">
        <v>26</v>
      </c>
      <c r="H2" s="16" t="s">
        <v>27</v>
      </c>
      <c r="I2" s="16" t="s">
        <v>28</v>
      </c>
      <c r="J2" s="16" t="s">
        <v>29</v>
      </c>
      <c r="K2" s="16" t="s">
        <v>46</v>
      </c>
      <c r="L2" s="16" t="s">
        <v>47</v>
      </c>
      <c r="M2" s="38" t="s">
        <v>81</v>
      </c>
      <c r="N2" s="38" t="s">
        <v>82</v>
      </c>
      <c r="O2" s="16" t="s">
        <v>78</v>
      </c>
      <c r="P2" s="16" t="s">
        <v>79</v>
      </c>
      <c r="Q2" s="16" t="s">
        <v>84</v>
      </c>
      <c r="R2" s="16" t="s">
        <v>85</v>
      </c>
      <c r="S2" s="16" t="s">
        <v>86</v>
      </c>
      <c r="T2" s="16" t="s">
        <v>87</v>
      </c>
    </row>
    <row r="3" spans="1:28" x14ac:dyDescent="0.35">
      <c r="A3" s="1" t="s">
        <v>31</v>
      </c>
      <c r="B3" s="50">
        <v>0</v>
      </c>
      <c r="C3" s="17">
        <f>B3*PI()/180</f>
        <v>0</v>
      </c>
      <c r="D3" s="1">
        <v>5</v>
      </c>
      <c r="E3" s="1">
        <v>1893.51</v>
      </c>
      <c r="F3" s="1">
        <v>56.383699999999997</v>
      </c>
      <c r="G3" s="1" t="s">
        <v>33</v>
      </c>
      <c r="H3" s="1" t="s">
        <v>33</v>
      </c>
      <c r="I3" s="1" t="s">
        <v>33</v>
      </c>
      <c r="J3" s="1" t="s">
        <v>33</v>
      </c>
      <c r="M3" s="1"/>
      <c r="N3" s="1"/>
      <c r="O3" s="1"/>
      <c r="P3" s="1"/>
      <c r="Q3" s="1"/>
      <c r="R3" s="1"/>
      <c r="S3" s="1"/>
      <c r="T3" s="1"/>
    </row>
    <row r="4" spans="1:28" x14ac:dyDescent="0.35">
      <c r="A4" s="1" t="s">
        <v>32</v>
      </c>
      <c r="B4" s="50">
        <v>0</v>
      </c>
      <c r="C4" s="17">
        <f>B4*PI()/180</f>
        <v>0</v>
      </c>
      <c r="D4" s="1">
        <v>5</v>
      </c>
      <c r="E4" s="1">
        <v>1524.63</v>
      </c>
      <c r="F4" s="1">
        <v>54.466799999999999</v>
      </c>
      <c r="G4" s="1" t="s">
        <v>33</v>
      </c>
      <c r="H4" s="1" t="s">
        <v>33</v>
      </c>
      <c r="I4" s="1" t="s">
        <v>33</v>
      </c>
      <c r="J4" s="1" t="s">
        <v>33</v>
      </c>
      <c r="K4" s="7"/>
      <c r="L4" s="7"/>
      <c r="M4" s="1"/>
      <c r="N4" s="1"/>
      <c r="O4" s="1"/>
      <c r="P4" s="1"/>
      <c r="Q4" s="1"/>
      <c r="R4" s="1"/>
      <c r="S4" s="1"/>
      <c r="T4" s="1"/>
    </row>
    <row r="5" spans="1:28" x14ac:dyDescent="0.35">
      <c r="A5" s="1" t="s">
        <v>31</v>
      </c>
      <c r="B5" s="50">
        <v>10</v>
      </c>
      <c r="C5" s="17">
        <f t="shared" ref="C5:C6" si="0">B5*PI()/180</f>
        <v>0.17453292519943295</v>
      </c>
      <c r="D5" s="1">
        <v>5</v>
      </c>
      <c r="E5" s="1">
        <v>469.892</v>
      </c>
      <c r="F5" s="1">
        <v>26.2014</v>
      </c>
      <c r="G5" s="1" t="s">
        <v>33</v>
      </c>
      <c r="H5" s="1" t="s">
        <v>33</v>
      </c>
      <c r="I5" s="1" t="s">
        <v>33</v>
      </c>
      <c r="J5" s="1" t="s">
        <v>33</v>
      </c>
      <c r="K5" s="1"/>
      <c r="L5" s="1"/>
      <c r="M5" s="1"/>
      <c r="N5" s="1"/>
      <c r="O5" s="1"/>
      <c r="P5" s="1"/>
      <c r="Q5" s="1"/>
      <c r="R5" s="1"/>
      <c r="S5" s="1"/>
      <c r="T5" s="1"/>
    </row>
    <row r="6" spans="1:28" x14ac:dyDescent="0.35">
      <c r="A6" s="1" t="s">
        <v>32</v>
      </c>
      <c r="B6" s="50">
        <v>10</v>
      </c>
      <c r="C6" s="17">
        <f t="shared" si="0"/>
        <v>0.17453292519943295</v>
      </c>
      <c r="D6" s="1">
        <v>5</v>
      </c>
      <c r="E6" s="1">
        <v>811.08500000000004</v>
      </c>
      <c r="F6" s="1">
        <v>41.762799999999999</v>
      </c>
      <c r="G6" s="1">
        <f>E6-E5*(E4/E3)</f>
        <v>432.73397995785604</v>
      </c>
      <c r="H6" s="1">
        <f>F6+F5*(E4/E3)+F4*(F5/E3)+F3*F5*E4/(E3*E3)</f>
        <v>64.241728340181993</v>
      </c>
      <c r="I6" s="1">
        <f>G6/D6</f>
        <v>86.546795991571202</v>
      </c>
      <c r="J6" s="1">
        <f>H6/D6</f>
        <v>12.848345668036398</v>
      </c>
      <c r="K6" s="1">
        <v>660.47335440400002</v>
      </c>
      <c r="L6" s="1">
        <v>2.0966987307339999</v>
      </c>
      <c r="M6" s="1">
        <f t="shared" ref="M6:M11" si="1">EXP($G$16)*K6^$H$16</f>
        <v>0.2473564897154677</v>
      </c>
      <c r="N6" s="1">
        <f>ABS($H$16)*EXP($G$16)*K6^($H$16-1)*L6</f>
        <v>8.7076374762392033E-4</v>
      </c>
      <c r="O6" s="1">
        <f t="shared" ref="O6:O11" si="2">I6/M6</f>
        <v>349.88690246665988</v>
      </c>
      <c r="P6" s="1">
        <f>O6/M6*N6+O6/I6*J6</f>
        <v>53.174325499212109</v>
      </c>
      <c r="Q6" s="1">
        <f>O6/$O$7</f>
        <v>13.935192978546272</v>
      </c>
      <c r="R6" s="1">
        <f>Q6/O6*P6+Q6/$O$7*$P$7</f>
        <v>2.930474534092435</v>
      </c>
      <c r="S6" s="1">
        <f>O6/$O$9</f>
        <v>42.645466183459611</v>
      </c>
      <c r="T6" s="1">
        <f>S6/O6*P6+S6/$O$9*$P$9</f>
        <v>9.2733454915705629</v>
      </c>
    </row>
    <row r="7" spans="1:28" x14ac:dyDescent="0.35">
      <c r="A7" s="1" t="s">
        <v>32</v>
      </c>
      <c r="B7" s="50">
        <v>20</v>
      </c>
      <c r="C7" s="17">
        <f>B7*PI()/180</f>
        <v>0.3490658503988659</v>
      </c>
      <c r="D7" s="1">
        <v>100</v>
      </c>
      <c r="E7" s="1">
        <v>681.87400000000002</v>
      </c>
      <c r="F7" s="1">
        <v>35.9512</v>
      </c>
      <c r="G7" s="1">
        <f>E7</f>
        <v>681.87400000000002</v>
      </c>
      <c r="H7" s="1">
        <f>F7</f>
        <v>35.9512</v>
      </c>
      <c r="I7" s="1">
        <f>G7/D7</f>
        <v>6.81874</v>
      </c>
      <c r="J7" s="1">
        <f>H7/D7</f>
        <v>0.359512</v>
      </c>
      <c r="K7" s="1">
        <v>607.11829657499993</v>
      </c>
      <c r="L7" s="1">
        <v>3.0622313780249999</v>
      </c>
      <c r="M7" s="1">
        <f t="shared" si="1"/>
        <v>0.27157477773717736</v>
      </c>
      <c r="N7" s="1">
        <f t="shared" ref="N7:N11" si="3">ABS($H$16)*EXP($G$16)*K7^($H$16-1)*L7</f>
        <v>1.518974257037562E-3</v>
      </c>
      <c r="O7" s="1">
        <f t="shared" si="2"/>
        <v>25.108149058669174</v>
      </c>
      <c r="P7" s="1">
        <f t="shared" ref="P7:P11" si="4">O7/M7*N7+O7/I7*J7</f>
        <v>1.4642399245441553</v>
      </c>
      <c r="Q7" s="1">
        <f t="shared" ref="Q7:Q10" si="5">O7/$O$7</f>
        <v>1</v>
      </c>
      <c r="R7" s="1">
        <f t="shared" ref="R7:R11" si="6">Q7/O7*P7+Q7/$O$7*$P$7</f>
        <v>0.11663463691590539</v>
      </c>
      <c r="S7" s="1">
        <f t="shared" ref="S7:S11" si="7">O7/$O$9</f>
        <v>3.0602709448741638</v>
      </c>
      <c r="T7" s="1">
        <f t="shared" ref="T7:T11" si="8">S7/O7*P7+S7/$O$9*$P$9</f>
        <v>0.37884210808840207</v>
      </c>
    </row>
    <row r="8" spans="1:28" x14ac:dyDescent="0.35">
      <c r="A8" s="1" t="s">
        <v>32</v>
      </c>
      <c r="B8" s="50">
        <v>30</v>
      </c>
      <c r="C8" s="17">
        <f>B8*PI()/180</f>
        <v>0.52359877559829882</v>
      </c>
      <c r="D8" s="1">
        <v>180</v>
      </c>
      <c r="E8" s="1">
        <v>725.12699999999995</v>
      </c>
      <c r="F8" s="1">
        <v>36.391199999999998</v>
      </c>
      <c r="G8" s="1">
        <f t="shared" ref="G8:G11" si="9">E8</f>
        <v>725.12699999999995</v>
      </c>
      <c r="H8" s="1">
        <f t="shared" ref="H8:H11" si="10">F8</f>
        <v>36.391199999999998</v>
      </c>
      <c r="I8" s="1">
        <f t="shared" ref="I8:I11" si="11">G8/D8</f>
        <v>4.028483333333333</v>
      </c>
      <c r="J8" s="1">
        <f t="shared" ref="J8:J11" si="12">H8/D8</f>
        <v>0.20217333333333332</v>
      </c>
      <c r="K8" s="1">
        <v>556.23095637899996</v>
      </c>
      <c r="L8" s="1">
        <v>2.5514506517990001</v>
      </c>
      <c r="M8" s="1">
        <f t="shared" si="1"/>
        <v>0.29925964552305739</v>
      </c>
      <c r="N8" s="1">
        <f t="shared" si="3"/>
        <v>1.5222166736289578E-3</v>
      </c>
      <c r="O8" s="1">
        <f t="shared" si="2"/>
        <v>13.461498713908441</v>
      </c>
      <c r="P8" s="1">
        <f t="shared" si="4"/>
        <v>0.74405171047535579</v>
      </c>
      <c r="Q8" s="1">
        <f t="shared" si="5"/>
        <v>0.53614062440259991</v>
      </c>
      <c r="R8" s="1">
        <f t="shared" si="6"/>
        <v>6.0900156930035462E-2</v>
      </c>
      <c r="S8" s="1">
        <f t="shared" si="7"/>
        <v>1.6407355752259685</v>
      </c>
      <c r="T8" s="1">
        <f t="shared" si="8"/>
        <v>0.19811702708028761</v>
      </c>
    </row>
    <row r="9" spans="1:28" x14ac:dyDescent="0.35">
      <c r="A9" s="1" t="s">
        <v>32</v>
      </c>
      <c r="B9" s="50">
        <v>50</v>
      </c>
      <c r="C9" s="17">
        <f>B9*PI()/180</f>
        <v>0.87266462599716477</v>
      </c>
      <c r="D9" s="1">
        <v>250</v>
      </c>
      <c r="E9" s="1">
        <v>754.46199999999999</v>
      </c>
      <c r="F9" s="1">
        <v>43.913400000000003</v>
      </c>
      <c r="G9" s="1">
        <f t="shared" si="9"/>
        <v>754.46199999999999</v>
      </c>
      <c r="H9" s="1">
        <f t="shared" si="10"/>
        <v>43.913400000000003</v>
      </c>
      <c r="I9" s="1">
        <f t="shared" si="11"/>
        <v>3.0178479999999999</v>
      </c>
      <c r="J9" s="1">
        <f t="shared" si="12"/>
        <v>0.17565360000000002</v>
      </c>
      <c r="K9" s="1">
        <v>461.80661927599999</v>
      </c>
      <c r="L9" s="1">
        <v>3.0281861203860001</v>
      </c>
      <c r="M9" s="1">
        <f t="shared" si="1"/>
        <v>0.36782610015842077</v>
      </c>
      <c r="N9" s="1">
        <f t="shared" si="3"/>
        <v>2.6746148618747331E-3</v>
      </c>
      <c r="O9" s="1">
        <f t="shared" si="2"/>
        <v>8.2045510057612248</v>
      </c>
      <c r="P9" s="1">
        <f t="shared" si="4"/>
        <v>0.53720389599844609</v>
      </c>
      <c r="Q9" s="1">
        <f t="shared" si="5"/>
        <v>0.32676845221007689</v>
      </c>
      <c r="R9" s="1">
        <f t="shared" si="6"/>
        <v>4.0451859172600191E-2</v>
      </c>
      <c r="S9" s="1">
        <f t="shared" si="7"/>
        <v>1</v>
      </c>
      <c r="T9" s="1">
        <f t="shared" si="8"/>
        <v>0.13095266166819422</v>
      </c>
    </row>
    <row r="10" spans="1:28" x14ac:dyDescent="0.35">
      <c r="A10" s="1" t="s">
        <v>32</v>
      </c>
      <c r="B10" s="50">
        <v>70</v>
      </c>
      <c r="C10" s="17">
        <f>B10*PI()/180</f>
        <v>1.2217304763960306</v>
      </c>
      <c r="D10" s="1">
        <v>250</v>
      </c>
      <c r="E10" s="1">
        <v>520.73599999999999</v>
      </c>
      <c r="F10" s="1">
        <v>40.283900000000003</v>
      </c>
      <c r="G10" s="1">
        <f t="shared" si="9"/>
        <v>520.73599999999999</v>
      </c>
      <c r="H10" s="1">
        <f t="shared" si="10"/>
        <v>40.283900000000003</v>
      </c>
      <c r="I10" s="1">
        <f t="shared" si="11"/>
        <v>2.0829439999999999</v>
      </c>
      <c r="J10" s="1">
        <f t="shared" si="12"/>
        <v>0.16113560000000002</v>
      </c>
      <c r="K10" s="1">
        <v>364.46115631700002</v>
      </c>
      <c r="L10" s="1">
        <v>2.8005495694970004</v>
      </c>
      <c r="M10" s="1">
        <f t="shared" si="1"/>
        <v>0.4782427172830413</v>
      </c>
      <c r="N10" s="1">
        <f t="shared" si="3"/>
        <v>4.0750850809881216E-3</v>
      </c>
      <c r="O10" s="1">
        <f t="shared" si="2"/>
        <v>4.3554118541176621</v>
      </c>
      <c r="P10" s="1">
        <f t="shared" si="4"/>
        <v>0.37404495124262083</v>
      </c>
      <c r="Q10" s="1">
        <f t="shared" si="5"/>
        <v>0.17346606649261764</v>
      </c>
      <c r="R10" s="1">
        <f t="shared" si="6"/>
        <v>2.5013428504316489E-2</v>
      </c>
      <c r="S10" s="1">
        <f t="shared" si="7"/>
        <v>0.53085316320896747</v>
      </c>
      <c r="T10" s="1">
        <f t="shared" si="8"/>
        <v>8.0348252848775364E-2</v>
      </c>
    </row>
    <row r="11" spans="1:28" x14ac:dyDescent="0.35">
      <c r="A11" s="1" t="s">
        <v>32</v>
      </c>
      <c r="B11" s="50">
        <v>90</v>
      </c>
      <c r="C11" s="17">
        <f>B11*PI()/180</f>
        <v>1.5707963267948966</v>
      </c>
      <c r="D11" s="1">
        <v>430</v>
      </c>
      <c r="E11" s="1">
        <v>874.39400000000001</v>
      </c>
      <c r="F11" s="1">
        <v>61.936300000000003</v>
      </c>
      <c r="G11" s="1">
        <f t="shared" si="9"/>
        <v>874.39400000000001</v>
      </c>
      <c r="H11" s="1">
        <f t="shared" si="10"/>
        <v>61.936300000000003</v>
      </c>
      <c r="I11" s="1">
        <f t="shared" si="11"/>
        <v>2.0334744186046514</v>
      </c>
      <c r="J11" s="1">
        <f t="shared" si="12"/>
        <v>0.14403790697674418</v>
      </c>
      <c r="K11" s="1">
        <v>290.38813406199995</v>
      </c>
      <c r="L11" s="1">
        <v>3.0698140423819997</v>
      </c>
      <c r="M11" s="1">
        <f t="shared" si="1"/>
        <v>0.61527200787584424</v>
      </c>
      <c r="N11" s="1">
        <f t="shared" si="3"/>
        <v>7.2126799116017737E-3</v>
      </c>
      <c r="O11" s="1">
        <f t="shared" si="2"/>
        <v>3.305000703063004</v>
      </c>
      <c r="P11" s="1">
        <f t="shared" si="4"/>
        <v>0.27284813384429496</v>
      </c>
      <c r="Q11" s="1">
        <f>O11/$O$7</f>
        <v>0.13163059910710045</v>
      </c>
      <c r="R11" s="1">
        <f t="shared" si="6"/>
        <v>1.8543259053491357E-2</v>
      </c>
      <c r="S11" s="1">
        <f t="shared" si="7"/>
        <v>0.40282529790383859</v>
      </c>
      <c r="T11" s="1">
        <f t="shared" si="8"/>
        <v>5.9631228197792027E-2</v>
      </c>
    </row>
    <row r="12" spans="1:2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8" ht="15" thickBot="1" x14ac:dyDescent="0.4">
      <c r="A13" s="1"/>
      <c r="B13" s="1"/>
      <c r="C13" s="1"/>
      <c r="D13" s="1"/>
      <c r="E13" s="1"/>
      <c r="F13" s="1"/>
      <c r="G13" s="1"/>
      <c r="H13" s="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27"/>
      <c r="V13" s="27"/>
      <c r="W13" s="27"/>
      <c r="X13" s="27"/>
      <c r="Y13" s="27"/>
      <c r="Z13" s="27"/>
      <c r="AA13" s="27"/>
      <c r="AB13" s="27"/>
    </row>
    <row r="14" spans="1:28" ht="15" thickBot="1" x14ac:dyDescent="0.4">
      <c r="A14" s="1"/>
      <c r="B14" s="60" t="s">
        <v>88</v>
      </c>
      <c r="C14" s="61"/>
      <c r="D14" s="61"/>
      <c r="E14" s="62"/>
      <c r="F14" s="1"/>
      <c r="G14" s="57" t="s">
        <v>80</v>
      </c>
      <c r="H14" s="59"/>
      <c r="I14" s="5"/>
      <c r="J14" s="5"/>
      <c r="K14" s="5"/>
      <c r="L14" s="5"/>
      <c r="M14" s="37"/>
      <c r="N14" s="37"/>
      <c r="O14" s="5"/>
      <c r="P14" s="5"/>
      <c r="Q14" s="5"/>
      <c r="R14" s="5"/>
      <c r="S14" s="5"/>
      <c r="T14" s="5"/>
      <c r="U14" s="27"/>
      <c r="V14" s="27"/>
      <c r="W14" s="27"/>
      <c r="X14" s="27"/>
      <c r="Y14" s="27"/>
      <c r="Z14" s="27"/>
      <c r="AA14" s="27"/>
      <c r="AB14" s="27"/>
    </row>
    <row r="15" spans="1:28" ht="15" thickBot="1" x14ac:dyDescent="0.4">
      <c r="A15" s="1"/>
      <c r="B15" s="18" t="s">
        <v>72</v>
      </c>
      <c r="C15" s="5" t="s">
        <v>73</v>
      </c>
      <c r="D15" s="5" t="s">
        <v>74</v>
      </c>
      <c r="E15" s="19" t="s">
        <v>75</v>
      </c>
      <c r="F15" s="1"/>
      <c r="G15" s="18" t="s">
        <v>40</v>
      </c>
      <c r="H15" s="19" t="s">
        <v>41</v>
      </c>
      <c r="I15" s="5"/>
      <c r="J15" s="63" t="s">
        <v>98</v>
      </c>
      <c r="K15" s="64"/>
      <c r="L15" s="64"/>
      <c r="M15" s="64"/>
      <c r="N15" s="64"/>
      <c r="O15" s="64"/>
      <c r="P15" s="64"/>
      <c r="Q15" s="64"/>
      <c r="R15" s="64"/>
      <c r="S15" s="64"/>
      <c r="T15" s="65"/>
      <c r="U15" s="27"/>
      <c r="V15" s="27"/>
      <c r="W15" s="27"/>
      <c r="X15" s="27"/>
      <c r="Y15" s="27"/>
      <c r="Z15" s="27"/>
      <c r="AA15" s="27"/>
      <c r="AB15" s="27"/>
    </row>
    <row r="16" spans="1:28" ht="15" thickBot="1" x14ac:dyDescent="0.4">
      <c r="A16" s="1"/>
      <c r="B16" s="18">
        <v>0.17453292519943295</v>
      </c>
      <c r="C16" s="5">
        <v>13.935192978546272</v>
      </c>
      <c r="D16" s="5">
        <f t="shared" ref="D16:D21" si="13">PI()/180</f>
        <v>1.7453292519943295E-2</v>
      </c>
      <c r="E16" s="19">
        <v>2.930474534092435</v>
      </c>
      <c r="F16" s="1"/>
      <c r="G16" s="20">
        <v>5.8031800000000002</v>
      </c>
      <c r="H16" s="34">
        <v>-1.1089100000000001</v>
      </c>
      <c r="I16" s="5"/>
      <c r="J16" s="16" t="s">
        <v>22</v>
      </c>
      <c r="K16" s="46" t="s">
        <v>46</v>
      </c>
      <c r="L16" s="46" t="s">
        <v>47</v>
      </c>
      <c r="M16" s="46" t="s">
        <v>81</v>
      </c>
      <c r="N16" s="46" t="s">
        <v>82</v>
      </c>
      <c r="O16" s="26" t="s">
        <v>28</v>
      </c>
      <c r="P16" s="26" t="s">
        <v>29</v>
      </c>
      <c r="Q16" s="43" t="s">
        <v>78</v>
      </c>
      <c r="R16" s="43" t="s">
        <v>79</v>
      </c>
      <c r="S16" s="43" t="s">
        <v>76</v>
      </c>
      <c r="T16" s="43" t="s">
        <v>77</v>
      </c>
      <c r="U16" s="27"/>
      <c r="V16" s="27"/>
      <c r="W16" s="27"/>
      <c r="X16" s="27"/>
      <c r="Y16" s="27"/>
      <c r="Z16" s="27"/>
      <c r="AA16" s="27"/>
      <c r="AB16" s="27"/>
    </row>
    <row r="17" spans="1:28" x14ac:dyDescent="0.35">
      <c r="A17" s="1"/>
      <c r="B17" s="18">
        <v>0.3490658503988659</v>
      </c>
      <c r="C17" s="5">
        <v>1</v>
      </c>
      <c r="D17" s="5">
        <f t="shared" si="13"/>
        <v>1.7453292519943295E-2</v>
      </c>
      <c r="E17" s="19">
        <v>0.11663463691590539</v>
      </c>
      <c r="F17" s="1"/>
      <c r="G17" s="1"/>
      <c r="H17" s="1"/>
      <c r="I17" s="5"/>
      <c r="J17" s="1">
        <v>10</v>
      </c>
      <c r="K17" s="36">
        <v>660.47335440400002</v>
      </c>
      <c r="L17" s="36">
        <v>2.0966987307339999</v>
      </c>
      <c r="M17" s="45">
        <v>0.2473564897154677</v>
      </c>
      <c r="N17" s="45">
        <v>8.7076374762392033E-4</v>
      </c>
      <c r="O17" s="47">
        <v>86.546795991571202</v>
      </c>
      <c r="P17" s="47">
        <v>12.848345668036398</v>
      </c>
      <c r="Q17" s="40">
        <v>349.88690246665988</v>
      </c>
      <c r="R17" s="40">
        <v>53.174325499212109</v>
      </c>
      <c r="S17" s="40">
        <v>13.935192978546272</v>
      </c>
      <c r="T17" s="40">
        <v>2.930474534092435</v>
      </c>
      <c r="U17" s="27"/>
      <c r="V17" s="27"/>
      <c r="W17" s="27"/>
      <c r="X17" s="27"/>
      <c r="Y17" s="27"/>
      <c r="Z17" s="27"/>
      <c r="AA17" s="27"/>
      <c r="AB17" s="27"/>
    </row>
    <row r="18" spans="1:28" x14ac:dyDescent="0.35">
      <c r="A18" s="1"/>
      <c r="B18" s="18">
        <v>0.52359877559829882</v>
      </c>
      <c r="C18" s="5">
        <v>0.53614062440259991</v>
      </c>
      <c r="D18" s="5">
        <f t="shared" si="13"/>
        <v>1.7453292519943295E-2</v>
      </c>
      <c r="E18" s="19">
        <v>6.0900156930035462E-2</v>
      </c>
      <c r="F18" s="1"/>
      <c r="G18" s="1"/>
      <c r="H18" s="1"/>
      <c r="I18" s="5"/>
      <c r="J18" s="1">
        <v>20</v>
      </c>
      <c r="K18" s="36">
        <v>607.11829657499993</v>
      </c>
      <c r="L18" s="36">
        <v>3.0622313780249999</v>
      </c>
      <c r="M18" s="44">
        <v>0.27157477773717736</v>
      </c>
      <c r="N18" s="44">
        <v>1.518974257037562E-3</v>
      </c>
      <c r="O18" s="47">
        <v>6.81874</v>
      </c>
      <c r="P18" s="47">
        <v>0.359512</v>
      </c>
      <c r="Q18" s="40">
        <v>25.108149058669174</v>
      </c>
      <c r="R18" s="40">
        <v>1.4642399245441553</v>
      </c>
      <c r="S18" s="40">
        <v>1</v>
      </c>
      <c r="T18" s="40">
        <v>0.11663463691590539</v>
      </c>
      <c r="U18" s="27"/>
      <c r="V18" s="27"/>
      <c r="W18" s="27"/>
      <c r="X18" s="27"/>
      <c r="Y18" s="27"/>
      <c r="Z18" s="27"/>
      <c r="AA18" s="27"/>
      <c r="AB18" s="27"/>
    </row>
    <row r="19" spans="1:28" x14ac:dyDescent="0.35">
      <c r="A19" s="1"/>
      <c r="B19" s="18">
        <v>0.87266462599716477</v>
      </c>
      <c r="C19" s="5">
        <v>0.32676845221007689</v>
      </c>
      <c r="D19" s="5">
        <f t="shared" si="13"/>
        <v>1.7453292519943295E-2</v>
      </c>
      <c r="E19" s="19">
        <v>4.0451859172600191E-2</v>
      </c>
      <c r="F19" s="1"/>
      <c r="G19" s="1"/>
      <c r="H19" s="1"/>
      <c r="I19" s="5"/>
      <c r="J19" s="1">
        <v>30</v>
      </c>
      <c r="K19" s="36">
        <v>556.23095637899996</v>
      </c>
      <c r="L19" s="36">
        <v>2.5514506517990001</v>
      </c>
      <c r="M19" s="44">
        <v>0.29925964552305739</v>
      </c>
      <c r="N19" s="44">
        <v>1.5222166736289578E-3</v>
      </c>
      <c r="O19" s="47">
        <v>4.028483333333333</v>
      </c>
      <c r="P19" s="47">
        <v>0.20217333333333332</v>
      </c>
      <c r="Q19" s="40">
        <v>13.461498713908441</v>
      </c>
      <c r="R19" s="40">
        <v>0.74405171047535579</v>
      </c>
      <c r="S19" s="41">
        <v>0.53614062440259991</v>
      </c>
      <c r="T19" s="41">
        <v>6.0900156930035462E-2</v>
      </c>
      <c r="U19" s="27"/>
      <c r="V19" s="27"/>
      <c r="W19" s="27"/>
      <c r="X19" s="27"/>
      <c r="Y19" s="27"/>
      <c r="Z19" s="27"/>
      <c r="AA19" s="27"/>
      <c r="AB19" s="27"/>
    </row>
    <row r="20" spans="1:28" x14ac:dyDescent="0.35">
      <c r="A20" s="1"/>
      <c r="B20" s="18">
        <v>1.2217304763960306</v>
      </c>
      <c r="C20" s="5">
        <v>0.17346606649261764</v>
      </c>
      <c r="D20" s="5">
        <f t="shared" si="13"/>
        <v>1.7453292519943295E-2</v>
      </c>
      <c r="E20" s="19">
        <v>2.5013428504316489E-2</v>
      </c>
      <c r="F20" s="1"/>
      <c r="G20" s="1"/>
      <c r="H20" s="1"/>
      <c r="I20" s="5"/>
      <c r="J20" s="1">
        <v>50</v>
      </c>
      <c r="K20" s="36">
        <v>461.80661927599999</v>
      </c>
      <c r="L20" s="36">
        <v>3.0281861203860001</v>
      </c>
      <c r="M20" s="44">
        <v>0.36782610015842077</v>
      </c>
      <c r="N20" s="44">
        <v>2.6746148618747331E-3</v>
      </c>
      <c r="O20" s="47">
        <v>3.0178479999999999</v>
      </c>
      <c r="P20" s="47">
        <v>0.17565360000000002</v>
      </c>
      <c r="Q20" s="40">
        <v>8.2045510057612248</v>
      </c>
      <c r="R20" s="40">
        <v>0.53720389599844609</v>
      </c>
      <c r="S20" s="41">
        <v>0.32676845221007689</v>
      </c>
      <c r="T20" s="41">
        <v>4.0451859172600191E-2</v>
      </c>
      <c r="U20" s="27"/>
      <c r="V20" s="27"/>
      <c r="W20" s="27"/>
      <c r="X20" s="27"/>
      <c r="Y20" s="27"/>
      <c r="Z20" s="27"/>
      <c r="AA20" s="27"/>
      <c r="AB20" s="27"/>
    </row>
    <row r="21" spans="1:28" ht="15" thickBot="1" x14ac:dyDescent="0.4">
      <c r="A21" s="1"/>
      <c r="B21" s="20">
        <v>1.5707963267948966</v>
      </c>
      <c r="C21" s="3">
        <v>0.13163059910710045</v>
      </c>
      <c r="D21" s="3">
        <f t="shared" si="13"/>
        <v>1.7453292519943295E-2</v>
      </c>
      <c r="E21" s="34">
        <v>1.8543259053491357E-2</v>
      </c>
      <c r="F21" s="1"/>
      <c r="G21" s="1"/>
      <c r="H21" s="1"/>
      <c r="I21" s="1"/>
      <c r="J21" s="1">
        <v>70</v>
      </c>
      <c r="K21" s="36">
        <v>364.46115631700002</v>
      </c>
      <c r="L21" s="36">
        <v>2.8005495694970004</v>
      </c>
      <c r="M21" s="48">
        <v>0.4782427172830413</v>
      </c>
      <c r="N21" s="48">
        <v>4.0750850809881216E-3</v>
      </c>
      <c r="O21" s="47">
        <v>2.0829439999999999</v>
      </c>
      <c r="P21" s="47">
        <v>0.16113560000000002</v>
      </c>
      <c r="Q21" s="47">
        <v>4.3554118541176621</v>
      </c>
      <c r="R21" s="47">
        <v>0.37404495124262083</v>
      </c>
      <c r="S21" s="17">
        <v>0.17346606649261764</v>
      </c>
      <c r="T21" s="17">
        <v>2.5013428504316489E-2</v>
      </c>
      <c r="U21" s="27"/>
      <c r="V21" s="27"/>
      <c r="W21" s="27"/>
      <c r="X21" s="27"/>
      <c r="Y21" s="27"/>
      <c r="Z21" s="27"/>
      <c r="AA21" s="27"/>
      <c r="AB21" s="27"/>
    </row>
    <row r="22" spans="1:28" x14ac:dyDescent="0.35">
      <c r="A22" s="1"/>
      <c r="B22" s="1"/>
      <c r="C22" s="1"/>
      <c r="D22" s="1"/>
      <c r="E22" s="1"/>
      <c r="F22" s="1"/>
      <c r="G22" s="1"/>
      <c r="H22" s="1"/>
      <c r="I22" s="1"/>
      <c r="J22" s="1">
        <v>90</v>
      </c>
      <c r="K22" s="36">
        <v>290.38813406199995</v>
      </c>
      <c r="L22" s="36">
        <v>3.0698140423819997</v>
      </c>
      <c r="M22" s="48">
        <v>0.61527200787584424</v>
      </c>
      <c r="N22" s="48">
        <v>7.2126799116017737E-3</v>
      </c>
      <c r="O22" s="47">
        <v>2.0334744186046514</v>
      </c>
      <c r="P22" s="47">
        <v>0.14403790697674418</v>
      </c>
      <c r="Q22" s="47">
        <v>3.305000703063004</v>
      </c>
      <c r="R22" s="47">
        <v>0.27284813384429496</v>
      </c>
      <c r="S22" s="17">
        <v>0.13163059910710045</v>
      </c>
      <c r="T22" s="17">
        <v>1.8543259053491357E-2</v>
      </c>
      <c r="U22" s="27"/>
      <c r="V22" s="27"/>
      <c r="W22" s="27"/>
      <c r="X22" s="27"/>
      <c r="Y22" s="27"/>
      <c r="Z22" s="27"/>
      <c r="AA22" s="27"/>
      <c r="AB22" s="27"/>
    </row>
    <row r="23" spans="1:28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47"/>
      <c r="K23" s="47"/>
      <c r="L23" s="47"/>
      <c r="M23" s="47"/>
      <c r="N23" s="47"/>
      <c r="Q23" s="1"/>
      <c r="R23" s="1"/>
      <c r="S23" s="1"/>
      <c r="T23" s="5"/>
      <c r="U23" s="27"/>
      <c r="V23" s="27"/>
      <c r="W23" s="27"/>
      <c r="X23" s="27"/>
      <c r="Y23" s="27"/>
      <c r="Z23" s="27"/>
      <c r="AA23" s="27"/>
      <c r="AB23" s="27"/>
    </row>
    <row r="24" spans="1:28" x14ac:dyDescent="0.35">
      <c r="A24" s="1"/>
      <c r="B24" s="60" t="s">
        <v>89</v>
      </c>
      <c r="C24" s="61"/>
      <c r="D24" s="61"/>
      <c r="E24" s="62"/>
      <c r="F24" s="1"/>
      <c r="G24" s="1"/>
      <c r="H24" s="1"/>
      <c r="I24" s="1"/>
      <c r="J24" s="47"/>
      <c r="K24" s="47"/>
      <c r="L24" s="47"/>
      <c r="M24" s="47"/>
      <c r="N24" s="47"/>
      <c r="Q24" s="7"/>
      <c r="R24" s="7"/>
      <c r="S24" s="7"/>
      <c r="T24" s="1"/>
    </row>
    <row r="25" spans="1:28" x14ac:dyDescent="0.35">
      <c r="A25" s="1"/>
      <c r="B25" s="18" t="s">
        <v>72</v>
      </c>
      <c r="C25" s="5" t="s">
        <v>73</v>
      </c>
      <c r="D25" s="5" t="s">
        <v>74</v>
      </c>
      <c r="E25" s="19" t="s">
        <v>75</v>
      </c>
      <c r="F25" s="1"/>
      <c r="G25" s="1"/>
      <c r="H25" s="1"/>
      <c r="I25" s="1"/>
      <c r="J25" s="47"/>
      <c r="K25" s="47"/>
      <c r="L25" s="47"/>
      <c r="M25" s="47"/>
      <c r="N25" s="47"/>
      <c r="Q25" s="7"/>
      <c r="R25" s="7"/>
      <c r="S25" s="7"/>
      <c r="T25" s="1"/>
    </row>
    <row r="26" spans="1:28" x14ac:dyDescent="0.35">
      <c r="A26" s="1"/>
      <c r="B26" s="18">
        <v>0.17453292519943295</v>
      </c>
      <c r="C26" s="5">
        <v>42.645466183459611</v>
      </c>
      <c r="D26" s="5">
        <f t="shared" ref="D26:D31" si="14">PI()/180</f>
        <v>1.7453292519943295E-2</v>
      </c>
      <c r="E26" s="19">
        <v>9.2733454915705629</v>
      </c>
      <c r="F26" s="1"/>
      <c r="G26" s="1"/>
      <c r="H26" s="1"/>
      <c r="I26" s="1"/>
      <c r="J26" s="47"/>
      <c r="K26" s="47"/>
      <c r="L26" s="47"/>
      <c r="M26" s="47"/>
      <c r="N26" s="47"/>
      <c r="O26" s="7"/>
      <c r="P26" s="7"/>
      <c r="Q26" s="7"/>
      <c r="R26" s="7"/>
      <c r="S26" s="7"/>
      <c r="T26" s="1"/>
    </row>
    <row r="27" spans="1:28" x14ac:dyDescent="0.35">
      <c r="A27" s="1"/>
      <c r="B27" s="18">
        <v>0.3490658503988659</v>
      </c>
      <c r="C27" s="5">
        <v>3.0602709448741638</v>
      </c>
      <c r="D27" s="5">
        <f t="shared" si="14"/>
        <v>1.7453292519943295E-2</v>
      </c>
      <c r="E27" s="19">
        <v>0.37884210808840207</v>
      </c>
      <c r="F27" s="36"/>
      <c r="G27" s="36"/>
      <c r="H27" s="1"/>
      <c r="I27" s="4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8" x14ac:dyDescent="0.35">
      <c r="A28" s="1"/>
      <c r="B28" s="18">
        <v>0.52359877559829882</v>
      </c>
      <c r="C28" s="5">
        <v>1.6407355752259685</v>
      </c>
      <c r="D28" s="5">
        <f t="shared" si="14"/>
        <v>1.7453292519943295E-2</v>
      </c>
      <c r="E28" s="19">
        <v>0.19811702708028761</v>
      </c>
      <c r="F28" s="36"/>
      <c r="G28" s="36"/>
      <c r="H28" s="1"/>
      <c r="I28" s="4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8" x14ac:dyDescent="0.35">
      <c r="A29" s="1"/>
      <c r="B29" s="18">
        <v>0.87266462599716477</v>
      </c>
      <c r="C29" s="5">
        <v>1</v>
      </c>
      <c r="D29" s="5">
        <f t="shared" si="14"/>
        <v>1.7453292519943295E-2</v>
      </c>
      <c r="E29" s="19">
        <v>0.13095266166819422</v>
      </c>
      <c r="F29" s="36"/>
      <c r="G29" s="36"/>
      <c r="H29" s="1"/>
      <c r="I29" s="4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8" x14ac:dyDescent="0.35">
      <c r="B30" s="18">
        <v>1.2217304763960306</v>
      </c>
      <c r="C30" s="5">
        <v>0.53085316320896747</v>
      </c>
      <c r="D30" s="5">
        <f t="shared" si="14"/>
        <v>1.7453292519943295E-2</v>
      </c>
      <c r="E30" s="19">
        <v>8.0348252848775364E-2</v>
      </c>
      <c r="F30" s="47"/>
      <c r="G30" s="47"/>
      <c r="H30" s="47"/>
      <c r="I30" s="4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8" ht="15" thickBot="1" x14ac:dyDescent="0.4">
      <c r="B31" s="20">
        <v>1.5707963267948966</v>
      </c>
      <c r="C31" s="3">
        <v>0.40282529790383859</v>
      </c>
      <c r="D31" s="3">
        <f t="shared" si="14"/>
        <v>1.7453292519943295E-2</v>
      </c>
      <c r="E31" s="34">
        <v>5.9631228197792027E-2</v>
      </c>
      <c r="F31" s="47"/>
      <c r="G31" s="47"/>
      <c r="H31" s="47"/>
      <c r="I31" s="4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8" x14ac:dyDescent="0.35">
      <c r="C32" s="35"/>
      <c r="D32" s="1"/>
      <c r="F32" s="47"/>
      <c r="G32" s="47"/>
      <c r="H32" s="47"/>
      <c r="I32" s="4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3:20" x14ac:dyDescent="0.35">
      <c r="C33" s="35"/>
      <c r="D33" s="1"/>
      <c r="F33" s="47"/>
      <c r="G33" s="47"/>
      <c r="H33" s="4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3:20" x14ac:dyDescent="0.35">
      <c r="C34" s="35"/>
      <c r="D34" s="1"/>
      <c r="F34" s="47"/>
      <c r="G34" s="47"/>
      <c r="H34" s="4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3:20" x14ac:dyDescent="0.35">
      <c r="C35" s="35"/>
      <c r="D35" s="1"/>
      <c r="F35" s="47"/>
      <c r="G35" s="47"/>
      <c r="H35" s="4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3:20" x14ac:dyDescent="0.35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3:20" x14ac:dyDescent="0.35"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3:20" x14ac:dyDescent="0.35"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3:20" x14ac:dyDescent="0.3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3:20" x14ac:dyDescent="0.3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3:20" x14ac:dyDescent="0.3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3:20" x14ac:dyDescent="0.35"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3:20" x14ac:dyDescent="0.35"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3:20" x14ac:dyDescent="0.35"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3:20" x14ac:dyDescent="0.35"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3:20" x14ac:dyDescent="0.35"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3:20" x14ac:dyDescent="0.35">
      <c r="F47" s="7"/>
      <c r="G47" s="7"/>
      <c r="H47" s="7"/>
      <c r="T47" s="7"/>
    </row>
    <row r="48" spans="3:20" x14ac:dyDescent="0.35">
      <c r="F48" s="7"/>
      <c r="G48" s="7"/>
      <c r="H48" s="7"/>
      <c r="T48" s="7"/>
    </row>
    <row r="49" spans="6:20" x14ac:dyDescent="0.35">
      <c r="F49" s="7"/>
      <c r="G49" s="7"/>
      <c r="H49" s="7"/>
      <c r="T49" s="7"/>
    </row>
  </sheetData>
  <mergeCells count="4">
    <mergeCell ref="B14:E14"/>
    <mergeCell ref="G14:H14"/>
    <mergeCell ref="B24:E24"/>
    <mergeCell ref="J15:T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"/>
  <sheetViews>
    <sheetView workbookViewId="0">
      <selection activeCell="G28" sqref="G28"/>
    </sheetView>
  </sheetViews>
  <sheetFormatPr defaultColWidth="10.90625" defaultRowHeight="14.5" x14ac:dyDescent="0.35"/>
  <cols>
    <col min="6" max="6" width="8.6328125" bestFit="1" customWidth="1"/>
    <col min="7" max="7" width="12.1796875" bestFit="1" customWidth="1"/>
  </cols>
  <sheetData>
    <row r="1" spans="1:13" x14ac:dyDescent="0.35">
      <c r="B1" s="66" t="s">
        <v>50</v>
      </c>
      <c r="C1" s="66"/>
      <c r="D1" s="66"/>
      <c r="E1" s="67"/>
      <c r="F1" s="66" t="s">
        <v>51</v>
      </c>
      <c r="G1" s="66"/>
      <c r="H1" s="66"/>
      <c r="I1" s="66"/>
      <c r="J1" s="66"/>
      <c r="K1" s="66"/>
      <c r="L1" s="66"/>
      <c r="M1" s="7"/>
    </row>
    <row r="2" spans="1:13" x14ac:dyDescent="0.35">
      <c r="A2" t="s">
        <v>52</v>
      </c>
      <c r="B2" s="29" t="s">
        <v>53</v>
      </c>
      <c r="C2" s="29" t="s">
        <v>54</v>
      </c>
      <c r="D2" s="29" t="s">
        <v>55</v>
      </c>
      <c r="E2" s="30" t="s">
        <v>56</v>
      </c>
      <c r="F2" s="29" t="s">
        <v>34</v>
      </c>
      <c r="G2" s="29" t="s">
        <v>57</v>
      </c>
      <c r="H2" s="29" t="s">
        <v>58</v>
      </c>
      <c r="I2" s="29" t="s">
        <v>59</v>
      </c>
      <c r="J2" s="29" t="s">
        <v>2</v>
      </c>
      <c r="K2" s="29" t="s">
        <v>60</v>
      </c>
      <c r="L2" s="29" t="s">
        <v>61</v>
      </c>
      <c r="M2" s="7"/>
    </row>
    <row r="3" spans="1:13" x14ac:dyDescent="0.35">
      <c r="A3" t="s">
        <v>62</v>
      </c>
      <c r="B3" s="27">
        <v>3.1526200000000002</v>
      </c>
      <c r="C3" s="27">
        <v>1.5690999999999999</v>
      </c>
      <c r="D3" s="27">
        <v>-2.0642999999999998E-3</v>
      </c>
      <c r="E3" s="28">
        <v>1.9817799999999998E-3</v>
      </c>
      <c r="F3">
        <v>912.20399999999995</v>
      </c>
      <c r="G3">
        <v>1.1254500000000001</v>
      </c>
      <c r="H3">
        <v>32.284999999999997</v>
      </c>
      <c r="I3">
        <v>1.0198799999999999</v>
      </c>
      <c r="J3">
        <v>1893.51</v>
      </c>
      <c r="K3">
        <v>56.383699999999997</v>
      </c>
      <c r="L3">
        <v>0.55802499999999999</v>
      </c>
      <c r="M3" s="7"/>
    </row>
    <row r="4" spans="1:13" x14ac:dyDescent="0.35">
      <c r="A4" t="s">
        <v>63</v>
      </c>
      <c r="B4" s="27">
        <v>2.2375099999999999</v>
      </c>
      <c r="C4" s="27">
        <v>1.6665700000000001</v>
      </c>
      <c r="D4" s="27">
        <v>-9.3972399999999996E-4</v>
      </c>
      <c r="E4" s="28">
        <v>2.1411500000000001E-3</v>
      </c>
      <c r="F4">
        <v>910.66399999999999</v>
      </c>
      <c r="G4">
        <v>1.2434400000000001</v>
      </c>
      <c r="H4">
        <v>32.665599999999998</v>
      </c>
      <c r="I4">
        <v>1.2365200000000001</v>
      </c>
      <c r="J4">
        <v>1524.63</v>
      </c>
      <c r="K4">
        <v>54.466799999999999</v>
      </c>
      <c r="L4">
        <v>0.51669200000000004</v>
      </c>
      <c r="M4" s="7"/>
    </row>
    <row r="5" spans="1:13" x14ac:dyDescent="0.35">
      <c r="A5" t="s">
        <v>64</v>
      </c>
      <c r="B5" s="27">
        <v>5.4400500000000003</v>
      </c>
      <c r="C5" s="27">
        <v>0.66389299999999996</v>
      </c>
      <c r="D5" s="27">
        <v>-5.4906699999999996E-3</v>
      </c>
      <c r="E5" s="28">
        <v>6.7098899999999998E-4</v>
      </c>
      <c r="F5">
        <v>899.279</v>
      </c>
      <c r="G5">
        <v>1.86842</v>
      </c>
      <c r="H5">
        <v>29.539899999999999</v>
      </c>
      <c r="I5">
        <v>1.5643</v>
      </c>
      <c r="J5">
        <v>469.892</v>
      </c>
      <c r="K5">
        <v>26.2014</v>
      </c>
      <c r="L5">
        <v>0.79555100000000001</v>
      </c>
      <c r="M5" s="7"/>
    </row>
    <row r="6" spans="1:13" x14ac:dyDescent="0.35">
      <c r="A6" t="s">
        <v>65</v>
      </c>
      <c r="B6" s="27">
        <v>2.2346499999999998</v>
      </c>
      <c r="C6" s="27">
        <v>1.43079</v>
      </c>
      <c r="D6" s="27">
        <v>-1.12341E-3</v>
      </c>
      <c r="E6" s="28">
        <v>1.77231E-3</v>
      </c>
      <c r="F6">
        <v>902.74800000000005</v>
      </c>
      <c r="G6">
        <v>1.7829900000000001</v>
      </c>
      <c r="H6">
        <v>29.712700000000002</v>
      </c>
      <c r="I6">
        <v>1.5544</v>
      </c>
      <c r="J6">
        <v>811.08500000000004</v>
      </c>
      <c r="K6">
        <v>41.762799999999999</v>
      </c>
      <c r="L6">
        <v>0.57007799999999997</v>
      </c>
      <c r="M6" s="7"/>
    </row>
    <row r="7" spans="1:13" x14ac:dyDescent="0.35">
      <c r="A7" t="s">
        <v>66</v>
      </c>
      <c r="B7" s="27">
        <v>21.668500000000002</v>
      </c>
      <c r="C7" s="27">
        <v>5.2379699999999998</v>
      </c>
      <c r="D7" s="27">
        <v>2.6539699999999999E-3</v>
      </c>
      <c r="E7" s="28">
        <v>3.5134000000000001E-4</v>
      </c>
      <c r="F7">
        <v>832.02499999999998</v>
      </c>
      <c r="G7">
        <v>3.1139000000000001</v>
      </c>
      <c r="H7">
        <v>42.154400000000003</v>
      </c>
      <c r="I7">
        <v>1.8953500000000001</v>
      </c>
      <c r="J7">
        <v>681.87400000000002</v>
      </c>
      <c r="K7">
        <v>35.9512</v>
      </c>
      <c r="L7">
        <v>1.83914</v>
      </c>
      <c r="M7" s="7"/>
    </row>
    <row r="8" spans="1:13" x14ac:dyDescent="0.35">
      <c r="A8" t="s">
        <v>67</v>
      </c>
      <c r="B8" s="27">
        <v>25.837</v>
      </c>
      <c r="C8" s="27">
        <v>4.7235399999999998</v>
      </c>
      <c r="D8" s="27">
        <v>3.01323E-3</v>
      </c>
      <c r="E8" s="28">
        <v>2.7102300000000001E-4</v>
      </c>
      <c r="F8">
        <v>764.57299999999998</v>
      </c>
      <c r="G8">
        <v>2.4855700000000001</v>
      </c>
      <c r="H8">
        <v>39.741100000000003</v>
      </c>
      <c r="I8">
        <v>1.74716</v>
      </c>
      <c r="J8">
        <v>725.12699999999995</v>
      </c>
      <c r="K8">
        <v>36.391199999999998</v>
      </c>
      <c r="L8">
        <v>1.3909800000000001</v>
      </c>
      <c r="M8" s="7"/>
    </row>
    <row r="9" spans="1:13" x14ac:dyDescent="0.35">
      <c r="A9" t="s">
        <v>68</v>
      </c>
      <c r="B9" s="27">
        <v>38.294699999999999</v>
      </c>
      <c r="C9" s="27">
        <v>3.1697799999999998</v>
      </c>
      <c r="D9" s="27">
        <v>3.3282300000000002E-3</v>
      </c>
      <c r="E9" s="28">
        <v>1.5586699999999999E-4</v>
      </c>
      <c r="F9">
        <v>639.41200000000003</v>
      </c>
      <c r="G9">
        <v>3.2078899999999999</v>
      </c>
      <c r="H9">
        <v>46.845799999999997</v>
      </c>
      <c r="I9">
        <v>2.81976</v>
      </c>
      <c r="J9">
        <v>754.46199999999999</v>
      </c>
      <c r="K9">
        <v>43.913400000000003</v>
      </c>
      <c r="L9">
        <v>1.1893</v>
      </c>
      <c r="M9" s="7"/>
    </row>
    <row r="10" spans="1:13" x14ac:dyDescent="0.35">
      <c r="A10" t="s">
        <v>69</v>
      </c>
      <c r="B10" s="27">
        <v>73.874799999999993</v>
      </c>
      <c r="C10" s="27">
        <v>7.4391800000000003</v>
      </c>
      <c r="D10" s="27">
        <v>4.87514E-3</v>
      </c>
      <c r="E10" s="28">
        <v>2.32105E-4</v>
      </c>
      <c r="F10">
        <v>510.37900000000002</v>
      </c>
      <c r="G10">
        <v>2.9993500000000002</v>
      </c>
      <c r="H10">
        <v>32.098799999999997</v>
      </c>
      <c r="I10">
        <v>2.47607</v>
      </c>
      <c r="J10">
        <v>520.73599999999999</v>
      </c>
      <c r="K10">
        <v>40.283900000000003</v>
      </c>
      <c r="L10">
        <v>1.1846000000000001</v>
      </c>
      <c r="M10" s="7"/>
    </row>
    <row r="11" spans="1:13" x14ac:dyDescent="0.35">
      <c r="A11" t="s">
        <v>70</v>
      </c>
      <c r="B11" s="27">
        <v>138.43799999999999</v>
      </c>
      <c r="C11" s="27">
        <v>7.6423500000000004</v>
      </c>
      <c r="D11" s="27">
        <v>5.1204800000000002E-3</v>
      </c>
      <c r="E11" s="28">
        <v>1.56133E-4</v>
      </c>
      <c r="F11">
        <v>412.19400000000002</v>
      </c>
      <c r="G11">
        <v>3.4271799999999999</v>
      </c>
      <c r="H11">
        <v>28.922699999999999</v>
      </c>
      <c r="I11">
        <v>2.3997899999999999</v>
      </c>
      <c r="J11">
        <v>874.39400000000001</v>
      </c>
      <c r="K11">
        <v>61.936300000000003</v>
      </c>
      <c r="L11">
        <v>0.97387299999999999</v>
      </c>
      <c r="M11" s="7"/>
    </row>
    <row r="12" spans="1:13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3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35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</sheetData>
  <mergeCells count="2">
    <mergeCell ref="B1:E1"/>
    <mergeCell ref="F1:L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"/>
  <sheetViews>
    <sheetView tabSelected="1" workbookViewId="0">
      <selection activeCell="J7" sqref="I7:J8"/>
    </sheetView>
  </sheetViews>
  <sheetFormatPr defaultColWidth="10.90625" defaultRowHeight="14.5" x14ac:dyDescent="0.35"/>
  <cols>
    <col min="3" max="4" width="11" bestFit="1" customWidth="1"/>
    <col min="7" max="7" width="12.36328125" bestFit="1" customWidth="1"/>
    <col min="8" max="8" width="12.453125" bestFit="1" customWidth="1"/>
    <col min="10" max="10" width="11.81640625" bestFit="1" customWidth="1"/>
    <col min="13" max="13" width="12.36328125" bestFit="1" customWidth="1"/>
    <col min="14" max="14" width="12.453125" bestFit="1" customWidth="1"/>
  </cols>
  <sheetData>
    <row r="1" spans="1:19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s="1"/>
      <c r="B2" s="16" t="s">
        <v>83</v>
      </c>
      <c r="C2" s="16" t="s">
        <v>84</v>
      </c>
      <c r="D2" s="16" t="s">
        <v>85</v>
      </c>
      <c r="E2" s="16" t="s">
        <v>90</v>
      </c>
      <c r="F2" s="16" t="s">
        <v>91</v>
      </c>
      <c r="G2" s="16" t="s">
        <v>92</v>
      </c>
      <c r="H2" s="16" t="s">
        <v>93</v>
      </c>
      <c r="I2" s="16" t="s">
        <v>86</v>
      </c>
      <c r="J2" s="16" t="s">
        <v>87</v>
      </c>
      <c r="K2" s="16" t="s">
        <v>94</v>
      </c>
      <c r="L2" s="16" t="s">
        <v>95</v>
      </c>
      <c r="M2" s="16" t="s">
        <v>96</v>
      </c>
      <c r="N2" s="16" t="s">
        <v>97</v>
      </c>
      <c r="O2" s="1"/>
      <c r="P2" s="1"/>
      <c r="Q2" s="1"/>
      <c r="R2" s="1"/>
      <c r="S2" s="1"/>
    </row>
    <row r="3" spans="1:19" x14ac:dyDescent="0.35">
      <c r="A3" s="1"/>
      <c r="B3" s="1">
        <v>10</v>
      </c>
      <c r="C3" s="36">
        <v>13.935192978546272</v>
      </c>
      <c r="D3" s="36">
        <v>2.930474534092435</v>
      </c>
      <c r="E3" s="17">
        <v>1.0461100000000001</v>
      </c>
      <c r="F3" s="17">
        <v>1.1661900000000001</v>
      </c>
      <c r="G3" s="39">
        <f>(E3-C3)/D3</f>
        <v>-4.3982920952213655</v>
      </c>
      <c r="H3" s="39">
        <f>(F3-C3)/D3</f>
        <v>-4.3573157964673523</v>
      </c>
      <c r="I3" s="36">
        <v>42.645466183459611</v>
      </c>
      <c r="J3" s="36">
        <v>9.2733454915705629</v>
      </c>
      <c r="K3" s="17">
        <v>1.39391</v>
      </c>
      <c r="L3" s="17">
        <v>2.5997400000000002</v>
      </c>
      <c r="M3" s="36">
        <f>(K3-I3)/J3</f>
        <v>-4.4484006576652542</v>
      </c>
      <c r="N3" s="36">
        <f>(L3-I3)/J3</f>
        <v>-4.3183688367764397</v>
      </c>
      <c r="O3" s="1"/>
      <c r="P3" s="1"/>
      <c r="Q3" s="1"/>
      <c r="R3" s="1"/>
      <c r="S3" s="1"/>
    </row>
    <row r="4" spans="1:19" x14ac:dyDescent="0.35">
      <c r="A4" s="1"/>
      <c r="B4" s="1">
        <v>20</v>
      </c>
      <c r="C4" s="36">
        <v>1</v>
      </c>
      <c r="D4" s="36">
        <v>0.11663463691590539</v>
      </c>
      <c r="E4" s="17">
        <v>1</v>
      </c>
      <c r="F4" s="17">
        <v>1</v>
      </c>
      <c r="G4" s="39">
        <f t="shared" ref="G4:G8" si="0">(E4-C4)/D4</f>
        <v>0</v>
      </c>
      <c r="H4" s="39">
        <f t="shared" ref="H4:H8" si="1">(F4-C4)/D4</f>
        <v>0</v>
      </c>
      <c r="I4" s="36">
        <v>3.0602709448741638</v>
      </c>
      <c r="J4" s="36">
        <v>0.37884210808840207</v>
      </c>
      <c r="K4" s="17">
        <v>1.3324800000000001</v>
      </c>
      <c r="L4" s="17">
        <v>2.2292700000000001</v>
      </c>
      <c r="M4" s="36">
        <f t="shared" ref="M4:M8" si="2">(K4-I4)/J4</f>
        <v>-4.560715158070515</v>
      </c>
      <c r="N4" s="36">
        <f t="shared" ref="N4:N8" si="3">(L4-I4)/J4</f>
        <v>-2.193528457191066</v>
      </c>
      <c r="O4" s="1"/>
      <c r="P4" s="1"/>
      <c r="Q4" s="1"/>
      <c r="R4" s="1"/>
      <c r="S4" s="1"/>
    </row>
    <row r="5" spans="1:19" x14ac:dyDescent="0.35">
      <c r="A5" s="1"/>
      <c r="B5" s="1">
        <v>30</v>
      </c>
      <c r="C5" s="17">
        <v>0.53614062440259991</v>
      </c>
      <c r="D5" s="17">
        <v>6.0900156930035462E-2</v>
      </c>
      <c r="E5" s="17">
        <v>0.92935699999999999</v>
      </c>
      <c r="F5" s="17">
        <v>0.79346899999999998</v>
      </c>
      <c r="G5" s="39">
        <f t="shared" si="0"/>
        <v>6.4567382978855505</v>
      </c>
      <c r="H5" s="39">
        <f t="shared" si="1"/>
        <v>4.2254139984077419</v>
      </c>
      <c r="I5" s="17">
        <v>1.6407355752259685</v>
      </c>
      <c r="J5" s="17">
        <v>0.19811702708028761</v>
      </c>
      <c r="K5" s="17">
        <v>1.2383500000000001</v>
      </c>
      <c r="L5" s="17">
        <v>1.76885</v>
      </c>
      <c r="M5" s="36">
        <f t="shared" si="2"/>
        <v>-2.0310499362727681</v>
      </c>
      <c r="N5" s="36">
        <f t="shared" si="3"/>
        <v>0.6466603434449516</v>
      </c>
      <c r="O5" s="1"/>
      <c r="P5" s="1"/>
      <c r="Q5" s="1"/>
      <c r="R5" s="1"/>
      <c r="S5" s="1"/>
    </row>
    <row r="6" spans="1:19" x14ac:dyDescent="0.35">
      <c r="A6" s="1"/>
      <c r="B6" s="1">
        <v>50</v>
      </c>
      <c r="C6" s="17">
        <v>0.32676845221007689</v>
      </c>
      <c r="D6" s="17">
        <v>4.0451859172600191E-2</v>
      </c>
      <c r="E6" s="17">
        <v>0.75048300000000001</v>
      </c>
      <c r="F6" s="17">
        <v>0.44857799999999998</v>
      </c>
      <c r="G6" s="39">
        <f t="shared" si="0"/>
        <v>10.474538289625103</v>
      </c>
      <c r="H6" s="39">
        <f t="shared" si="1"/>
        <v>3.0112224822643014</v>
      </c>
      <c r="I6" s="17">
        <v>1</v>
      </c>
      <c r="J6" s="17">
        <v>0.13095266166819422</v>
      </c>
      <c r="K6" s="17">
        <v>1</v>
      </c>
      <c r="L6" s="17">
        <v>1</v>
      </c>
      <c r="M6" s="36">
        <f t="shared" si="2"/>
        <v>0</v>
      </c>
      <c r="N6" s="36">
        <f t="shared" si="3"/>
        <v>0</v>
      </c>
      <c r="O6" s="1"/>
      <c r="P6" s="1"/>
      <c r="Q6" s="1"/>
      <c r="R6" s="1"/>
      <c r="S6" s="1"/>
    </row>
    <row r="7" spans="1:19" x14ac:dyDescent="0.35">
      <c r="A7" s="1"/>
      <c r="B7" s="1">
        <v>70</v>
      </c>
      <c r="C7" s="17">
        <v>0.17346606649261764</v>
      </c>
      <c r="D7" s="17">
        <v>2.5013428504316489E-2</v>
      </c>
      <c r="E7" s="17">
        <v>0.59318400000000004</v>
      </c>
      <c r="F7" s="17">
        <v>0.27068300000000001</v>
      </c>
      <c r="G7" s="39">
        <f t="shared" si="0"/>
        <v>16.779704287037379</v>
      </c>
      <c r="H7" s="39">
        <f t="shared" si="1"/>
        <v>3.8865896968344802</v>
      </c>
      <c r="I7" s="17">
        <v>0.53085316320896747</v>
      </c>
      <c r="J7" s="17">
        <v>8.0348252848775364E-2</v>
      </c>
      <c r="K7" s="17">
        <v>0.79040299999999997</v>
      </c>
      <c r="L7" s="17">
        <v>0.60342399999999996</v>
      </c>
      <c r="M7" s="36">
        <f t="shared" si="2"/>
        <v>3.2303108977308455</v>
      </c>
      <c r="N7" s="36">
        <f t="shared" si="3"/>
        <v>0.90320366925238726</v>
      </c>
      <c r="O7" s="1"/>
      <c r="P7" s="1"/>
      <c r="Q7" s="1"/>
      <c r="R7" s="1"/>
      <c r="S7" s="1"/>
    </row>
    <row r="8" spans="1:19" x14ac:dyDescent="0.35">
      <c r="A8" s="1"/>
      <c r="B8" s="1">
        <v>90</v>
      </c>
      <c r="C8" s="17">
        <v>0.13163059910710045</v>
      </c>
      <c r="D8" s="17">
        <v>1.8543259053491357E-2</v>
      </c>
      <c r="E8" s="17">
        <v>0.53106100000000001</v>
      </c>
      <c r="F8" s="17">
        <v>0.20218900000000001</v>
      </c>
      <c r="G8" s="39">
        <f t="shared" si="0"/>
        <v>21.540463827888665</v>
      </c>
      <c r="H8" s="39">
        <f t="shared" si="1"/>
        <v>3.805070116820414</v>
      </c>
      <c r="I8" s="17">
        <v>0.40282529790383859</v>
      </c>
      <c r="J8" s="17">
        <v>5.9631228197792027E-2</v>
      </c>
      <c r="K8" s="17">
        <v>0.70762599999999998</v>
      </c>
      <c r="L8" s="17">
        <v>0.45073400000000002</v>
      </c>
      <c r="M8" s="36">
        <f t="shared" si="2"/>
        <v>5.1114275407033674</v>
      </c>
      <c r="N8" s="36">
        <f t="shared" si="3"/>
        <v>0.80341632302544719</v>
      </c>
      <c r="O8" s="1"/>
      <c r="P8" s="1"/>
      <c r="Q8" s="1"/>
      <c r="R8" s="1"/>
      <c r="S8" s="1"/>
    </row>
    <row r="9" spans="1:19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"/>
      <c r="B16" s="5"/>
      <c r="C16" s="5"/>
      <c r="D16" s="5"/>
      <c r="E16" s="5"/>
      <c r="F16" s="5"/>
      <c r="G16" s="5"/>
      <c r="H16" s="5"/>
      <c r="I16" s="5"/>
      <c r="J16" s="27"/>
      <c r="K16" s="5"/>
      <c r="L16" s="5"/>
      <c r="M16" s="1"/>
      <c r="N16" s="1"/>
      <c r="O16" s="1"/>
      <c r="P16" s="1"/>
      <c r="Q16" s="1"/>
      <c r="R16" s="1"/>
      <c r="S16" s="1"/>
    </row>
    <row r="17" spans="1:19" x14ac:dyDescent="0.35">
      <c r="A17" s="1"/>
      <c r="B17" s="5"/>
      <c r="C17" s="5"/>
      <c r="D17" s="5"/>
      <c r="E17" s="5"/>
      <c r="F17" s="40"/>
      <c r="G17" s="40"/>
      <c r="H17" s="40"/>
      <c r="I17" s="40"/>
      <c r="J17" s="27"/>
      <c r="K17" s="42"/>
      <c r="L17" s="42"/>
      <c r="M17" s="1"/>
      <c r="N17" s="1"/>
      <c r="O17" s="1"/>
      <c r="P17" s="1"/>
      <c r="Q17" s="1"/>
      <c r="R17" s="1"/>
      <c r="S17" s="1"/>
    </row>
    <row r="18" spans="1:19" x14ac:dyDescent="0.35">
      <c r="A18" s="1"/>
      <c r="B18" s="5"/>
      <c r="C18" s="5"/>
      <c r="D18" s="5"/>
      <c r="E18" s="5"/>
      <c r="F18" s="40"/>
      <c r="G18" s="40"/>
      <c r="H18" s="40"/>
      <c r="I18" s="40"/>
      <c r="J18" s="27"/>
      <c r="K18" s="42"/>
      <c r="L18" s="42"/>
      <c r="M18" s="1"/>
      <c r="N18" s="1"/>
      <c r="O18" s="1"/>
      <c r="P18" s="1"/>
      <c r="Q18" s="1"/>
      <c r="R18" s="1"/>
      <c r="S18" s="1"/>
    </row>
    <row r="19" spans="1:19" x14ac:dyDescent="0.35">
      <c r="A19" s="1"/>
      <c r="B19" s="5"/>
      <c r="C19" s="5"/>
      <c r="D19" s="5"/>
      <c r="E19" s="5"/>
      <c r="F19" s="40"/>
      <c r="G19" s="40"/>
      <c r="H19" s="40"/>
      <c r="I19" s="40"/>
      <c r="J19" s="27"/>
      <c r="K19" s="42"/>
      <c r="L19" s="42"/>
      <c r="M19" s="1"/>
      <c r="N19" s="1"/>
      <c r="O19" s="1"/>
      <c r="P19" s="1"/>
      <c r="Q19" s="1"/>
      <c r="R19" s="1"/>
      <c r="S19" s="1"/>
    </row>
    <row r="20" spans="1:19" x14ac:dyDescent="0.35">
      <c r="A20" s="1"/>
      <c r="B20" s="5"/>
      <c r="C20" s="5"/>
      <c r="D20" s="5"/>
      <c r="E20" s="5"/>
      <c r="F20" s="40"/>
      <c r="G20" s="40"/>
      <c r="H20" s="40"/>
      <c r="I20" s="40"/>
      <c r="J20" s="27"/>
      <c r="K20" s="42"/>
      <c r="L20" s="42"/>
      <c r="M20" s="1"/>
      <c r="N20" s="1"/>
      <c r="O20" s="1"/>
      <c r="P20" s="1"/>
      <c r="Q20" s="1"/>
      <c r="R20" s="1"/>
      <c r="S20" s="1"/>
    </row>
    <row r="21" spans="1:19" x14ac:dyDescent="0.35">
      <c r="A21" s="1"/>
      <c r="B21" s="5"/>
      <c r="C21" s="5"/>
      <c r="D21" s="5"/>
      <c r="E21" s="5"/>
      <c r="F21" s="40"/>
      <c r="G21" s="40"/>
      <c r="H21" s="40"/>
      <c r="I21" s="40"/>
      <c r="J21" s="27"/>
      <c r="K21" s="42"/>
      <c r="L21" s="42"/>
      <c r="M21" s="1"/>
      <c r="N21" s="1"/>
      <c r="O21" s="1"/>
      <c r="P21" s="1"/>
      <c r="Q21" s="1"/>
      <c r="R21" s="1"/>
      <c r="S21" s="1"/>
    </row>
    <row r="22" spans="1:19" x14ac:dyDescent="0.35">
      <c r="A22" s="1"/>
      <c r="B22" s="5"/>
      <c r="C22" s="5"/>
      <c r="D22" s="5"/>
      <c r="E22" s="5"/>
      <c r="F22" s="40"/>
      <c r="G22" s="40"/>
      <c r="H22" s="40"/>
      <c r="I22" s="40"/>
      <c r="J22" s="27"/>
      <c r="K22" s="42"/>
      <c r="L22" s="42"/>
      <c r="M22" s="1"/>
      <c r="N22" s="1"/>
      <c r="O22" s="1"/>
      <c r="P22" s="1"/>
      <c r="Q22" s="1"/>
      <c r="R22" s="1"/>
      <c r="S22" s="1"/>
    </row>
    <row r="23" spans="1:19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Pre</vt:lpstr>
      <vt:lpstr>Calibração</vt:lpstr>
      <vt:lpstr>Massa eletrao</vt:lpstr>
      <vt:lpstr>Seção eficaz Diferencial </vt:lpstr>
      <vt:lpstr>Picos</vt:lpstr>
      <vt:lpstr>Estatistica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Duque</dc:creator>
  <cp:lastModifiedBy>João Bravo</cp:lastModifiedBy>
  <dcterms:created xsi:type="dcterms:W3CDTF">2017-11-26T01:19:26Z</dcterms:created>
  <dcterms:modified xsi:type="dcterms:W3CDTF">2017-12-01T16:25:55Z</dcterms:modified>
</cp:coreProperties>
</file>