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alibraçao" sheetId="1" state="visible" r:id="rId2"/>
    <sheet name="Fonte Desconhecida" sheetId="2" state="visible" r:id="rId3"/>
    <sheet name="Radiação Ambiente" sheetId="3" state="visible" r:id="rId4"/>
    <sheet name="Resolução Energia" sheetId="4" state="visible" r:id="rId5"/>
    <sheet name="Atenuação Na Matéri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<sst xmlns="http://schemas.openxmlformats.org/spreadsheetml/2006/main" count="209" uniqueCount="97">
  <si>
    <t xml:space="preserve">Evento</t>
  </si>
  <si>
    <t xml:space="preserve">Nt</t>
  </si>
  <si>
    <t xml:space="preserve">Erro Nt</t>
  </si>
  <si>
    <t xml:space="preserve">Ns</t>
  </si>
  <si>
    <t xml:space="preserve">Erro Ns</t>
  </si>
  <si>
    <t xml:space="preserve">Energia teorica</t>
  </si>
  <si>
    <t xml:space="preserve">C</t>
  </si>
  <si>
    <t xml:space="preserve">ErroC</t>
  </si>
  <si>
    <t xml:space="preserve">FWHM</t>
  </si>
  <si>
    <t xml:space="preserve">Raiox</t>
  </si>
  <si>
    <t xml:space="preserve">Cesio</t>
  </si>
  <si>
    <t xml:space="preserve">Cobalto-1</t>
  </si>
  <si>
    <t xml:space="preserve">Cobalto-2</t>
  </si>
  <si>
    <t xml:space="preserve">FONTE DESCONHECIDA</t>
  </si>
  <si>
    <t xml:space="preserve">Pico</t>
  </si>
  <si>
    <t xml:space="preserve">Tipo</t>
  </si>
  <si>
    <t xml:space="preserve">Contagens </t>
  </si>
  <si>
    <t xml:space="preserve">Erro Contagens</t>
  </si>
  <si>
    <t xml:space="preserve">Centróide</t>
  </si>
  <si>
    <t xml:space="preserve">Erro Centróide</t>
  </si>
  <si>
    <t xml:space="preserve">Energia Centróide (KeV)</t>
  </si>
  <si>
    <t xml:space="preserve">Erro Energia</t>
  </si>
  <si>
    <t xml:space="preserve">Gausseano</t>
  </si>
  <si>
    <t xml:space="preserve">Ombro</t>
  </si>
  <si>
    <t xml:space="preserve">qs gausseano</t>
  </si>
  <si>
    <t xml:space="preserve">?</t>
  </si>
  <si>
    <t xml:space="preserve">;-</t>
  </si>
  <si>
    <t xml:space="preserve">-</t>
  </si>
  <si>
    <t xml:space="preserve">Calibração (ax+b)</t>
  </si>
  <si>
    <t xml:space="preserve">valor</t>
  </si>
  <si>
    <t xml:space="preserve">erro</t>
  </si>
  <si>
    <t xml:space="preserve">Multipico</t>
  </si>
  <si>
    <t xml:space="preserve">a</t>
  </si>
  <si>
    <t xml:space="preserve">b</t>
  </si>
  <si>
    <t xml:space="preserve">RADIAÇÃO AMBIENTE</t>
  </si>
  <si>
    <t xml:space="preserve">Energia teor</t>
  </si>
  <si>
    <t xml:space="preserve">Del E</t>
  </si>
  <si>
    <t xml:space="preserve">Desvio à Exatidão</t>
  </si>
  <si>
    <t xml:space="preserve">Desvio em Sigmas</t>
  </si>
  <si>
    <t xml:space="preserve">Obs</t>
  </si>
  <si>
    <t xml:space="preserve">(raio x)</t>
  </si>
  <si>
    <t xml:space="preserve">corrente negra</t>
  </si>
  <si>
    <t xml:space="preserve">gamma Pb1</t>
  </si>
  <si>
    <t xml:space="preserve">gamma Pb2</t>
  </si>
  <si>
    <t xml:space="preserve">gamma Pb3</t>
  </si>
  <si>
    <t xml:space="preserve">joelho gama Bi1</t>
  </si>
  <si>
    <t xml:space="preserve">Escape duplo</t>
  </si>
  <si>
    <t xml:space="preserve">double escape 40k</t>
  </si>
  <si>
    <t xml:space="preserve">gamma Bi 1</t>
  </si>
  <si>
    <t xml:space="preserve">gamma Bi 2</t>
  </si>
  <si>
    <t xml:space="preserve">Escape simples</t>
  </si>
  <si>
    <t xml:space="preserve">single escape 40 k</t>
  </si>
  <si>
    <t xml:space="preserve">gamma Bi 3</t>
  </si>
  <si>
    <t xml:space="preserve">joelho gama k</t>
  </si>
  <si>
    <t xml:space="preserve">gamma k</t>
  </si>
  <si>
    <t xml:space="preserve">Picos espectados</t>
  </si>
  <si>
    <t xml:space="preserve">E(Kev)</t>
  </si>
  <si>
    <t xml:space="preserve">Prel(%)</t>
  </si>
  <si>
    <t xml:space="preserve">Retrodif</t>
  </si>
  <si>
    <t xml:space="preserve">Joelho</t>
  </si>
  <si>
    <t xml:space="preserve">pico</t>
  </si>
  <si>
    <t xml:space="preserve">fr em total</t>
  </si>
  <si>
    <t xml:space="preserve">fr teor</t>
  </si>
  <si>
    <t xml:space="preserve">gamma Pb 1</t>
  </si>
  <si>
    <t xml:space="preserve">2.5</t>
  </si>
  <si>
    <t xml:space="preserve">gamma Pb 2</t>
  </si>
  <si>
    <t xml:space="preserve">19.5</t>
  </si>
  <si>
    <t xml:space="preserve">gamma Pb 3</t>
  </si>
  <si>
    <t xml:space="preserve">37.2</t>
  </si>
  <si>
    <t xml:space="preserve">total</t>
  </si>
  <si>
    <t xml:space="preserve">gamma Bi1</t>
  </si>
  <si>
    <t xml:space="preserve">gamma Bi2</t>
  </si>
  <si>
    <t xml:space="preserve">double escape 40 k</t>
  </si>
  <si>
    <t xml:space="preserve">gamma Bi3</t>
  </si>
  <si>
    <t xml:space="preserve">Fonte</t>
  </si>
  <si>
    <t xml:space="preserve">E (KeV)</t>
  </si>
  <si>
    <t xml:space="preserve">err</t>
  </si>
  <si>
    <t xml:space="preserve">FWHM (KeV)</t>
  </si>
  <si>
    <t xml:space="preserve">Resolução (\%)</t>
  </si>
  <si>
    <t xml:space="preserve">$^{137}Cs$</t>
  </si>
  <si>
    <t xml:space="preserve">Raio X</t>
  </si>
  <si>
    <t xml:space="preserve">Absorção Total</t>
  </si>
  <si>
    <t xml:space="preserve">$^{60}Co$</t>
  </si>
  <si>
    <t xml:space="preserve">Absorção Total 1</t>
  </si>
  <si>
    <t xml:space="preserve">Absorção Total 2</t>
  </si>
  <si>
    <t xml:space="preserve">Desconhecida</t>
  </si>
  <si>
    <t xml:space="preserve">Gaussiano 1</t>
  </si>
  <si>
    <t xml:space="preserve">Gaussiano 3</t>
  </si>
  <si>
    <t xml:space="preserve">Ambiente</t>
  </si>
  <si>
    <t xml:space="preserve">Gaussiano 8</t>
  </si>
  <si>
    <t xml:space="preserve">Gaussiano 13</t>
  </si>
  <si>
    <t xml:space="preserve">Absorvedor</t>
  </si>
  <si>
    <t xml:space="preserve">Espessura (mg cm^-2)</t>
  </si>
  <si>
    <t xml:space="preserve">Ln(N0/N)</t>
  </si>
  <si>
    <t xml:space="preserve">Erro Ln(N0/N)</t>
  </si>
  <si>
    <t xml:space="preserve">1+2</t>
  </si>
  <si>
    <t xml:space="preserve">2+3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</si>
</sst>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E+00"/>
    <numFmt numFmtId="168" formatCode="0.00000"/>
    <numFmt numFmtId="169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8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DDDDD"/>
      </patternFill>
    </fill>
    <fill>
      <patternFill patternType="solid">
        <fgColor rgb="FFDAE3F3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1C3F0"/>
        <bgColor rgb="FFDDDDDD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1C3F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4"/>
  <cols>
    <col collapsed="false" hidden="false" max="5" min="1" style="0" width="9.31632653061224"/>
    <col collapsed="false" hidden="false" max="6" min="6" style="0" width="13.2295918367347"/>
    <col collapsed="false" hidden="false" max="1025" min="7" style="0" width="9.31632653061224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" hidden="false" customHeight="false" outlineLevel="0" collapsed="false">
      <c r="A2" s="3" t="s">
        <v>9</v>
      </c>
      <c r="B2" s="4" t="n">
        <v>1628</v>
      </c>
      <c r="C2" s="4" t="n">
        <v>40</v>
      </c>
      <c r="D2" s="4" t="n">
        <v>410</v>
      </c>
      <c r="E2" s="4" t="n">
        <v>64</v>
      </c>
      <c r="F2" s="4" t="n">
        <v>32</v>
      </c>
      <c r="G2" s="4" t="n">
        <v>16.05</v>
      </c>
      <c r="H2" s="4" t="n">
        <f aca="false">Calibraçao!I2/(2.35*SQRT(Calibraçao!D2))</f>
        <v>0.0590536205656457</v>
      </c>
      <c r="I2" s="4" t="n">
        <v>2.81</v>
      </c>
    </row>
    <row r="3" customFormat="false" ht="14" hidden="false" customHeight="false" outlineLevel="0" collapsed="false">
      <c r="A3" s="3" t="s">
        <v>10</v>
      </c>
      <c r="B3" s="4" t="n">
        <v>4183</v>
      </c>
      <c r="C3" s="4" t="n">
        <v>65</v>
      </c>
      <c r="D3" s="4" t="n">
        <v>2335</v>
      </c>
      <c r="E3" s="4" t="n">
        <v>173</v>
      </c>
      <c r="F3" s="4" t="n">
        <v>662</v>
      </c>
      <c r="G3" s="4" t="n">
        <v>379.91</v>
      </c>
      <c r="H3" s="4" t="n">
        <f aca="false">Calibraçao!I3/(2.35*SQRT(Calibraçao!D3))</f>
        <v>0.21513554063298</v>
      </c>
      <c r="I3" s="4" t="n">
        <v>24.43</v>
      </c>
    </row>
    <row r="4" customFormat="false" ht="14" hidden="false" customHeight="false" outlineLevel="0" collapsed="false">
      <c r="A4" s="3" t="s">
        <v>11</v>
      </c>
      <c r="B4" s="4" t="n">
        <v>2396</v>
      </c>
      <c r="C4" s="4" t="n">
        <v>49</v>
      </c>
      <c r="D4" s="4" t="n">
        <v>1843</v>
      </c>
      <c r="E4" s="4" t="n">
        <v>99</v>
      </c>
      <c r="F4" s="4" t="n">
        <v>1173</v>
      </c>
      <c r="G4" s="4" t="n">
        <v>670.43</v>
      </c>
      <c r="H4" s="4" t="n">
        <f aca="false">Calibraçao!I4/(2.35*SQRT(Calibraçao!D4))</f>
        <v>0.245623984482394</v>
      </c>
      <c r="I4" s="4" t="n">
        <v>24.78</v>
      </c>
    </row>
    <row r="5" customFormat="false" ht="14" hidden="false" customHeight="false" outlineLevel="0" collapsed="false">
      <c r="A5" s="3" t="s">
        <v>12</v>
      </c>
      <c r="B5" s="4" t="n">
        <v>1736</v>
      </c>
      <c r="C5" s="4" t="n">
        <v>42</v>
      </c>
      <c r="D5" s="4" t="n">
        <v>1504</v>
      </c>
      <c r="E5" s="4" t="n">
        <v>71</v>
      </c>
      <c r="F5" s="4" t="n">
        <v>1333</v>
      </c>
      <c r="G5" s="4" t="n">
        <v>760.41</v>
      </c>
      <c r="H5" s="4" t="n">
        <f aca="false">Calibraçao!I5/(2.35*SQRT(Calibraçao!D5))</f>
        <v>0.28309221439869</v>
      </c>
      <c r="I5" s="4" t="n">
        <v>25.8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5" activeCellId="0" sqref="M5"/>
    </sheetView>
  </sheetViews>
  <sheetFormatPr defaultRowHeight="14"/>
  <cols>
    <col collapsed="false" hidden="false" max="1" min="1" style="0" width="15.1173469387755"/>
    <col collapsed="false" hidden="false" max="4" min="2" style="0" width="11.3418367346939"/>
    <col collapsed="false" hidden="false" max="5" min="5" style="0" width="14.0408163265306"/>
    <col collapsed="false" hidden="false" max="6" min="6" style="0" width="14.1734693877551"/>
    <col collapsed="false" hidden="false" max="7" min="7" style="0" width="12.8265306122449"/>
    <col collapsed="false" hidden="false" max="8" min="8" style="0" width="13.5"/>
    <col collapsed="false" hidden="false" max="10" min="9" style="0" width="12.8265306122449"/>
    <col collapsed="false" hidden="false" max="11" min="11" style="0" width="12.6887755102041"/>
    <col collapsed="false" hidden="false" max="12" min="12" style="0" width="20.3826530612245"/>
    <col collapsed="false" hidden="false" max="13" min="13" style="0" width="11.6071428571429"/>
    <col collapsed="false" hidden="false" max="1025" min="14" style="0" width="11.3418367346939"/>
  </cols>
  <sheetData>
    <row r="1" customFormat="false" ht="14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4" hidden="false" customHeight="false" outlineLevel="0" collapsed="false">
      <c r="A2" s="4"/>
      <c r="B2" s="4"/>
      <c r="C2" s="4"/>
      <c r="D2" s="4"/>
      <c r="E2" s="5" t="s">
        <v>13</v>
      </c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5" hidden="false" customHeight="false" outlineLevel="0" collapsed="false">
      <c r="A3" s="4"/>
      <c r="B3" s="4"/>
      <c r="C3" s="4"/>
      <c r="E3" s="6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8</v>
      </c>
      <c r="L3" s="7" t="s">
        <v>20</v>
      </c>
      <c r="M3" s="7" t="s">
        <v>21</v>
      </c>
      <c r="N3" s="4"/>
      <c r="O3" s="4"/>
    </row>
    <row r="4" customFormat="false" ht="13.8" hidden="false" customHeight="false" outlineLevel="0" collapsed="false">
      <c r="A4" s="4"/>
      <c r="B4" s="4"/>
      <c r="C4" s="4"/>
      <c r="E4" s="8" t="n">
        <v>1</v>
      </c>
      <c r="F4" s="4" t="s">
        <v>22</v>
      </c>
      <c r="G4" s="4" t="n">
        <v>67574</v>
      </c>
      <c r="H4" s="4" t="n">
        <v>283</v>
      </c>
      <c r="I4" s="9" t="n">
        <v>13.71</v>
      </c>
      <c r="J4" s="10" t="n">
        <f aca="false">'Fonte Desconhecida'!K4/(SQRT('Fonte Desconhecida'!G4)*2.35)</f>
        <v>0.00530380238414801</v>
      </c>
      <c r="K4" s="4" t="n">
        <v>3.24</v>
      </c>
      <c r="L4" s="9" t="n">
        <f aca="false">'Fonte Desconhecida'!I4*'Fonte Desconhecida'!$B$9+'Fonte Desconhecida'!$B$10</f>
        <v>27.7563947</v>
      </c>
      <c r="M4" s="9" t="n">
        <f aca="false">'Fonte Desconhecida'!I4*'Fonte Desconhecida'!$C$9+'Fonte Desconhecida'!$B$9*'Fonte Desconhecida'!J4+'Fonte Desconhecida'!$C$10</f>
        <v>0.120678406262929</v>
      </c>
      <c r="N4" s="4"/>
      <c r="O4" s="4"/>
    </row>
    <row r="5" customFormat="false" ht="14" hidden="false" customHeight="false" outlineLevel="0" collapsed="false">
      <c r="A5" s="4"/>
      <c r="B5" s="4"/>
      <c r="C5" s="4"/>
      <c r="E5" s="8" t="n">
        <v>2</v>
      </c>
      <c r="F5" s="4" t="s">
        <v>23</v>
      </c>
      <c r="G5" s="4" t="n">
        <v>418</v>
      </c>
      <c r="H5" s="4" t="n">
        <v>157</v>
      </c>
      <c r="I5" s="9" t="n">
        <v>45.48</v>
      </c>
      <c r="J5" s="10" t="n">
        <f aca="false">'Fonte Desconhecida'!K5/(SQRT('Fonte Desconhecida'!G5)*2.35)</f>
        <v>0.0830456507360693</v>
      </c>
      <c r="K5" s="4" t="n">
        <v>3.99</v>
      </c>
      <c r="L5" s="9" t="n">
        <f aca="false">'Fonte Desconhecida'!I5*'Fonte Desconhecida'!$B$9+'Fonte Desconhecida'!$B$10</f>
        <v>83.1496136</v>
      </c>
      <c r="M5" s="9" t="n">
        <f aca="false">'Fonte Desconhecida'!I5*'Fonte Desconhecida'!$C$9+'Fonte Desconhecida'!$B$9*'Fonte Desconhecida'!J5+'Fonte Desconhecida'!$C$10</f>
        <v>0.270751178773888</v>
      </c>
      <c r="N5" s="4"/>
      <c r="O5" s="4"/>
    </row>
    <row r="6" customFormat="false" ht="14" hidden="false" customHeight="false" outlineLevel="0" collapsed="false">
      <c r="A6" s="4"/>
      <c r="B6" s="4"/>
      <c r="C6" s="4"/>
      <c r="E6" s="8" t="n">
        <v>3</v>
      </c>
      <c r="F6" s="4" t="s">
        <v>24</v>
      </c>
      <c r="G6" s="4" t="n">
        <v>931</v>
      </c>
      <c r="H6" s="4" t="n">
        <v>217</v>
      </c>
      <c r="I6" s="9" t="n">
        <v>65.64</v>
      </c>
      <c r="J6" s="10" t="n">
        <f aca="false">'Fonte Desconhecida'!K6/(SQRT('Fonte Desconhecida'!G6)*2.35)</f>
        <v>0.0670814395086567</v>
      </c>
      <c r="K6" s="4" t="n">
        <v>4.81</v>
      </c>
      <c r="L6" s="9" t="n">
        <f aca="false">'Fonte Desconhecida'!I6*'Fonte Desconhecida'!$B$9+'Fonte Desconhecida'!$B$10</f>
        <v>118.2999848</v>
      </c>
      <c r="M6" s="9" t="n">
        <f aca="false">'Fonte Desconhecida'!I6*'Fonte Desconhecida'!$C$9+'Fonte Desconhecida'!$B$9*'Fonte Desconhecida'!J6+'Fonte Desconhecida'!$C$10</f>
        <v>0.252133086844109</v>
      </c>
      <c r="N6" s="4"/>
      <c r="O6" s="4"/>
    </row>
    <row r="7" customFormat="false" ht="15" hidden="false" customHeight="false" outlineLevel="0" collapsed="false">
      <c r="A7" s="4"/>
      <c r="B7" s="4"/>
      <c r="C7" s="4"/>
      <c r="E7" s="8" t="n">
        <v>4</v>
      </c>
      <c r="F7" s="4" t="s">
        <v>25</v>
      </c>
      <c r="G7" s="4" t="s">
        <v>26</v>
      </c>
      <c r="H7" s="4" t="s">
        <v>27</v>
      </c>
      <c r="I7" s="9" t="n">
        <v>78</v>
      </c>
      <c r="J7" s="10" t="s">
        <v>27</v>
      </c>
      <c r="K7" s="4" t="s">
        <v>27</v>
      </c>
      <c r="L7" s="9" t="n">
        <f aca="false">'Fonte Desconhecida'!I7*'Fonte Desconhecida'!$B$9+'Fonte Desconhecida'!$B$10</f>
        <v>139.85051</v>
      </c>
      <c r="M7" s="9" t="s">
        <v>27</v>
      </c>
      <c r="N7" s="4"/>
      <c r="O7" s="4"/>
    </row>
    <row r="8" customFormat="false" ht="14" hidden="false" customHeight="false" outlineLevel="0" collapsed="false">
      <c r="A8" s="11" t="s">
        <v>28</v>
      </c>
      <c r="B8" s="12" t="s">
        <v>29</v>
      </c>
      <c r="C8" s="13" t="s">
        <v>30</v>
      </c>
      <c r="E8" s="8" t="n">
        <v>5</v>
      </c>
      <c r="F8" s="4" t="s">
        <v>31</v>
      </c>
      <c r="G8" s="4" t="n">
        <v>6169</v>
      </c>
      <c r="H8" s="4" t="n">
        <v>250</v>
      </c>
      <c r="I8" s="9" t="n">
        <v>102.89</v>
      </c>
      <c r="J8" s="10" t="n">
        <f aca="false">'Fonte Desconhecida'!K8/(SQRT('Fonte Desconhecida'!G8)*2.35)</f>
        <v>0.0512525985057823</v>
      </c>
      <c r="K8" s="4" t="n">
        <v>9.46</v>
      </c>
      <c r="L8" s="9" t="n">
        <f aca="false">'Fonte Desconhecida'!I8*'Fonte Desconhecida'!$B$9+'Fonte Desconhecida'!$B$10</f>
        <v>183.2479673</v>
      </c>
      <c r="M8" s="9" t="n">
        <f aca="false">'Fonte Desconhecida'!I8*'Fonte Desconhecida'!$C$9+'Fonte Desconhecida'!$B$9*'Fonte Desconhecida'!J8+'Fonte Desconhecida'!$C$10</f>
        <v>0.241564126036727</v>
      </c>
      <c r="N8" s="4"/>
      <c r="O8" s="4"/>
    </row>
    <row r="9" customFormat="false" ht="14" hidden="false" customHeight="false" outlineLevel="0" collapsed="false">
      <c r="A9" s="14" t="s">
        <v>32</v>
      </c>
      <c r="B9" s="15" t="n">
        <v>1.74357</v>
      </c>
      <c r="C9" s="16" t="n">
        <v>0.000457174</v>
      </c>
      <c r="E9" s="8" t="n">
        <v>6</v>
      </c>
      <c r="F9" s="4" t="s">
        <v>23</v>
      </c>
      <c r="G9" s="4" t="s">
        <v>27</v>
      </c>
      <c r="H9" s="4" t="s">
        <v>27</v>
      </c>
      <c r="I9" s="9" t="n">
        <v>120</v>
      </c>
      <c r="J9" s="10" t="s">
        <v>27</v>
      </c>
      <c r="K9" s="4" t="s">
        <v>27</v>
      </c>
      <c r="L9" s="9" t="n">
        <f aca="false">'Fonte Desconhecida'!I9*'Fonte Desconhecida'!$B$9+'Fonte Desconhecida'!$B$10</f>
        <v>213.08045</v>
      </c>
      <c r="M9" s="9" t="s">
        <v>27</v>
      </c>
      <c r="N9" s="4"/>
      <c r="O9" s="4"/>
    </row>
    <row r="10" customFormat="false" ht="15" hidden="false" customHeight="false" outlineLevel="0" collapsed="false">
      <c r="A10" s="17" t="s">
        <v>33</v>
      </c>
      <c r="B10" s="18" t="n">
        <v>3.85205</v>
      </c>
      <c r="C10" s="19" t="n">
        <v>0.105163</v>
      </c>
      <c r="E10" s="8" t="n">
        <v>7</v>
      </c>
      <c r="F10" s="4" t="s">
        <v>23</v>
      </c>
      <c r="G10" s="4" t="s">
        <v>27</v>
      </c>
      <c r="H10" s="4" t="s">
        <v>27</v>
      </c>
      <c r="I10" s="9" t="n">
        <v>133</v>
      </c>
      <c r="J10" s="10" t="s">
        <v>27</v>
      </c>
      <c r="K10" s="4" t="s">
        <v>27</v>
      </c>
      <c r="L10" s="9" t="n">
        <f aca="false">'Fonte Desconhecida'!I10*'Fonte Desconhecida'!$B$9+'Fonte Desconhecida'!$B$10</f>
        <v>235.74686</v>
      </c>
      <c r="M10" s="9" t="s">
        <v>27</v>
      </c>
      <c r="N10" s="4"/>
      <c r="O10" s="4"/>
    </row>
    <row r="11" customFormat="false" ht="14" hidden="false" customHeight="false" outlineLevel="0" collapsed="false">
      <c r="A11" s="4"/>
      <c r="B11" s="4"/>
      <c r="C11" s="4"/>
      <c r="E11" s="8" t="n">
        <v>8</v>
      </c>
      <c r="F11" s="4" t="s">
        <v>31</v>
      </c>
      <c r="G11" s="4" t="n">
        <v>11885</v>
      </c>
      <c r="H11" s="4" t="n">
        <v>248</v>
      </c>
      <c r="I11" s="9" t="n">
        <v>248.18</v>
      </c>
      <c r="J11" s="10" t="n">
        <f aca="false">'Fonte Desconhecida'!K11/(SQRT('Fonte Desconhecida'!G11)*2.35)</f>
        <v>0.0828671759862874</v>
      </c>
      <c r="K11" s="4" t="n">
        <v>21.23</v>
      </c>
      <c r="L11" s="9" t="n">
        <f aca="false">'Fonte Desconhecida'!I11*'Fonte Desconhecida'!$B$9+'Fonte Desconhecida'!$B$10</f>
        <v>436.5712526</v>
      </c>
      <c r="M11" s="9" t="n">
        <f aca="false">'Fonte Desconhecida'!I11*'Fonte Desconhecida'!$C$9+'Fonte Desconhecida'!$B$9*'Fonte Desconhecida'!J11+'Fonte Desconhecida'!$C$10</f>
        <v>0.363109165354411</v>
      </c>
      <c r="N11" s="4"/>
      <c r="O11" s="4"/>
    </row>
    <row r="12" customFormat="false" ht="14" hidden="false" customHeight="false" outlineLevel="0" collapsed="false">
      <c r="A12" s="4"/>
      <c r="B12" s="4"/>
      <c r="C12" s="4"/>
      <c r="E12" s="8" t="n">
        <v>9</v>
      </c>
      <c r="F12" s="4" t="s">
        <v>31</v>
      </c>
      <c r="G12" s="4" t="n">
        <v>6803</v>
      </c>
      <c r="H12" s="4" t="n">
        <v>165</v>
      </c>
      <c r="I12" s="9" t="n">
        <v>350.37</v>
      </c>
      <c r="J12" s="10" t="n">
        <f aca="false">'Fonte Desconhecida'!K12/(SQRT('Fonte Desconhecida'!G12)*2.35)</f>
        <v>0.162359851401565</v>
      </c>
      <c r="K12" s="4" t="n">
        <v>31.47</v>
      </c>
      <c r="L12" s="9" t="n">
        <f aca="false">'Fonte Desconhecida'!I12*'Fonte Desconhecida'!$B$9+'Fonte Desconhecida'!$B$10</f>
        <v>614.7466709</v>
      </c>
      <c r="M12" s="9" t="n">
        <f aca="false">'Fonte Desconhecida'!I12*'Fonte Desconhecida'!$C$9+'Fonte Desconhecida'!$B$9*'Fonte Desconhecida'!J12+'Fonte Desconhecida'!$C$10</f>
        <v>0.548428820488226</v>
      </c>
      <c r="N12" s="4"/>
      <c r="O12" s="4"/>
    </row>
  </sheetData>
  <mergeCells count="1">
    <mergeCell ref="E2: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3" activeCellId="0" sqref="E3"/>
    </sheetView>
  </sheetViews>
  <sheetFormatPr defaultRowHeight="14"/>
  <cols>
    <col collapsed="false" hidden="false" max="1" min="1" style="0" width="15.1173469387755"/>
    <col collapsed="false" hidden="false" max="4" min="2" style="0" width="11.3418367346939"/>
    <col collapsed="false" hidden="false" max="5" min="5" style="0" width="19.5714285714286"/>
    <col collapsed="false" hidden="false" max="6" min="6" style="0" width="20.3826530612245"/>
    <col collapsed="false" hidden="false" max="7" min="7" style="0" width="18.2244897959184"/>
    <col collapsed="false" hidden="false" max="8" min="8" style="0" width="13.5"/>
    <col collapsed="false" hidden="false" max="9" min="9" style="0" width="11.3418367346939"/>
    <col collapsed="false" hidden="false" max="10" min="10" style="0" width="12.8265306122449"/>
    <col collapsed="false" hidden="false" max="11" min="11" style="0" width="11.3418367346939"/>
    <col collapsed="false" hidden="false" max="12" min="12" style="0" width="20.3826530612245"/>
    <col collapsed="false" hidden="false" max="13" min="13" style="0" width="10.8010204081633"/>
    <col collapsed="false" hidden="false" max="1025" min="14" style="0" width="11.3418367346939"/>
  </cols>
  <sheetData>
    <row r="3" customFormat="false" ht="13.8" hidden="false" customHeight="false" outlineLevel="0" collapsed="false">
      <c r="A3" s="4"/>
      <c r="B3" s="4"/>
      <c r="C3" s="4"/>
      <c r="D3" s="4"/>
      <c r="E3" s="20" t="s">
        <v>34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customFormat="false" ht="13.8" hidden="false" customHeight="false" outlineLevel="0" collapsed="false">
      <c r="A4" s="4"/>
      <c r="B4" s="4"/>
      <c r="C4" s="4"/>
      <c r="E4" s="21" t="s">
        <v>14</v>
      </c>
      <c r="F4" s="22" t="s">
        <v>15</v>
      </c>
      <c r="G4" s="22" t="s">
        <v>16</v>
      </c>
      <c r="H4" s="22" t="s">
        <v>17</v>
      </c>
      <c r="I4" s="22" t="s">
        <v>18</v>
      </c>
      <c r="J4" s="22" t="s">
        <v>19</v>
      </c>
      <c r="K4" s="22" t="s">
        <v>8</v>
      </c>
      <c r="L4" s="22" t="s">
        <v>20</v>
      </c>
      <c r="M4" s="22" t="s">
        <v>21</v>
      </c>
      <c r="N4" s="23" t="s">
        <v>35</v>
      </c>
      <c r="O4" s="23" t="s">
        <v>36</v>
      </c>
      <c r="P4" s="0" t="s">
        <v>37</v>
      </c>
      <c r="Q4" s="0" t="s">
        <v>38</v>
      </c>
      <c r="R4" s="23" t="s">
        <v>39</v>
      </c>
    </row>
    <row r="5" customFormat="false" ht="13.8" hidden="false" customHeight="false" outlineLevel="0" collapsed="false">
      <c r="A5" s="4"/>
      <c r="B5" s="4"/>
      <c r="C5" s="4"/>
      <c r="E5" s="8" t="n">
        <v>0</v>
      </c>
      <c r="F5" s="4" t="s">
        <v>40</v>
      </c>
      <c r="G5" s="0" t="s">
        <v>27</v>
      </c>
      <c r="H5" s="0" t="s">
        <v>27</v>
      </c>
      <c r="I5" s="4" t="n">
        <v>16</v>
      </c>
      <c r="J5" s="4"/>
      <c r="K5" s="4"/>
      <c r="L5" s="24"/>
      <c r="M5" s="25"/>
    </row>
    <row r="6" customFormat="false" ht="13.8" hidden="false" customHeight="false" outlineLevel="0" collapsed="false">
      <c r="A6" s="4"/>
      <c r="B6" s="4"/>
      <c r="C6" s="4"/>
      <c r="E6" s="8" t="n">
        <v>1</v>
      </c>
      <c r="F6" s="4" t="s">
        <v>41</v>
      </c>
      <c r="G6" s="4" t="n">
        <v>59770</v>
      </c>
      <c r="H6" s="4" t="n">
        <v>1304</v>
      </c>
      <c r="I6" s="4" t="n">
        <v>51.96</v>
      </c>
      <c r="J6" s="9" t="n">
        <f aca="false">K6/(SQRT(G6)*2.35)</f>
        <v>0.0979416519765244</v>
      </c>
      <c r="K6" s="4" t="n">
        <v>56.27</v>
      </c>
      <c r="L6" s="9" t="n">
        <f aca="false">I6*$B$8+$B$9</f>
        <v>94.4479472</v>
      </c>
      <c r="M6" s="9" t="n">
        <f aca="false">SQRT((I6*$C$8)^2+($B$8*J6)^2+$C$9^2)</f>
        <v>0.20195370297499</v>
      </c>
    </row>
    <row r="7" customFormat="false" ht="13.8" hidden="false" customHeight="false" outlineLevel="0" collapsed="false">
      <c r="A7" s="11" t="s">
        <v>28</v>
      </c>
      <c r="B7" s="12" t="s">
        <v>29</v>
      </c>
      <c r="C7" s="13" t="s">
        <v>30</v>
      </c>
      <c r="E7" s="8" t="n">
        <v>2</v>
      </c>
      <c r="F7" s="4" t="s">
        <v>22</v>
      </c>
      <c r="G7" s="4" t="n">
        <v>994</v>
      </c>
      <c r="H7" s="4" t="n">
        <v>253</v>
      </c>
      <c r="I7" s="4" t="n">
        <v>136.62</v>
      </c>
      <c r="J7" s="9" t="n">
        <f aca="false">K7/(SQRT(G7)*2.35)</f>
        <v>0.107031628382675</v>
      </c>
      <c r="K7" s="4" t="n">
        <v>7.93</v>
      </c>
      <c r="L7" s="9" t="n">
        <f aca="false">I7*$B$8+$B$9</f>
        <v>242.0585834</v>
      </c>
      <c r="M7" s="9" t="n">
        <f aca="false">SQRT((I7*$C$8)^2+($B$8*J7)^2+$C$9^2)</f>
        <v>0.223128556635732</v>
      </c>
      <c r="N7" s="4" t="n">
        <v>242</v>
      </c>
      <c r="O7" s="4" t="n">
        <f aca="false">N7-L7</f>
        <v>-0.0585834000000034</v>
      </c>
      <c r="P7" s="4" t="n">
        <f aca="false">O7/N7</f>
        <v>-0.00024208016528927</v>
      </c>
      <c r="Q7" s="4" t="n">
        <f aca="false">O7/M7</f>
        <v>-0.262554470316605</v>
      </c>
      <c r="R7" s="4" t="s">
        <v>42</v>
      </c>
    </row>
    <row r="8" customFormat="false" ht="13.8" hidden="false" customHeight="false" outlineLevel="0" collapsed="false">
      <c r="A8" s="14" t="s">
        <v>32</v>
      </c>
      <c r="B8" s="15" t="n">
        <v>1.74357</v>
      </c>
      <c r="C8" s="16" t="n">
        <v>0.000457174</v>
      </c>
      <c r="E8" s="8" t="n">
        <v>3</v>
      </c>
      <c r="F8" s="4" t="s">
        <v>22</v>
      </c>
      <c r="G8" s="4" t="n">
        <v>389</v>
      </c>
      <c r="H8" s="4" t="n">
        <v>261</v>
      </c>
      <c r="I8" s="4" t="n">
        <v>173.92</v>
      </c>
      <c r="J8" s="9" t="n">
        <f aca="false">K8/(SQRT(G8)*2.35)</f>
        <v>0.0485444802028781</v>
      </c>
      <c r="K8" s="4" t="n">
        <v>2.25</v>
      </c>
      <c r="L8" s="9" t="n">
        <f aca="false">I8*$B$8+$B$9</f>
        <v>307.0937444</v>
      </c>
      <c r="M8" s="9" t="n">
        <f aca="false">SQRT((I8*$C$8)^2+($B$8*J8)^2+$C$9^2)</f>
        <v>0.156669765183536</v>
      </c>
      <c r="N8" s="4" t="n">
        <v>295</v>
      </c>
      <c r="O8" s="4" t="n">
        <f aca="false">N8-L8</f>
        <v>-12.0937444</v>
      </c>
      <c r="P8" s="4" t="n">
        <f aca="false">O8/N8</f>
        <v>-0.0409957437288135</v>
      </c>
      <c r="Q8" s="4" t="n">
        <f aca="false">O8/M8</f>
        <v>-77.1925864944803</v>
      </c>
      <c r="R8" s="4" t="s">
        <v>43</v>
      </c>
    </row>
    <row r="9" customFormat="false" ht="13.8" hidden="false" customHeight="false" outlineLevel="0" collapsed="false">
      <c r="A9" s="17" t="s">
        <v>33</v>
      </c>
      <c r="B9" s="18" t="n">
        <v>3.85205</v>
      </c>
      <c r="C9" s="19" t="n">
        <v>0.105163</v>
      </c>
      <c r="E9" s="8" t="n">
        <v>4</v>
      </c>
      <c r="F9" s="4" t="s">
        <v>22</v>
      </c>
      <c r="G9" s="4" t="n">
        <v>486</v>
      </c>
      <c r="H9" s="4" t="n">
        <v>214</v>
      </c>
      <c r="I9" s="4" t="n">
        <v>200.77</v>
      </c>
      <c r="J9" s="9" t="n">
        <f aca="false">K9/(SQRT(G9)*2.35)</f>
        <v>0.118131420219331</v>
      </c>
      <c r="K9" s="4" t="n">
        <v>6.12</v>
      </c>
      <c r="L9" s="9" t="n">
        <f aca="false">I9*$B$8+$B$9</f>
        <v>353.9085989</v>
      </c>
      <c r="M9" s="9" t="n">
        <f aca="false">SQRT((I9*$C$8)^2+($B$8*J9)^2+$C$9^2)</f>
        <v>0.248812948711324</v>
      </c>
      <c r="N9" s="4" t="n">
        <v>352</v>
      </c>
      <c r="O9" s="4" t="n">
        <f aca="false">N9-L9</f>
        <v>-1.90859890000007</v>
      </c>
      <c r="P9" s="4" t="n">
        <f aca="false">O9/N9</f>
        <v>-0.0054221559659093</v>
      </c>
      <c r="Q9" s="4" t="n">
        <f aca="false">O9/M9</f>
        <v>-7.67081821860668</v>
      </c>
      <c r="R9" s="26" t="s">
        <v>44</v>
      </c>
    </row>
    <row r="10" customFormat="false" ht="13.8" hidden="false" customHeight="false" outlineLevel="0" collapsed="false">
      <c r="E10" s="27" t="n">
        <v>5</v>
      </c>
      <c r="F10" s="28" t="s">
        <v>23</v>
      </c>
      <c r="G10" s="28" t="n">
        <v>470</v>
      </c>
      <c r="H10" s="28" t="n">
        <v>190</v>
      </c>
      <c r="I10" s="28" t="n">
        <v>227.02</v>
      </c>
      <c r="J10" s="29" t="n">
        <f aca="false">K10/(SQRT(G10)*2.35)</f>
        <v>0.0830278087225997</v>
      </c>
      <c r="K10" s="28" t="n">
        <v>4.23</v>
      </c>
      <c r="L10" s="29" t="n">
        <f aca="false">I10*$B$8+$B$9</f>
        <v>399.6773114</v>
      </c>
      <c r="M10" s="29" t="n">
        <f aca="false">SQRT((I10*$C$8)^2+($B$8*J10)^2+$C$9^2)</f>
        <v>0.206852549864591</v>
      </c>
      <c r="N10" s="30" t="n">
        <v>429.0125</v>
      </c>
      <c r="O10" s="4" t="n">
        <f aca="false">N10-L10</f>
        <v>29.3351885999999</v>
      </c>
      <c r="P10" s="4" t="n">
        <f aca="false">O10/N10</f>
        <v>0.0683784006293521</v>
      </c>
      <c r="Q10" s="4" t="n">
        <f aca="false">O10/M10</f>
        <v>141.816905903278</v>
      </c>
      <c r="R10" s="30" t="s">
        <v>45</v>
      </c>
    </row>
    <row r="11" customFormat="false" ht="13.8" hidden="false" customHeight="false" outlineLevel="0" collapsed="false">
      <c r="E11" s="8" t="n">
        <v>6</v>
      </c>
      <c r="F11" s="4" t="s">
        <v>46</v>
      </c>
      <c r="G11" s="4" t="n">
        <v>476</v>
      </c>
      <c r="H11" s="4" t="n">
        <v>242</v>
      </c>
      <c r="I11" s="4" t="n">
        <v>236.99</v>
      </c>
      <c r="J11" s="9" t="n">
        <f aca="false">K11/(SQRT(G11)*2.35)</f>
        <v>0.0819177380323082</v>
      </c>
      <c r="K11" s="4" t="n">
        <v>4.2</v>
      </c>
      <c r="L11" s="9" t="n">
        <f aca="false">I11*$B$8+$B$9</f>
        <v>417.0607043</v>
      </c>
      <c r="M11" s="9" t="n">
        <f aca="false">SQRT((I11*$C$8)^2+($B$8*J11)^2+$C$9^2)</f>
        <v>0.207841891601554</v>
      </c>
      <c r="N11" s="4" t="n">
        <v>438</v>
      </c>
      <c r="O11" s="4" t="n">
        <f aca="false">N11-L11</f>
        <v>20.9392956999999</v>
      </c>
      <c r="P11" s="4" t="n">
        <f aca="false">O11/N11</f>
        <v>0.0478066111872145</v>
      </c>
      <c r="Q11" s="4" t="n">
        <f aca="false">O11/M11</f>
        <v>100.746271786931</v>
      </c>
      <c r="R11" s="4" t="s">
        <v>47</v>
      </c>
    </row>
    <row r="12" customFormat="false" ht="13.8" hidden="false" customHeight="false" outlineLevel="0" collapsed="false">
      <c r="A12" s="4"/>
      <c r="B12" s="4"/>
      <c r="C12" s="4"/>
      <c r="E12" s="31" t="n">
        <v>7</v>
      </c>
      <c r="F12" s="32" t="s">
        <v>23</v>
      </c>
      <c r="G12" s="32" t="n">
        <v>352</v>
      </c>
      <c r="H12" s="32" t="n">
        <v>231</v>
      </c>
      <c r="I12" s="32" t="n">
        <v>283.99</v>
      </c>
      <c r="J12" s="33" t="n">
        <f aca="false">K12/(SQRT(G12)*2.35)</f>
        <v>0.0390111949076223</v>
      </c>
      <c r="K12" s="32" t="n">
        <v>1.72</v>
      </c>
      <c r="L12" s="33" t="n">
        <f aca="false">I12*$B$8+$B$9</f>
        <v>499.0084943</v>
      </c>
      <c r="M12" s="33" t="n">
        <f aca="false">SQRT((I12*$C$8)^2+($B$8*J12)^2+$C$9^2)</f>
        <v>0.180395050507107</v>
      </c>
      <c r="N12" s="32" t="s">
        <v>27</v>
      </c>
      <c r="O12" s="32" t="s">
        <v>27</v>
      </c>
      <c r="P12" s="32" t="s">
        <v>27</v>
      </c>
      <c r="Q12" s="32" t="s">
        <v>27</v>
      </c>
      <c r="R12" s="32" t="s">
        <v>27</v>
      </c>
    </row>
    <row r="13" customFormat="false" ht="13.8" hidden="false" customHeight="false" outlineLevel="0" collapsed="false">
      <c r="A13" s="4"/>
      <c r="B13" s="4"/>
      <c r="C13" s="4"/>
      <c r="E13" s="8" t="n">
        <v>8</v>
      </c>
      <c r="F13" s="4" t="s">
        <v>22</v>
      </c>
      <c r="G13" s="4" t="n">
        <v>1291</v>
      </c>
      <c r="H13" s="4" t="n">
        <v>247</v>
      </c>
      <c r="I13" s="4" t="n">
        <v>343.73</v>
      </c>
      <c r="J13" s="9" t="n">
        <f aca="false">K13/(SQRT(G13)*2.35)</f>
        <v>0.22205997606039</v>
      </c>
      <c r="K13" s="4" t="n">
        <v>18.75</v>
      </c>
      <c r="L13" s="9" t="n">
        <f aca="false">I13*$B$8+$B$9</f>
        <v>603.1693661</v>
      </c>
      <c r="M13" s="9" t="n">
        <f aca="false">SQRT((I13*$C$8)^2+($B$8*J13)^2+$C$9^2)</f>
        <v>0.430882514626316</v>
      </c>
      <c r="N13" s="4" t="n">
        <v>609</v>
      </c>
      <c r="O13" s="4" t="n">
        <f aca="false">N13-L13</f>
        <v>5.83063389999995</v>
      </c>
      <c r="P13" s="4" t="n">
        <f aca="false">O13/N13</f>
        <v>0.0095741114942528</v>
      </c>
      <c r="Q13" s="4" t="n">
        <f aca="false">O13/M13</f>
        <v>13.5318415161418</v>
      </c>
      <c r="R13" s="4" t="s">
        <v>48</v>
      </c>
    </row>
    <row r="14" customFormat="false" ht="13.8" hidden="false" customHeight="false" outlineLevel="0" collapsed="false">
      <c r="A14" s="4"/>
      <c r="B14" s="4"/>
      <c r="C14" s="4"/>
      <c r="D14" s="4"/>
      <c r="E14" s="8" t="n">
        <v>9</v>
      </c>
      <c r="F14" s="4" t="s">
        <v>22</v>
      </c>
      <c r="G14" s="4" t="n">
        <v>377</v>
      </c>
      <c r="H14" s="4" t="n">
        <v>205</v>
      </c>
      <c r="I14" s="4" t="n">
        <v>430.75</v>
      </c>
      <c r="J14" s="9" t="n">
        <f aca="false">K14/(SQRT(G14)*2.35)</f>
        <v>0.0813083919888206</v>
      </c>
      <c r="K14" s="4" t="n">
        <v>3.71</v>
      </c>
      <c r="L14" s="9" t="n">
        <f aca="false">I14*$B$8+$B$9</f>
        <v>754.8948275</v>
      </c>
      <c r="M14" s="9" t="n">
        <f aca="false">SQRT((I14*$C$8)^2+($B$8*J14)^2+$C$9^2)</f>
        <v>0.264457221642881</v>
      </c>
      <c r="N14" s="4" t="n">
        <v>768</v>
      </c>
      <c r="O14" s="4" t="n">
        <f aca="false">N14-L14</f>
        <v>13.1051725</v>
      </c>
      <c r="P14" s="4" t="n">
        <f aca="false">O14/N14</f>
        <v>0.0170640266927083</v>
      </c>
      <c r="Q14" s="4" t="n">
        <f aca="false">O14/M14</f>
        <v>49.5549806452138</v>
      </c>
      <c r="R14" s="4" t="s">
        <v>49</v>
      </c>
    </row>
    <row r="15" customFormat="false" ht="13.8" hidden="false" customHeight="false" outlineLevel="0" collapsed="false">
      <c r="A15" s="4"/>
      <c r="B15" s="4"/>
      <c r="C15" s="4"/>
      <c r="D15" s="4"/>
      <c r="E15" s="8" t="n">
        <v>10</v>
      </c>
      <c r="F15" s="4" t="s">
        <v>50</v>
      </c>
      <c r="G15" s="4" t="n">
        <v>821</v>
      </c>
      <c r="H15" s="4" t="n">
        <v>225</v>
      </c>
      <c r="I15" s="4" t="n">
        <v>521.73</v>
      </c>
      <c r="J15" s="9" t="n">
        <f aca="false">K15/(SQRT(G15)*2.35)</f>
        <v>0.17108543495729</v>
      </c>
      <c r="K15" s="4" t="n">
        <v>11.52</v>
      </c>
      <c r="L15" s="9" t="n">
        <f aca="false">I15*$B$8+$B$9</f>
        <v>913.5248261</v>
      </c>
      <c r="M15" s="9" t="n">
        <f aca="false">SQRT((I15*$C$8)^2+($B$8*J15)^2+$C$9^2)</f>
        <v>0.396149292025507</v>
      </c>
      <c r="N15" s="4" t="n">
        <v>949</v>
      </c>
      <c r="O15" s="4" t="n">
        <f aca="false">N15-L15</f>
        <v>35.4751739</v>
      </c>
      <c r="P15" s="4" t="n">
        <f aca="false">O15/N15</f>
        <v>0.0373816374077976</v>
      </c>
      <c r="Q15" s="4" t="n">
        <f aca="false">O15/M15</f>
        <v>89.5500121144121</v>
      </c>
      <c r="R15" s="4" t="s">
        <v>51</v>
      </c>
    </row>
    <row r="16" customFormat="false" ht="13.8" hidden="false" customHeight="false" outlineLevel="0" collapsed="false">
      <c r="A16" s="4"/>
      <c r="B16" s="4"/>
      <c r="C16" s="4"/>
      <c r="D16" s="4"/>
      <c r="E16" s="8" t="n">
        <v>11</v>
      </c>
      <c r="F16" s="4" t="s">
        <v>22</v>
      </c>
      <c r="G16" s="4" t="n">
        <v>871</v>
      </c>
      <c r="H16" s="4" t="n">
        <v>248</v>
      </c>
      <c r="I16" s="4" t="n">
        <v>636.99</v>
      </c>
      <c r="J16" s="9" t="n">
        <f aca="false">K16/(SQRT(G16)*2.35)</f>
        <v>0.0837720595189694</v>
      </c>
      <c r="K16" s="4" t="n">
        <v>5.81</v>
      </c>
      <c r="L16" s="9" t="n">
        <f aca="false">I16*$B$8+$B$9</f>
        <v>1114.4887043</v>
      </c>
      <c r="M16" s="9" t="n">
        <f aca="false">SQRT((I16*$C$8)^2+($B$8*J16)^2+$C$9^2)</f>
        <v>0.342344602875502</v>
      </c>
      <c r="N16" s="4" t="n">
        <v>1120</v>
      </c>
      <c r="O16" s="4" t="n">
        <f aca="false">N16-L16</f>
        <v>5.51129569999989</v>
      </c>
      <c r="P16" s="4" t="n">
        <f aca="false">O16/N16</f>
        <v>0.00492079973214276</v>
      </c>
      <c r="Q16" s="4" t="n">
        <f aca="false">O16/M16</f>
        <v>16.0986785061254</v>
      </c>
      <c r="R16" s="4" t="s">
        <v>52</v>
      </c>
    </row>
    <row r="17" customFormat="false" ht="13.8" hidden="false" customHeight="false" outlineLevel="0" collapsed="false">
      <c r="A17" s="4"/>
      <c r="B17" s="4"/>
      <c r="C17" s="4"/>
      <c r="D17" s="4"/>
      <c r="E17" s="8" t="n">
        <v>12</v>
      </c>
      <c r="F17" s="4" t="s">
        <v>23</v>
      </c>
      <c r="G17" s="4" t="n">
        <v>84</v>
      </c>
      <c r="H17" s="4" t="n">
        <v>47</v>
      </c>
      <c r="I17" s="4" t="n">
        <v>714.77</v>
      </c>
      <c r="J17" s="9" t="n">
        <f aca="false">K17/(SQRT(G17)*2.35)</f>
        <v>0.162038390834811</v>
      </c>
      <c r="K17" s="4" t="n">
        <v>3.49</v>
      </c>
      <c r="L17" s="9" t="n">
        <f aca="false">I17*$B$8+$B$9</f>
        <v>1250.1035789</v>
      </c>
      <c r="M17" s="9" t="n">
        <f aca="false">SQRT((I17*$C$8)^2+($B$8*J17)^2+$C$9^2)</f>
        <v>0.444591054520157</v>
      </c>
      <c r="N17" s="4" t="n">
        <v>1242.5532</v>
      </c>
      <c r="O17" s="4" t="n">
        <f aca="false">N17-L17</f>
        <v>-7.55037889999994</v>
      </c>
      <c r="P17" s="4" t="n">
        <f aca="false">O17/N17</f>
        <v>-0.00607650352516089</v>
      </c>
      <c r="Q17" s="4" t="n">
        <f aca="false">O17/M17</f>
        <v>-16.9827503797821</v>
      </c>
      <c r="R17" s="4" t="s">
        <v>53</v>
      </c>
    </row>
    <row r="18" customFormat="false" ht="13.8" hidden="false" customHeight="false" outlineLevel="0" collapsed="false">
      <c r="A18" s="4"/>
      <c r="B18" s="4"/>
      <c r="C18" s="4"/>
      <c r="D18" s="4"/>
      <c r="E18" s="8" t="n">
        <v>13</v>
      </c>
      <c r="F18" s="4" t="s">
        <v>22</v>
      </c>
      <c r="G18" s="4" t="n">
        <v>3356</v>
      </c>
      <c r="H18" s="4" t="n">
        <v>151</v>
      </c>
      <c r="I18" s="4" t="n">
        <v>830.19</v>
      </c>
      <c r="J18" s="9" t="n">
        <f aca="false">K18/(SQRT(G18)*2.35)</f>
        <v>0.273766658028138</v>
      </c>
      <c r="K18" s="4" t="n">
        <v>37.27</v>
      </c>
      <c r="L18" s="9" t="n">
        <f aca="false">I18*$B$8+$B$9</f>
        <v>1451.3464283</v>
      </c>
      <c r="M18" s="9" t="n">
        <f aca="false">SQRT((I18*$C$8)^2+($B$8*J18)^2+$C$9^2)</f>
        <v>0.618834422576549</v>
      </c>
      <c r="N18" s="4" t="n">
        <v>1460</v>
      </c>
      <c r="O18" s="4" t="n">
        <f aca="false">N18-L18</f>
        <v>8.65357169999993</v>
      </c>
      <c r="P18" s="4" t="n">
        <f aca="false">O18/N18</f>
        <v>0.00592710390410954</v>
      </c>
      <c r="Q18" s="4" t="n">
        <f aca="false">O18/M18</f>
        <v>13.9836624859528</v>
      </c>
      <c r="R18" s="4" t="s">
        <v>54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A20" s="4"/>
      <c r="B20" s="4"/>
      <c r="C20" s="4"/>
      <c r="D20" s="4"/>
      <c r="E20" s="34" t="s">
        <v>55</v>
      </c>
      <c r="F20" s="34"/>
      <c r="G20" s="34"/>
      <c r="H20" s="34"/>
      <c r="I20" s="34"/>
      <c r="J20" s="4"/>
      <c r="K20" s="4"/>
      <c r="L20" s="4"/>
      <c r="M20" s="4"/>
    </row>
    <row r="21" customFormat="false" ht="13.8" hidden="false" customHeight="false" outlineLevel="0" collapsed="false">
      <c r="A21" s="4"/>
      <c r="B21" s="4"/>
      <c r="C21" s="4"/>
      <c r="E21" s="22" t="s">
        <v>39</v>
      </c>
      <c r="F21" s="35" t="s">
        <v>56</v>
      </c>
      <c r="G21" s="36" t="s">
        <v>57</v>
      </c>
      <c r="H21" s="23" t="s">
        <v>58</v>
      </c>
      <c r="I21" s="22" t="s">
        <v>59</v>
      </c>
      <c r="J21" s="4"/>
      <c r="K21" s="0" t="s">
        <v>60</v>
      </c>
      <c r="L21" s="0" t="s">
        <v>3</v>
      </c>
      <c r="M21" s="0" t="s">
        <v>61</v>
      </c>
      <c r="N21" s="0" t="s">
        <v>62</v>
      </c>
    </row>
    <row r="22" customFormat="false" ht="13.8" hidden="false" customHeight="false" outlineLevel="0" collapsed="false">
      <c r="A22" s="4"/>
      <c r="B22" s="4"/>
      <c r="C22" s="4"/>
      <c r="E22" s="4" t="s">
        <v>63</v>
      </c>
      <c r="F22" s="37" t="n">
        <v>242</v>
      </c>
      <c r="G22" s="38" t="s">
        <v>64</v>
      </c>
      <c r="H22" s="39" t="n">
        <f aca="false">F22/(1+2*F22/511)</f>
        <v>124.283417085427</v>
      </c>
      <c r="I22" s="4" t="n">
        <f aca="false">F22-H22</f>
        <v>117.716582914573</v>
      </c>
      <c r="J22" s="4"/>
      <c r="K22" s="4" t="s">
        <v>42</v>
      </c>
      <c r="L22" s="4" t="n">
        <v>994</v>
      </c>
      <c r="M22" s="0" t="n">
        <f aca="false">L22/$L$25*$N$25</f>
        <v>31.4846441947566</v>
      </c>
      <c r="N22" s="40" t="n">
        <v>2.5</v>
      </c>
    </row>
    <row r="23" customFormat="false" ht="13.8" hidden="false" customHeight="false" outlineLevel="0" collapsed="false">
      <c r="A23" s="4"/>
      <c r="B23" s="4"/>
      <c r="C23" s="4"/>
      <c r="E23" s="4" t="s">
        <v>65</v>
      </c>
      <c r="F23" s="37" t="n">
        <v>295</v>
      </c>
      <c r="G23" s="38" t="s">
        <v>66</v>
      </c>
      <c r="H23" s="39" t="n">
        <f aca="false">F23/(1+2*F23/511)</f>
        <v>136.916439600363</v>
      </c>
      <c r="I23" s="4" t="n">
        <f aca="false">F23-H23</f>
        <v>158.083560399637</v>
      </c>
      <c r="J23" s="4"/>
      <c r="K23" s="4" t="s">
        <v>43</v>
      </c>
      <c r="L23" s="4" t="n">
        <v>389</v>
      </c>
      <c r="M23" s="0" t="n">
        <f aca="false">L23/$L$25*$N$25</f>
        <v>12.3214553237025</v>
      </c>
      <c r="N23" s="40" t="n">
        <v>19.5</v>
      </c>
    </row>
    <row r="24" customFormat="false" ht="13.8" hidden="false" customHeight="false" outlineLevel="0" collapsed="false">
      <c r="E24" s="4" t="s">
        <v>67</v>
      </c>
      <c r="F24" s="37" t="n">
        <v>352</v>
      </c>
      <c r="G24" s="38" t="s">
        <v>68</v>
      </c>
      <c r="H24" s="39" t="n">
        <f aca="false">F24/(1+2*F24/511)</f>
        <v>148.042798353909</v>
      </c>
      <c r="I24" s="4" t="n">
        <f aca="false">F24-H24</f>
        <v>203.957201646091</v>
      </c>
      <c r="K24" s="26" t="s">
        <v>44</v>
      </c>
      <c r="L24" s="4" t="n">
        <v>486</v>
      </c>
      <c r="M24" s="0" t="n">
        <f aca="false">L24/$L$25*$N$25</f>
        <v>15.3939004815409</v>
      </c>
      <c r="N24" s="40" t="n">
        <v>37.2</v>
      </c>
    </row>
    <row r="25" customFormat="false" ht="13.8" hidden="false" customHeight="false" outlineLevel="0" collapsed="false">
      <c r="E25" s="4" t="s">
        <v>48</v>
      </c>
      <c r="F25" s="37" t="n">
        <v>609</v>
      </c>
      <c r="G25" s="38" t="n">
        <v>46.3</v>
      </c>
      <c r="H25" s="39" t="n">
        <f aca="false">F25/(1+2*F25/511)</f>
        <v>179.987854251012</v>
      </c>
      <c r="I25" s="4" t="n">
        <f aca="false">F25-H25</f>
        <v>429.012145748988</v>
      </c>
      <c r="K25" s="0" t="s">
        <v>69</v>
      </c>
      <c r="L25" s="0" t="n">
        <f aca="false">SUM(L22:L24)</f>
        <v>1869</v>
      </c>
      <c r="M25" s="0" t="n">
        <f aca="false">SUM(M22:M24)</f>
        <v>59.2</v>
      </c>
      <c r="N25" s="0" t="n">
        <f aca="false">SUM(N22:N24)</f>
        <v>59.2</v>
      </c>
    </row>
    <row r="26" customFormat="false" ht="13.8" hidden="false" customHeight="false" outlineLevel="0" collapsed="false">
      <c r="E26" s="4" t="s">
        <v>49</v>
      </c>
      <c r="F26" s="37" t="n">
        <v>768</v>
      </c>
      <c r="G26" s="38" t="n">
        <v>5.04</v>
      </c>
      <c r="H26" s="39" t="n">
        <f aca="false">F26/(1+2*F26/511)</f>
        <v>191.71861260381</v>
      </c>
      <c r="I26" s="4" t="n">
        <f aca="false">F26-H26</f>
        <v>576.28138739619</v>
      </c>
    </row>
    <row r="27" customFormat="false" ht="13.8" hidden="false" customHeight="false" outlineLevel="0" collapsed="false">
      <c r="E27" s="4" t="s">
        <v>52</v>
      </c>
      <c r="F27" s="37" t="n">
        <v>1120</v>
      </c>
      <c r="G27" s="38" t="n">
        <v>15.04</v>
      </c>
      <c r="H27" s="39" t="n">
        <f aca="false">F27/(1+2*F27/511)</f>
        <v>208.040712468193</v>
      </c>
      <c r="I27" s="4" t="n">
        <f aca="false">F27-H27</f>
        <v>911.959287531807</v>
      </c>
      <c r="K27" s="41" t="s">
        <v>60</v>
      </c>
      <c r="L27" s="41" t="s">
        <v>3</v>
      </c>
      <c r="M27" s="41" t="s">
        <v>61</v>
      </c>
      <c r="N27" s="41" t="s">
        <v>62</v>
      </c>
    </row>
    <row r="28" customFormat="false" ht="13.8" hidden="false" customHeight="false" outlineLevel="0" collapsed="false">
      <c r="E28" s="4" t="s">
        <v>54</v>
      </c>
      <c r="F28" s="42" t="n">
        <v>1460</v>
      </c>
      <c r="G28" s="38"/>
      <c r="H28" s="39" t="n">
        <f aca="false">F28/(1+2*F28/511)</f>
        <v>217.446808510638</v>
      </c>
      <c r="I28" s="42" t="n">
        <f aca="false">F28-H28</f>
        <v>1242.55319148936</v>
      </c>
      <c r="K28" s="4" t="s">
        <v>70</v>
      </c>
      <c r="L28" s="4" t="n">
        <v>1291</v>
      </c>
      <c r="M28" s="4" t="n">
        <f aca="false">L28/$L$31*$N$31</f>
        <v>33.7520992516739</v>
      </c>
      <c r="N28" s="40" t="n">
        <v>46.3</v>
      </c>
    </row>
    <row r="29" customFormat="false" ht="13.8" hidden="false" customHeight="false" outlineLevel="0" collapsed="false">
      <c r="E29" s="4" t="s">
        <v>51</v>
      </c>
      <c r="F29" s="42" t="n">
        <f aca="false">F28-511</f>
        <v>949</v>
      </c>
      <c r="G29" s="38"/>
      <c r="H29" s="39" t="s">
        <v>27</v>
      </c>
      <c r="I29" s="4" t="s">
        <v>27</v>
      </c>
      <c r="K29" s="4" t="s">
        <v>71</v>
      </c>
      <c r="L29" s="4" t="n">
        <v>377</v>
      </c>
      <c r="M29" s="4" t="n">
        <f aca="false">L29/$L$31*$N$31</f>
        <v>9.85634501772351</v>
      </c>
      <c r="N29" s="40" t="n">
        <v>5.04</v>
      </c>
    </row>
    <row r="30" customFormat="false" ht="13.8" hidden="false" customHeight="false" outlineLevel="0" collapsed="false">
      <c r="E30" s="4" t="s">
        <v>72</v>
      </c>
      <c r="F30" s="42" t="n">
        <f aca="false">F28-1022</f>
        <v>438</v>
      </c>
      <c r="G30" s="38"/>
      <c r="H30" s="39" t="s">
        <v>27</v>
      </c>
      <c r="I30" s="4" t="s">
        <v>27</v>
      </c>
      <c r="K30" s="26" t="s">
        <v>73</v>
      </c>
      <c r="L30" s="4" t="n">
        <v>871</v>
      </c>
      <c r="M30" s="4" t="n">
        <f aca="false">L30/$L$31*$N$31</f>
        <v>22.7715557306026</v>
      </c>
      <c r="N30" s="40" t="n">
        <v>15.04</v>
      </c>
    </row>
    <row r="31" customFormat="false" ht="13.8" hidden="false" customHeight="false" outlineLevel="0" collapsed="false">
      <c r="K31" s="0" t="s">
        <v>69</v>
      </c>
      <c r="L31" s="4" t="n">
        <f aca="false">SUM(L28:L30)</f>
        <v>2539</v>
      </c>
      <c r="M31" s="4" t="n">
        <f aca="false">SUM(M28:M30)</f>
        <v>66.38</v>
      </c>
      <c r="N31" s="4" t="n">
        <f aca="false">SUM(N28:N30)</f>
        <v>66.38</v>
      </c>
    </row>
  </sheetData>
  <mergeCells count="2">
    <mergeCell ref="E3:R3"/>
    <mergeCell ref="E20:I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9.04591836734694"/>
    <col collapsed="false" hidden="false" max="2" min="2" style="0" width="13.3622448979592"/>
    <col collapsed="false" hidden="false" max="3" min="3" style="0" width="16.0663265306122"/>
    <col collapsed="false" hidden="false" max="4" min="4" style="0" width="12.8265306122449"/>
    <col collapsed="false" hidden="false" max="5" min="5" style="0" width="13.3622448979592"/>
    <col collapsed="false" hidden="false" max="6" min="6" style="0" width="11.3418367346939"/>
    <col collapsed="false" hidden="false" max="7" min="7" style="0" width="12.5561224489796"/>
    <col collapsed="false" hidden="false" max="8" min="8" style="0" width="15.6581632653061"/>
    <col collapsed="false" hidden="false" max="9" min="9" style="0" width="20.25"/>
    <col collapsed="false" hidden="false" max="10" min="10" style="0" width="10.8010204081633"/>
    <col collapsed="false" hidden="false" max="1025" min="11" style="0" width="9.04591836734694"/>
  </cols>
  <sheetData>
    <row r="3" customFormat="false" ht="13.8" hidden="false" customHeight="false" outlineLevel="0" collapsed="false">
      <c r="B3" s="43" t="s">
        <v>74</v>
      </c>
      <c r="C3" s="43" t="s">
        <v>14</v>
      </c>
      <c r="D3" s="43" t="s">
        <v>75</v>
      </c>
      <c r="E3" s="43" t="s">
        <v>76</v>
      </c>
      <c r="F3" s="43" t="s">
        <v>77</v>
      </c>
      <c r="G3" s="43" t="s">
        <v>76</v>
      </c>
      <c r="H3" s="43" t="s">
        <v>78</v>
      </c>
      <c r="I3" s="43" t="s">
        <v>76</v>
      </c>
      <c r="J3" s="4"/>
    </row>
    <row r="4" customFormat="false" ht="13.8" hidden="false" customHeight="false" outlineLevel="0" collapsed="false">
      <c r="B4" s="44" t="s">
        <v>79</v>
      </c>
      <c r="C4" s="4" t="s">
        <v>80</v>
      </c>
      <c r="D4" s="10" t="n">
        <f aca="false">'Resolução Energia'!H20*'Fonte Desconhecida'!$B$9+'Fonte Desconhecida'!$B$10</f>
        <v>31.8363485</v>
      </c>
      <c r="E4" s="9" t="n">
        <f aca="false">H20*'Fonte Desconhecida'!$C$9+'Fonte Desconhecida'!$B$9*I20+'Fonte Desconhecida'!$C$10</f>
        <v>0.215464763909643</v>
      </c>
      <c r="F4" s="4" t="n">
        <f aca="false">'Resolução Energia'!J20*'Fonte Desconhecida'!$B$9</f>
        <v>4.8994317</v>
      </c>
      <c r="G4" s="24" t="n">
        <f aca="false">J20*'Fonte Desconhecida'!$C$9</f>
        <v>0.00128465894</v>
      </c>
      <c r="H4" s="4" t="n">
        <f aca="false">F4/D4</f>
        <v>0.153894272768122</v>
      </c>
      <c r="I4" s="4" t="n">
        <f aca="false">SQRT((G4/D4)^2+(F4*E4/D4)^2)</f>
        <v>0.0331588177017894</v>
      </c>
      <c r="J4" s="4"/>
    </row>
    <row r="5" customFormat="false" ht="13.8" hidden="false" customHeight="false" outlineLevel="0" collapsed="false">
      <c r="B5" s="44"/>
      <c r="C5" s="4" t="s">
        <v>81</v>
      </c>
      <c r="D5" s="10" t="n">
        <f aca="false">'Resolução Energia'!H21*'Fonte Desconhecida'!$B$9+'Fonte Desconhecida'!$B$10</f>
        <v>666.2517287</v>
      </c>
      <c r="E5" s="9" t="n">
        <f aca="false">H21*'Fonte Desconhecida'!$C$9+'Fonte Desconhecida'!$B$9*I21+'Fonte Desconhecida'!$C$10</f>
        <v>0.653951848921445</v>
      </c>
      <c r="F5" s="4" t="n">
        <f aca="false">'Resolução Energia'!J21*'Fonte Desconhecida'!$B$9</f>
        <v>42.5954151</v>
      </c>
      <c r="G5" s="24" t="n">
        <f aca="false">J21*'Fonte Desconhecida'!$C$9</f>
        <v>0.01116876082</v>
      </c>
      <c r="H5" s="4" t="n">
        <f aca="false">F5/D5</f>
        <v>0.0639329149405928</v>
      </c>
      <c r="I5" s="4" t="n">
        <f aca="false">SQRT((G5/D5)^2+(F5*E5/D5)^2)</f>
        <v>0.0418090512930633</v>
      </c>
      <c r="J5" s="4"/>
    </row>
    <row r="6" customFormat="false" ht="13.8" hidden="false" customHeight="false" outlineLevel="0" collapsed="false">
      <c r="B6" s="44" t="s">
        <v>82</v>
      </c>
      <c r="C6" s="4" t="s">
        <v>83</v>
      </c>
      <c r="D6" s="10" t="n">
        <f aca="false">'Resolução Energia'!H22*'Fonte Desconhecida'!$B$9+'Fonte Desconhecida'!$B$10</f>
        <v>1172.7936851</v>
      </c>
      <c r="E6" s="9" t="n">
        <f aca="false">H22*'Fonte Desconhecida'!$C$9+'Fonte Desconhecida'!$B$9*I22+'Fonte Desconhecida'!$C$10</f>
        <v>0.839928775443967</v>
      </c>
      <c r="F6" s="4" t="n">
        <f aca="false">'Resolução Energia'!J22*'Fonte Desconhecida'!$B$9</f>
        <v>43.2056646</v>
      </c>
      <c r="G6" s="24" t="n">
        <f aca="false">J22*'Fonte Desconhecida'!$C$9</f>
        <v>0.01132877172</v>
      </c>
      <c r="H6" s="4" t="n">
        <f aca="false">F6/D6</f>
        <v>0.0368399533088516</v>
      </c>
      <c r="I6" s="4" t="n">
        <f aca="false">SQRT((G6/D6)^2+(F6*E6/D6)^2)</f>
        <v>0.030942938377872</v>
      </c>
      <c r="J6" s="4"/>
    </row>
    <row r="7" customFormat="false" ht="13.8" hidden="false" customHeight="false" outlineLevel="0" collapsed="false">
      <c r="B7" s="44"/>
      <c r="C7" s="4" t="s">
        <v>84</v>
      </c>
      <c r="D7" s="10" t="n">
        <f aca="false">'Resolução Energia'!H23*'Fonte Desconhecida'!$B$9+'Fonte Desconhecida'!$B$10</f>
        <v>1329.6801137</v>
      </c>
      <c r="E7" s="9" t="n">
        <f aca="false">H23*'Fonte Desconhecida'!$C$9+'Fonte Desconhecida'!$B$9*I23+'Fonte Desconhecida'!$C$10</f>
        <v>0.946393773599124</v>
      </c>
      <c r="F7" s="4" t="n">
        <f aca="false">'Resolução Energia'!J23*'Fonte Desconhecida'!$B$9</f>
        <v>44.984106</v>
      </c>
      <c r="G7" s="24" t="n">
        <f aca="false">J23*'Fonte Desconhecida'!$C$9</f>
        <v>0.0117950892</v>
      </c>
      <c r="H7" s="4" t="n">
        <f aca="false">F7/D7</f>
        <v>0.033830772932917</v>
      </c>
      <c r="I7" s="4" t="n">
        <f aca="false">SQRT((G7/D7)^2+(F7*E7/D7)^2)</f>
        <v>0.0320172340885956</v>
      </c>
      <c r="J7" s="4"/>
    </row>
    <row r="8" customFormat="false" ht="13.8" hidden="false" customHeight="false" outlineLevel="0" collapsed="false">
      <c r="B8" s="44" t="s">
        <v>85</v>
      </c>
      <c r="C8" s="4" t="s">
        <v>86</v>
      </c>
      <c r="D8" s="10" t="n">
        <v>27.7563947</v>
      </c>
      <c r="E8" s="9" t="n">
        <v>0.120678406262929</v>
      </c>
      <c r="F8" s="4" t="n">
        <f aca="false">'Resolução Energia'!H26*'Fonte Desconhecida'!$B$9</f>
        <v>5.6491668</v>
      </c>
      <c r="G8" s="24" t="n">
        <f aca="false">H26*'Fonte Desconhecida'!$C$9</f>
        <v>0.00148124376</v>
      </c>
      <c r="H8" s="4" t="n">
        <f aca="false">F8/D8</f>
        <v>0.203526677764097</v>
      </c>
      <c r="I8" s="4" t="n">
        <f aca="false">SQRT((G8/D8)^2+(F8*E8/D8)^2)</f>
        <v>0.0245613330801985</v>
      </c>
      <c r="J8" s="4"/>
    </row>
    <row r="9" customFormat="false" ht="13.8" hidden="false" customHeight="false" outlineLevel="0" collapsed="false">
      <c r="B9" s="44"/>
      <c r="C9" s="4" t="s">
        <v>87</v>
      </c>
      <c r="D9" s="10" t="n">
        <v>118.2999848</v>
      </c>
      <c r="E9" s="9" t="n">
        <v>0.252133086844109</v>
      </c>
      <c r="F9" s="4" t="n">
        <f aca="false">'Resolução Energia'!H27*'Fonte Desconhecida'!$B$9</f>
        <v>8.3865717</v>
      </c>
      <c r="G9" s="24" t="n">
        <f aca="false">H27*'Fonte Desconhecida'!$C$9</f>
        <v>0.00219900694</v>
      </c>
      <c r="H9" s="4" t="n">
        <f aca="false">F9/D9</f>
        <v>0.0708924157021532</v>
      </c>
      <c r="I9" s="4" t="n">
        <f aca="false">SQRT((G9/D9)^2+(F9*E9/D9)^2)</f>
        <v>0.0178743332703145</v>
      </c>
      <c r="J9" s="4"/>
    </row>
    <row r="10" customFormat="false" ht="13.8" hidden="false" customHeight="false" outlineLevel="0" collapsed="false">
      <c r="B10" s="44" t="s">
        <v>88</v>
      </c>
      <c r="C10" s="4" t="s">
        <v>89</v>
      </c>
      <c r="D10" s="10" t="n">
        <v>603.1693661</v>
      </c>
      <c r="E10" s="9" t="n">
        <v>0.649484531479614</v>
      </c>
      <c r="F10" s="4" t="n">
        <f aca="false">'Resolução Energia'!H30*'Fonte Desconhecida'!$B$9</f>
        <v>32.6919375</v>
      </c>
      <c r="G10" s="24" t="n">
        <f aca="false">H30*'Fonte Desconhecida'!$C$9</f>
        <v>0.0085720125</v>
      </c>
      <c r="H10" s="4" t="n">
        <f aca="false">F10/D10</f>
        <v>0.0542002617131918</v>
      </c>
      <c r="I10" s="4" t="n">
        <f aca="false">SQRT((G10/D10)^2+(F10*E10/D10)^2)</f>
        <v>0.035202234453576</v>
      </c>
      <c r="J10" s="4"/>
    </row>
    <row r="11" customFormat="false" ht="13.8" hidden="false" customHeight="false" outlineLevel="0" collapsed="false">
      <c r="B11" s="44"/>
      <c r="C11" s="4" t="s">
        <v>90</v>
      </c>
      <c r="D11" s="10" t="n">
        <v>1451.3464283</v>
      </c>
      <c r="E11" s="45" t="n">
        <v>0.962035614998121</v>
      </c>
      <c r="F11" s="4" t="n">
        <f aca="false">'Resolução Energia'!H31*'Fonte Desconhecida'!$B$9</f>
        <v>64.9828539</v>
      </c>
      <c r="G11" s="24" t="n">
        <f aca="false">H31*'Fonte Desconhecida'!$C$9</f>
        <v>0.01703887498</v>
      </c>
      <c r="H11" s="4" t="n">
        <f aca="false">F11/D11</f>
        <v>0.0447741852895288</v>
      </c>
      <c r="I11" s="4" t="n">
        <f aca="false">SQRT((G11/D11)^2+(F11*E11/D11)^2)</f>
        <v>0.0430743624809442</v>
      </c>
      <c r="J11" s="4"/>
    </row>
    <row r="12" customFormat="false" ht="13.8" hidden="false" customHeight="false" outlineLevel="0" collapsed="false"/>
    <row r="19" customFormat="false" ht="13.8" hidden="false" customHeight="false" outlineLevel="0" collapsed="false">
      <c r="B19" s="6" t="s">
        <v>0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7</v>
      </c>
      <c r="J19" s="7" t="s">
        <v>8</v>
      </c>
    </row>
    <row r="20" customFormat="false" ht="13.8" hidden="false" customHeight="false" outlineLevel="0" collapsed="false">
      <c r="B20" s="46" t="s">
        <v>9</v>
      </c>
      <c r="C20" s="4" t="n">
        <v>1628</v>
      </c>
      <c r="D20" s="4" t="n">
        <v>40</v>
      </c>
      <c r="E20" s="4" t="n">
        <v>410</v>
      </c>
      <c r="F20" s="4" t="n">
        <v>64</v>
      </c>
      <c r="G20" s="4" t="n">
        <v>32</v>
      </c>
      <c r="H20" s="4" t="n">
        <v>16.05</v>
      </c>
      <c r="I20" s="4" t="n">
        <f aca="false">'Resolução Energia'!J20/(2.35*SQRT('Resolução Energia'!E20))</f>
        <v>0.0590536205656457</v>
      </c>
      <c r="J20" s="4" t="n">
        <v>2.81</v>
      </c>
    </row>
    <row r="21" customFormat="false" ht="13.8" hidden="false" customHeight="false" outlineLevel="0" collapsed="false">
      <c r="B21" s="46" t="s">
        <v>10</v>
      </c>
      <c r="C21" s="4" t="n">
        <v>4183</v>
      </c>
      <c r="D21" s="4" t="n">
        <v>65</v>
      </c>
      <c r="E21" s="4" t="n">
        <v>2335</v>
      </c>
      <c r="F21" s="4" t="n">
        <v>173</v>
      </c>
      <c r="G21" s="4" t="n">
        <v>662</v>
      </c>
      <c r="H21" s="4" t="n">
        <v>379.91</v>
      </c>
      <c r="I21" s="4" t="n">
        <f aca="false">'Resolução Energia'!J21/(2.35*SQRT('Resolução Energia'!E21))</f>
        <v>0.21513554063298</v>
      </c>
      <c r="J21" s="4" t="n">
        <v>24.43</v>
      </c>
    </row>
    <row r="22" customFormat="false" ht="13.8" hidden="false" customHeight="false" outlineLevel="0" collapsed="false">
      <c r="B22" s="46" t="s">
        <v>11</v>
      </c>
      <c r="C22" s="4" t="n">
        <v>2396</v>
      </c>
      <c r="D22" s="4" t="n">
        <v>49</v>
      </c>
      <c r="E22" s="4" t="n">
        <v>1843</v>
      </c>
      <c r="F22" s="4" t="n">
        <v>99</v>
      </c>
      <c r="G22" s="4" t="n">
        <v>1173</v>
      </c>
      <c r="H22" s="4" t="n">
        <v>670.43</v>
      </c>
      <c r="I22" s="4" t="n">
        <f aca="false">'Resolução Energia'!J22/(2.35*SQRT('Resolução Energia'!E22))</f>
        <v>0.245623984482394</v>
      </c>
      <c r="J22" s="4" t="n">
        <v>24.78</v>
      </c>
    </row>
    <row r="23" customFormat="false" ht="13.8" hidden="false" customHeight="false" outlineLevel="0" collapsed="false">
      <c r="B23" s="46" t="s">
        <v>12</v>
      </c>
      <c r="C23" s="4" t="n">
        <v>1736</v>
      </c>
      <c r="D23" s="4" t="n">
        <v>42</v>
      </c>
      <c r="E23" s="4" t="n">
        <v>1504</v>
      </c>
      <c r="F23" s="4" t="n">
        <v>71</v>
      </c>
      <c r="G23" s="4" t="n">
        <v>1333</v>
      </c>
      <c r="H23" s="4" t="n">
        <v>760.41</v>
      </c>
      <c r="I23" s="4" t="n">
        <f aca="false">'Resolução Energia'!J23/(2.35*SQRT('Resolução Energia'!E23))</f>
        <v>0.28309221439869</v>
      </c>
      <c r="J23" s="4" t="n">
        <v>25.8</v>
      </c>
    </row>
    <row r="25" customFormat="false" ht="13.8" hidden="false" customHeight="false" outlineLevel="0" collapsed="false">
      <c r="B25" s="6" t="s">
        <v>14</v>
      </c>
      <c r="C25" s="7" t="s">
        <v>15</v>
      </c>
      <c r="D25" s="7" t="s">
        <v>16</v>
      </c>
      <c r="E25" s="7" t="s">
        <v>17</v>
      </c>
      <c r="F25" s="7" t="s">
        <v>18</v>
      </c>
      <c r="G25" s="7" t="s">
        <v>19</v>
      </c>
      <c r="H25" s="7" t="s">
        <v>8</v>
      </c>
      <c r="I25" s="7" t="s">
        <v>20</v>
      </c>
      <c r="J25" s="7" t="s">
        <v>21</v>
      </c>
    </row>
    <row r="26" customFormat="false" ht="13.8" hidden="false" customHeight="false" outlineLevel="0" collapsed="false">
      <c r="B26" s="8" t="n">
        <v>1</v>
      </c>
      <c r="C26" s="4" t="s">
        <v>22</v>
      </c>
      <c r="D26" s="4" t="n">
        <v>67574</v>
      </c>
      <c r="E26" s="4" t="n">
        <v>283</v>
      </c>
      <c r="F26" s="9" t="n">
        <v>13.71</v>
      </c>
      <c r="G26" s="10" t="n">
        <v>0.00530380238414801</v>
      </c>
      <c r="H26" s="4" t="n">
        <v>3.24</v>
      </c>
      <c r="I26" s="9" t="n">
        <v>27.7563947</v>
      </c>
      <c r="J26" s="9" t="n">
        <v>0.120678406262929</v>
      </c>
    </row>
    <row r="27" customFormat="false" ht="13.8" hidden="false" customHeight="false" outlineLevel="0" collapsed="false">
      <c r="B27" s="8" t="n">
        <v>3</v>
      </c>
      <c r="C27" s="4" t="s">
        <v>24</v>
      </c>
      <c r="D27" s="4" t="n">
        <v>931</v>
      </c>
      <c r="E27" s="4" t="n">
        <v>217</v>
      </c>
      <c r="F27" s="9" t="n">
        <v>65.64</v>
      </c>
      <c r="G27" s="10" t="n">
        <v>0.0670814395086567</v>
      </c>
      <c r="H27" s="4" t="n">
        <v>4.81</v>
      </c>
      <c r="I27" s="9" t="n">
        <v>118.2999848</v>
      </c>
      <c r="J27" s="9" t="n">
        <v>0.252133086844109</v>
      </c>
    </row>
    <row r="29" customFormat="false" ht="13.8" hidden="false" customHeight="false" outlineLevel="0" collapsed="false">
      <c r="B29" s="6" t="s">
        <v>14</v>
      </c>
      <c r="C29" s="7" t="s">
        <v>15</v>
      </c>
      <c r="D29" s="7" t="s">
        <v>16</v>
      </c>
      <c r="E29" s="7" t="s">
        <v>17</v>
      </c>
      <c r="F29" s="7" t="s">
        <v>18</v>
      </c>
      <c r="G29" s="7" t="s">
        <v>19</v>
      </c>
      <c r="H29" s="7" t="s">
        <v>8</v>
      </c>
      <c r="I29" s="7" t="s">
        <v>20</v>
      </c>
      <c r="J29" s="7" t="s">
        <v>21</v>
      </c>
    </row>
    <row r="30" customFormat="false" ht="13.8" hidden="false" customHeight="false" outlineLevel="0" collapsed="false">
      <c r="B30" s="8" t="n">
        <v>8</v>
      </c>
      <c r="C30" s="4" t="s">
        <v>22</v>
      </c>
      <c r="D30" s="4" t="n">
        <v>1291</v>
      </c>
      <c r="E30" s="4" t="n">
        <v>247</v>
      </c>
      <c r="F30" s="4" t="n">
        <v>343.73</v>
      </c>
      <c r="G30" s="9" t="n">
        <v>0.22205997606039</v>
      </c>
      <c r="H30" s="4" t="n">
        <v>18.75</v>
      </c>
      <c r="I30" s="9" t="n">
        <v>603.1693661</v>
      </c>
      <c r="J30" s="9" t="n">
        <v>0.649484531479614</v>
      </c>
    </row>
    <row r="31" customFormat="false" ht="13.8" hidden="false" customHeight="false" outlineLevel="0" collapsed="false">
      <c r="B31" s="8" t="n">
        <v>13</v>
      </c>
      <c r="C31" s="4" t="s">
        <v>22</v>
      </c>
      <c r="D31" s="4" t="n">
        <v>3356</v>
      </c>
      <c r="E31" s="4" t="n">
        <v>151</v>
      </c>
      <c r="F31" s="4" t="n">
        <v>830.19</v>
      </c>
      <c r="G31" s="9" t="n">
        <f aca="false">'Resolução Energia'!H31/(SQRT('Resolução Energia'!D31)*2.35)</f>
        <v>0.273766658028138</v>
      </c>
      <c r="H31" s="4" t="n">
        <v>37.27</v>
      </c>
      <c r="I31" s="4" t="n">
        <v>1451.3464283</v>
      </c>
      <c r="J31" s="4" t="n">
        <v>0.962035614998121</v>
      </c>
    </row>
  </sheetData>
  <mergeCells count="4">
    <mergeCell ref="B4:B5"/>
    <mergeCell ref="B6:B7"/>
    <mergeCell ref="B8:B9"/>
    <mergeCell ref="B10:B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"/>
  <cols>
    <col collapsed="false" hidden="false" max="2" min="1" style="0" width="11.3418367346939"/>
    <col collapsed="false" hidden="false" max="3" min="3" style="0" width="18.8979591836735"/>
    <col collapsed="false" hidden="false" max="4" min="4" style="0" width="9.98979591836735"/>
    <col collapsed="false" hidden="false" max="5" min="5" style="0" width="13.5"/>
    <col collapsed="false" hidden="false" max="6" min="6" style="0" width="11.3418367346939"/>
    <col collapsed="false" hidden="false" max="7" min="7" style="0" width="12.8265306122449"/>
    <col collapsed="false" hidden="false" max="9" min="8" style="0" width="11.3418367346939"/>
    <col collapsed="false" hidden="false" max="10" min="10" style="0" width="12.2857142857143"/>
    <col collapsed="false" hidden="false" max="1025" min="11" style="0" width="11.3418367346939"/>
  </cols>
  <sheetData>
    <row r="1" customFormat="false" ht="14" hidden="false" customHeight="false" outlineLevel="0" collapsed="false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customFormat="false" ht="14" hidden="false" customHeight="false" outlineLevel="0" collapsed="false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customFormat="false" ht="14" hidden="false" customHeight="false" outlineLevel="0" collapsed="false">
      <c r="A3" s="47"/>
      <c r="B3" s="48" t="s">
        <v>34</v>
      </c>
      <c r="C3" s="48"/>
      <c r="D3" s="48"/>
      <c r="E3" s="48"/>
      <c r="F3" s="48"/>
      <c r="G3" s="48"/>
      <c r="H3" s="48"/>
      <c r="I3" s="48"/>
      <c r="J3" s="48"/>
      <c r="K3" s="47"/>
      <c r="L3" s="47"/>
      <c r="M3" s="47"/>
      <c r="N3" s="47"/>
      <c r="O3" s="47"/>
      <c r="P3" s="47"/>
    </row>
    <row r="4" customFormat="false" ht="15" hidden="false" customHeight="false" outlineLevel="0" collapsed="false">
      <c r="A4" s="47"/>
      <c r="B4" s="49" t="s">
        <v>91</v>
      </c>
      <c r="C4" s="50" t="s">
        <v>92</v>
      </c>
      <c r="D4" s="50" t="s">
        <v>16</v>
      </c>
      <c r="E4" s="50" t="s">
        <v>17</v>
      </c>
      <c r="F4" s="50" t="s">
        <v>18</v>
      </c>
      <c r="G4" s="50" t="s">
        <v>19</v>
      </c>
      <c r="H4" s="50" t="s">
        <v>8</v>
      </c>
      <c r="I4" s="50" t="s">
        <v>93</v>
      </c>
      <c r="J4" s="50" t="s">
        <v>94</v>
      </c>
      <c r="K4" s="47"/>
      <c r="L4" s="47"/>
      <c r="M4" s="47"/>
      <c r="N4" s="47"/>
      <c r="O4" s="47"/>
      <c r="P4" s="47"/>
    </row>
    <row r="5" customFormat="false" ht="14" hidden="false" customHeight="false" outlineLevel="0" collapsed="false">
      <c r="A5" s="47"/>
      <c r="B5" s="51" t="n">
        <v>0</v>
      </c>
      <c r="C5" s="47" t="n">
        <v>0</v>
      </c>
      <c r="D5" s="47" t="n">
        <v>41373</v>
      </c>
      <c r="E5" s="47" t="n">
        <v>266</v>
      </c>
      <c r="F5" s="47" t="n">
        <v>758.74</v>
      </c>
      <c r="G5" s="45" t="n">
        <f aca="false">'Atenuação Na Matéria'!H5/(SQRT('Atenuação Na Matéria'!D5)*2.35)</f>
        <v>0.100795333653087</v>
      </c>
      <c r="H5" s="47" t="n">
        <v>48.18</v>
      </c>
      <c r="I5" s="52" t="n">
        <f aca="false">LOG('Atenuação Na Matéria'!$D$5/'Atenuação Na Matéria'!D5)</f>
        <v>0</v>
      </c>
      <c r="J5" s="53" t="n">
        <f aca="false">SQRT(('Atenuação Na Matéria'!$E$5/'Atenuação Na Matéria'!$D$5)^2+('Atenuação Na Matéria'!E5/'Atenuação Na Matéria'!D5)^2)</f>
        <v>0.00909242277792868</v>
      </c>
      <c r="K5" s="47"/>
      <c r="L5" s="47"/>
      <c r="M5" s="47"/>
      <c r="N5" s="47"/>
      <c r="O5" s="47"/>
      <c r="P5" s="47"/>
    </row>
    <row r="6" customFormat="false" ht="14" hidden="false" customHeight="false" outlineLevel="0" collapsed="false">
      <c r="A6" s="47"/>
      <c r="B6" s="51" t="n">
        <v>1</v>
      </c>
      <c r="C6" s="47" t="n">
        <v>900</v>
      </c>
      <c r="D6" s="47" t="n">
        <v>39263</v>
      </c>
      <c r="E6" s="47" t="n">
        <v>289</v>
      </c>
      <c r="F6" s="47" t="n">
        <v>757.4</v>
      </c>
      <c r="G6" s="45" t="n">
        <f aca="false">'Atenuação Na Matéria'!H6/(SQRT('Atenuação Na Matéria'!D6)*2.35)</f>
        <v>0.0999248374025134</v>
      </c>
      <c r="H6" s="47" t="n">
        <v>46.53</v>
      </c>
      <c r="I6" s="52" t="n">
        <f aca="false">LOG('Atenuação Na Matéria'!$D$5/'Atenuação Na Matéria'!D6)</f>
        <v>0.022733533165861</v>
      </c>
      <c r="J6" s="53" t="n">
        <f aca="false">SQRT(('Atenuação Na Matéria'!$E$5/'Atenuação Na Matéria'!$D$5)^2+('Atenuação Na Matéria'!E6/'Atenuação Na Matéria'!D6)^2)</f>
        <v>0.00977316704679702</v>
      </c>
      <c r="K6" s="47"/>
      <c r="L6" s="47"/>
      <c r="M6" s="47"/>
      <c r="N6" s="47"/>
      <c r="O6" s="47"/>
      <c r="P6" s="47"/>
    </row>
    <row r="7" customFormat="false" ht="14" hidden="false" customHeight="false" outlineLevel="0" collapsed="false">
      <c r="A7" s="47"/>
      <c r="B7" s="51" t="n">
        <v>2</v>
      </c>
      <c r="C7" s="47" t="n">
        <v>1800</v>
      </c>
      <c r="D7" s="47" t="n">
        <v>37101</v>
      </c>
      <c r="E7" s="47" t="n">
        <v>287</v>
      </c>
      <c r="F7" s="47" t="n">
        <v>757.61</v>
      </c>
      <c r="G7" s="45" t="n">
        <f aca="false">'Atenuação Na Matéria'!H7/(SQRT('Atenuação Na Matéria'!D7)*2.35)</f>
        <v>0.106329847658248</v>
      </c>
      <c r="H7" s="47" t="n">
        <v>48.13</v>
      </c>
      <c r="I7" s="52" t="n">
        <f aca="false">LOG('Atenuação Na Matéria'!$D$5/'Atenuação Na Matéria'!D7)</f>
        <v>0.0473313976816241</v>
      </c>
      <c r="J7" s="53" t="n">
        <f aca="false">SQRT(('Atenuação Na Matéria'!$E$5/'Atenuação Na Matéria'!$D$5)^2+('Atenuação Na Matéria'!E7/'Atenuação Na Matéria'!D7)^2)</f>
        <v>0.0100586386099764</v>
      </c>
      <c r="K7" s="47"/>
      <c r="L7" s="47"/>
      <c r="M7" s="47"/>
      <c r="N7" s="47"/>
      <c r="O7" s="47"/>
      <c r="P7" s="47"/>
    </row>
    <row r="8" customFormat="false" ht="14" hidden="false" customHeight="false" outlineLevel="0" collapsed="false">
      <c r="A8" s="47"/>
      <c r="B8" s="51" t="s">
        <v>95</v>
      </c>
      <c r="C8" s="47" t="n">
        <v>2700</v>
      </c>
      <c r="D8" s="47" t="n">
        <v>33153</v>
      </c>
      <c r="E8" s="47" t="n">
        <v>268</v>
      </c>
      <c r="F8" s="47" t="n">
        <v>757.7</v>
      </c>
      <c r="G8" s="45" t="n">
        <f aca="false">'Atenuação Na Matéria'!H8/(SQRT('Atenuação Na Matéria'!D8)*2.35)</f>
        <v>0.110029002330371</v>
      </c>
      <c r="H8" s="47" t="n">
        <v>47.08</v>
      </c>
      <c r="I8" s="52" t="n">
        <f aca="false">LOG('Atenuação Na Matéria'!$D$5/'Atenuação Na Matéria'!D8)</f>
        <v>0.096194179559091</v>
      </c>
      <c r="J8" s="53" t="n">
        <f aca="false">SQRT(('Atenuação Na Matéria'!$E$5/'Atenuação Na Matéria'!$D$5)^2+('Atenuação Na Matéria'!E8/'Atenuação Na Matéria'!D8)^2)</f>
        <v>0.0103287373443672</v>
      </c>
      <c r="K8" s="47"/>
      <c r="L8" s="47"/>
      <c r="M8" s="47"/>
      <c r="N8" s="47"/>
      <c r="O8" s="47"/>
      <c r="P8" s="47"/>
    </row>
    <row r="9" customFormat="false" ht="14" hidden="false" customHeight="false" outlineLevel="0" collapsed="false">
      <c r="A9" s="47"/>
      <c r="B9" s="51" t="n">
        <v>3</v>
      </c>
      <c r="C9" s="47" t="n">
        <v>3600</v>
      </c>
      <c r="D9" s="47" t="n">
        <v>32514</v>
      </c>
      <c r="E9" s="47" t="n">
        <v>274</v>
      </c>
      <c r="F9" s="47" t="n">
        <v>756.98</v>
      </c>
      <c r="G9" s="45" t="n">
        <f aca="false">'Atenuação Na Matéria'!H9/(SQRT('Atenuação Na Matéria'!D9)*2.35)</f>
        <v>0.107541469256278</v>
      </c>
      <c r="H9" s="47" t="n">
        <v>45.57</v>
      </c>
      <c r="I9" s="52" t="n">
        <f aca="false">LOG('Atenuação Na Matéria'!$D$5/'Atenuação Na Matéria'!D9)</f>
        <v>0.1046466117936</v>
      </c>
      <c r="J9" s="53" t="n">
        <f aca="false">SQRT(('Atenuação Na Matéria'!$E$5/'Atenuação Na Matéria'!$D$5)^2+('Atenuação Na Matéria'!E9/'Atenuação Na Matéria'!D9)^2)</f>
        <v>0.0105996579678561</v>
      </c>
      <c r="K9" s="47"/>
      <c r="L9" s="47"/>
      <c r="M9" s="47"/>
      <c r="N9" s="47"/>
      <c r="O9" s="47"/>
      <c r="P9" s="47"/>
    </row>
    <row r="10" customFormat="false" ht="14" hidden="false" customHeight="false" outlineLevel="0" collapsed="false">
      <c r="A10" s="47"/>
      <c r="B10" s="51" t="s">
        <v>96</v>
      </c>
      <c r="C10" s="47" t="n">
        <v>5400</v>
      </c>
      <c r="D10" s="47" t="n">
        <v>23440</v>
      </c>
      <c r="E10" s="47" t="n">
        <v>272</v>
      </c>
      <c r="F10" s="47" t="n">
        <v>757.25</v>
      </c>
      <c r="G10" s="45" t="n">
        <f aca="false">'Atenuação Na Matéria'!H10/(SQRT('Atenuação Na Matéria'!D10)*2.35)</f>
        <v>0.134523666504368</v>
      </c>
      <c r="H10" s="47" t="n">
        <v>48.4</v>
      </c>
      <c r="I10" s="52" t="n">
        <f aca="false">LOG('Atenuação Na Matéria'!$D$5/'Atenuação Na Matéria'!D10)</f>
        <v>0.246759405843581</v>
      </c>
      <c r="J10" s="53" t="n">
        <f aca="false">SQRT(('Atenuação Na Matéria'!$E$5/'Atenuação Na Matéria'!$D$5)^2+('Atenuação Na Matéria'!E10/'Atenuação Na Matéria'!D10)^2)</f>
        <v>0.0132661640961049</v>
      </c>
      <c r="K10" s="47"/>
      <c r="L10" s="47"/>
      <c r="M10" s="47"/>
      <c r="N10" s="47"/>
      <c r="O10" s="47"/>
      <c r="P10" s="47"/>
    </row>
    <row r="11" customFormat="false" ht="14" hidden="false" customHeight="false" outlineLevel="0" collapsed="false">
      <c r="A11" s="47"/>
      <c r="B11" s="51" t="n">
        <v>4</v>
      </c>
      <c r="C11" s="47" t="n">
        <v>7200</v>
      </c>
      <c r="D11" s="47" t="n">
        <v>18661</v>
      </c>
      <c r="E11" s="47" t="n">
        <v>246</v>
      </c>
      <c r="F11" s="47" t="n">
        <v>756.03</v>
      </c>
      <c r="G11" s="45" t="n">
        <f aca="false">'Atenuação Na Matéria'!H11/(SQRT('Atenuação Na Matéria'!D11)*2.35)</f>
        <v>0.144569357097493</v>
      </c>
      <c r="H11" s="47" t="n">
        <v>46.41</v>
      </c>
      <c r="I11" s="52" t="n">
        <f aca="false">LOG('Atenuação Na Matéria'!$D$5/'Atenuação Na Matéria'!D11)</f>
        <v>0.345782100314776</v>
      </c>
      <c r="J11" s="53" t="n">
        <f aca="false">SQRT(('Atenuação Na Matéria'!$E$5/'Atenuação Na Matéria'!$D$5)^2+('Atenuação Na Matéria'!E11/'Atenuação Na Matéria'!D11)^2)</f>
        <v>0.0146668440470279</v>
      </c>
      <c r="K11" s="47"/>
      <c r="L11" s="47"/>
      <c r="M11" s="47"/>
      <c r="N11" s="47"/>
      <c r="O11" s="47"/>
      <c r="P11" s="47"/>
    </row>
  </sheetData>
  <mergeCells count="1">
    <mergeCell ref="B3:J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2017-11-17T00:25:18Z</dcterms:created>
  <dc:creator>Francisco Duque</dc:creator>
  <dc:description/>
  <dc:language>pt-PT</dc:language>
  <cp:lastModifiedBy/>
  <dcterms:modified xsi:type="dcterms:W3CDTF">2017-11-19T13:57:39Z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