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2"/>
  </bookViews>
  <sheets>
    <sheet name="Retrodifusão de Eletrões" sheetId="1" state="visible" r:id="rId2"/>
    <sheet name="Variação com a distância" sheetId="2" state="visible" r:id="rId3"/>
    <sheet name="Variação Estatística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<sst xmlns="http://schemas.openxmlformats.org/spreadsheetml/2006/main" count="93" uniqueCount="79">
  <si>
    <t xml:space="preserve">Elemento</t>
  </si>
  <si>
    <t xml:space="preserve">Z</t>
  </si>
  <si>
    <t xml:space="preserve">Material</t>
  </si>
  <si>
    <t xml:space="preserve">√(Z+1)Z/M</t>
  </si>
  <si>
    <t xml:space="preserve">N1</t>
  </si>
  <si>
    <t xml:space="preserve">ErroN1</t>
  </si>
  <si>
    <t xml:space="preserve">N2</t>
  </si>
  <si>
    <t xml:space="preserve">ErroN2</t>
  </si>
  <si>
    <t xml:space="preserve">N</t>
  </si>
  <si>
    <t xml:space="preserve">ErroN</t>
  </si>
  <si>
    <t xml:space="preserve">R</t>
  </si>
  <si>
    <t xml:space="preserve">Erro R</t>
  </si>
  <si>
    <t xml:space="preserve">R corrigido</t>
  </si>
  <si>
    <t xml:space="preserve">Erro R Corrigido</t>
  </si>
  <si>
    <t xml:space="preserve">fbsc</t>
  </si>
  <si>
    <t xml:space="preserve">Errofbsc</t>
  </si>
  <si>
    <t xml:space="preserve">fbsc/√(Z+1)Z/M</t>
  </si>
  <si>
    <t xml:space="preserve">Erro fbsc/√(Z+1)Z/M</t>
  </si>
  <si>
    <t xml:space="preserve">H</t>
  </si>
  <si>
    <t xml:space="preserve">Nenhum</t>
  </si>
  <si>
    <t xml:space="preserve">-</t>
  </si>
  <si>
    <t xml:space="preserve">C</t>
  </si>
  <si>
    <t xml:space="preserve">Plástico</t>
  </si>
  <si>
    <t xml:space="preserve">O</t>
  </si>
  <si>
    <t xml:space="preserve">Vidro</t>
  </si>
  <si>
    <t xml:space="preserve">Al</t>
  </si>
  <si>
    <t xml:space="preserve">Alumínio</t>
  </si>
  <si>
    <t xml:space="preserve">Fe</t>
  </si>
  <si>
    <t xml:space="preserve">Aço</t>
  </si>
  <si>
    <t xml:space="preserve">Cu</t>
  </si>
  <si>
    <t xml:space="preserve">Cobre</t>
  </si>
  <si>
    <t xml:space="preserve">W</t>
  </si>
  <si>
    <t xml:space="preserve">Tungsténio</t>
  </si>
  <si>
    <t xml:space="preserve">Pb</t>
  </si>
  <si>
    <t xml:space="preserve">Chumbo</t>
  </si>
  <si>
    <t xml:space="preserve">Tr</t>
  </si>
  <si>
    <t xml:space="preserve">Erro Tr</t>
  </si>
  <si>
    <t xml:space="preserve">Rb</t>
  </si>
  <si>
    <t xml:space="preserve">ErroRb</t>
  </si>
  <si>
    <t xml:space="preserve">Prateleira</t>
  </si>
  <si>
    <t xml:space="preserve">R('')</t>
  </si>
  <si>
    <t xml:space="preserve">R(mm)</t>
  </si>
  <si>
    <t xml:space="preserve">R Corrigido</t>
  </si>
  <si>
    <t xml:space="preserve">TR</t>
  </si>
  <si>
    <t xml:space="preserve">ErroTR</t>
  </si>
  <si>
    <t xml:space="preserve">R fundo</t>
  </si>
  <si>
    <t xml:space="preserve">Erro R fundo</t>
  </si>
  <si>
    <t xml:space="preserve">Ensaio</t>
  </si>
  <si>
    <t xml:space="preserve">ErroR</t>
  </si>
  <si>
    <t xml:space="preserve">Ncorr</t>
  </si>
  <si>
    <t xml:space="preserve">ErroNcorr</t>
  </si>
  <si>
    <t xml:space="preserve">N-N</t>
  </si>
  <si>
    <t xml:space="preserve">N-N/sigma</t>
  </si>
  <si>
    <t xml:space="preserve">N-N/sigma(rounded)</t>
  </si>
  <si>
    <t xml:space="preserve">Classes</t>
  </si>
  <si>
    <t xml:space="preserve">fa</t>
  </si>
  <si>
    <t xml:space="preserve">fr</t>
  </si>
  <si>
    <t xml:space="preserve">-3,-2.5</t>
  </si>
  <si>
    <t xml:space="preserve">-2.5,2</t>
  </si>
  <si>
    <t xml:space="preserve">-2,1.5</t>
  </si>
  <si>
    <t xml:space="preserve">-1.5,-1</t>
  </si>
  <si>
    <t xml:space="preserve">-1,-0.5</t>
  </si>
  <si>
    <t xml:space="preserve">-0.5,0</t>
  </si>
  <si>
    <t xml:space="preserve">0,0.5</t>
  </si>
  <si>
    <t xml:space="preserve">0.5,1</t>
  </si>
  <si>
    <t xml:space="preserve">1,1.5</t>
  </si>
  <si>
    <t xml:space="preserve">1.5;2</t>
  </si>
  <si>
    <t xml:space="preserve">2;2.5</t>
  </si>
  <si>
    <t xml:space="preserve">2.5;3</t>
  </si>
  <si>
    <t xml:space="preserve">-3;-2</t>
  </si>
  <si>
    <t xml:space="preserve">-2;-1</t>
  </si>
  <si>
    <t xml:space="preserve">-1;0</t>
  </si>
  <si>
    <t xml:space="preserve">0;1</t>
  </si>
  <si>
    <t xml:space="preserve">1;2</t>
  </si>
  <si>
    <t xml:space="preserve">2;3</t>
  </si>
  <si>
    <t xml:space="preserve">Média Corr</t>
  </si>
  <si>
    <t xml:space="preserve">Erro Média</t>
  </si>
  <si>
    <t xml:space="preserve">Tm</t>
  </si>
  <si>
    <t xml:space="preserve">ErroTm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</si>
</sst>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"/>
    <numFmt numFmtId="166" formatCode="0.000"/>
    <numFmt numFmtId="167" formatCode="0.00"/>
    <numFmt numFmtId="168" formatCode="0.0000"/>
    <numFmt numFmtId="169" formatCode="0.00E+00"/>
    <numFmt numFmtId="170" formatCode="0.000E+00"/>
  </numFmts>
  <fonts count="5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right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13"/>
  <sheetViews>
    <sheetView windowProtection="false" showFormulas="false" showGridLines="true" showRowColHeaders="true" showZeros="true" rightToLeft="false" tabSelected="false" showOutlineSymbols="true" defaultGridColor="true" view="normal" topLeftCell="F1" colorId="64" zoomScale="100" zoomScaleNormal="100" zoomScalePageLayoutView="100" workbookViewId="0">
      <selection pane="topLeft" activeCell="R2" activeCellId="1" sqref="J1:J51 R2"/>
    </sheetView>
  </sheetViews>
  <sheetFormatPr defaultRowHeight="14"/>
  <cols>
    <col collapsed="false" hidden="false" max="5" min="1" style="0" width="8.78542510121457"/>
    <col collapsed="false" hidden="false" max="6" min="6" style="0" width="9.31983805668016"/>
    <col collapsed="false" hidden="false" max="7" min="7" style="0" width="8.78542510121457"/>
    <col collapsed="false" hidden="false" max="8" min="8" style="0" width="10.497975708502"/>
    <col collapsed="false" hidden="false" max="9" min="9" style="0" width="8.78542510121457"/>
    <col collapsed="false" hidden="false" max="10" min="10" style="0" width="11.4615384615385"/>
    <col collapsed="false" hidden="false" max="11" min="11" style="0" width="8.78542510121457"/>
    <col collapsed="false" hidden="false" max="12" min="12" style="0" width="10.497975708502"/>
    <col collapsed="false" hidden="false" max="13" min="13" style="0" width="8.78542510121457"/>
    <col collapsed="false" hidden="false" max="14" min="14" style="0" width="9.4251012145749"/>
    <col collapsed="false" hidden="false" max="15" min="15" style="0" width="13.3886639676113"/>
    <col collapsed="false" hidden="false" max="16" min="16" style="0" width="16.9230769230769"/>
    <col collapsed="false" hidden="false" max="17" min="17" style="0" width="12.2105263157895"/>
    <col collapsed="false" hidden="false" max="18" min="18" style="0" width="13.1740890688259"/>
    <col collapsed="false" hidden="false" max="19" min="19" style="0" width="16.9230769230769"/>
    <col collapsed="false" hidden="false" max="1025" min="20" style="0" width="8.78542510121457"/>
  </cols>
  <sheetData>
    <row r="1" customFormat="false" ht="14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1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</row>
    <row r="2" customFormat="false" ht="14" hidden="false" customHeight="false" outlineLevel="0" collapsed="false">
      <c r="A2" s="2" t="s">
        <v>18</v>
      </c>
      <c r="B2" s="2" t="n">
        <v>1</v>
      </c>
      <c r="C2" s="2" t="s">
        <v>19</v>
      </c>
      <c r="D2" s="2" t="n">
        <v>0</v>
      </c>
      <c r="E2" s="2" t="n">
        <v>0</v>
      </c>
      <c r="F2" s="2" t="n">
        <v>19200</v>
      </c>
      <c r="G2" s="3" t="n">
        <f aca="false">SQRT(F2)</f>
        <v>138.56406460551</v>
      </c>
      <c r="H2" s="2" t="n">
        <v>19042</v>
      </c>
      <c r="I2" s="3" t="n">
        <f aca="false">SQRT(H2)</f>
        <v>137.992753432925</v>
      </c>
      <c r="J2" s="2" t="n">
        <f aca="false">F2+H2</f>
        <v>38242</v>
      </c>
      <c r="K2" s="3" t="n">
        <f aca="false">SQRT(G2*G2+I2*I2)</f>
        <v>195.555618686859</v>
      </c>
      <c r="L2" s="4" t="n">
        <f aca="false">J2/180</f>
        <v>212.455555555556</v>
      </c>
      <c r="M2" s="4" t="n">
        <f aca="false">K2/180</f>
        <v>1.08642010381588</v>
      </c>
      <c r="N2" s="5" t="n">
        <f aca="false">L2/(1-$A$13*L2) - $C$13</f>
        <v>230.106800780018</v>
      </c>
      <c r="O2" s="6" t="n">
        <f aca="false">SQRT((M2^2+M2^4*$B$13^2)/(1-$A$13*L2)^4 + $D$13^2)</f>
        <v>1.28278165878322</v>
      </c>
      <c r="P2" s="2" t="n">
        <f aca="false">N2/$N$2</f>
        <v>1</v>
      </c>
      <c r="Q2" s="2" t="n">
        <f aca="false">P2*SQRT((O2/N2)^2+($O$2/$N$2)^2)</f>
        <v>0.00788384877485208</v>
      </c>
      <c r="R2" s="2" t="s">
        <v>20</v>
      </c>
      <c r="S2" s="2" t="s">
        <v>20</v>
      </c>
    </row>
    <row r="3" customFormat="false" ht="14" hidden="false" customHeight="false" outlineLevel="0" collapsed="false">
      <c r="A3" s="2" t="s">
        <v>21</v>
      </c>
      <c r="B3" s="2" t="n">
        <v>6</v>
      </c>
      <c r="C3" s="2" t="s">
        <v>22</v>
      </c>
      <c r="D3" s="2" t="n">
        <v>3.5</v>
      </c>
      <c r="E3" s="2" t="n">
        <v>1.56</v>
      </c>
      <c r="F3" s="2" t="n">
        <v>20050</v>
      </c>
      <c r="G3" s="3" t="n">
        <f aca="false">SQRT(F3)</f>
        <v>141.598022585063</v>
      </c>
      <c r="H3" s="2" t="n">
        <v>19846</v>
      </c>
      <c r="I3" s="3" t="n">
        <f aca="false">SQRT(H3)</f>
        <v>140.875831852025</v>
      </c>
      <c r="J3" s="2" t="n">
        <f aca="false">F3+H3</f>
        <v>39896</v>
      </c>
      <c r="K3" s="3" t="n">
        <f aca="false">SQRT(G3*G3+I3*I3)</f>
        <v>199.739830779942</v>
      </c>
      <c r="L3" s="4" t="n">
        <f aca="false">J3/180</f>
        <v>221.644444444444</v>
      </c>
      <c r="M3" s="4" t="n">
        <f aca="false">K3/180</f>
        <v>1.10966572655524</v>
      </c>
      <c r="N3" s="5" t="n">
        <f aca="false">L3/(1-$A$13*L3) - $C$13</f>
        <v>240.963384563772</v>
      </c>
      <c r="O3" s="6" t="n">
        <f aca="false">SQRT((M3^2+M3^4*$B$13^2)/(1-$A$13*L3)^4 + $D$13^2)</f>
        <v>1.31968925576819</v>
      </c>
      <c r="P3" s="2" t="n">
        <f aca="false">N3/$N$2</f>
        <v>1.04718062980734</v>
      </c>
      <c r="Q3" s="2" t="n">
        <f aca="false">P3*SQRT((O3/N3)^2+($O$2/$N$2)^2)</f>
        <v>0.00818356821339822</v>
      </c>
      <c r="R3" s="2" t="n">
        <f aca="false">P3/E3</f>
        <v>0.671269634491887</v>
      </c>
      <c r="S3" s="2" t="n">
        <f aca="false">Q3/E3</f>
        <v>0.00524587705987066</v>
      </c>
    </row>
    <row r="4" customFormat="false" ht="14" hidden="false" customHeight="false" outlineLevel="0" collapsed="false">
      <c r="A4" s="2" t="s">
        <v>23</v>
      </c>
      <c r="B4" s="2" t="n">
        <v>8</v>
      </c>
      <c r="C4" s="2" t="s">
        <v>24</v>
      </c>
      <c r="D4" s="2" t="n">
        <v>10</v>
      </c>
      <c r="E4" s="2" t="n">
        <v>2.34</v>
      </c>
      <c r="F4" s="2" t="n">
        <v>21870</v>
      </c>
      <c r="G4" s="3" t="n">
        <f aca="false">SQRT(F4)</f>
        <v>147.885090526395</v>
      </c>
      <c r="H4" s="2" t="n">
        <v>21722</v>
      </c>
      <c r="I4" s="3" t="n">
        <f aca="false">SQRT(H4)</f>
        <v>147.383852575511</v>
      </c>
      <c r="J4" s="2" t="n">
        <f aca="false">F4+H4</f>
        <v>43592</v>
      </c>
      <c r="K4" s="3" t="n">
        <f aca="false">SQRT(G4*G4+I4*I4)</f>
        <v>208.786972773686</v>
      </c>
      <c r="L4" s="4" t="n">
        <f aca="false">J4/180</f>
        <v>242.177777777778</v>
      </c>
      <c r="M4" s="4" t="n">
        <f aca="false">K4/180</f>
        <v>1.15992762652048</v>
      </c>
      <c r="N4" s="5" t="n">
        <f aca="false">L4/(1-$A$13*L4) - $C$13</f>
        <v>265.515153711598</v>
      </c>
      <c r="O4" s="6" t="n">
        <f aca="false">SQRT((M4^2+M4^4*$B$13^2)/(1-$A$13*L4)^4 + $D$13^2)</f>
        <v>1.40202578748113</v>
      </c>
      <c r="P4" s="2" t="n">
        <f aca="false">N4/$N$2</f>
        <v>1.15387790717855</v>
      </c>
      <c r="Q4" s="2" t="n">
        <f aca="false">P4*SQRT((O4/N4)^2+($O$2/$N$2)^2)</f>
        <v>0.00886011015837332</v>
      </c>
      <c r="R4" s="2" t="n">
        <f aca="false">P4/E4</f>
        <v>0.493110216742969</v>
      </c>
      <c r="S4" s="2" t="n">
        <f aca="false">Q4/E4</f>
        <v>0.0037863718625527</v>
      </c>
    </row>
    <row r="5" customFormat="false" ht="14" hidden="false" customHeight="false" outlineLevel="0" collapsed="false">
      <c r="A5" s="2" t="s">
        <v>25</v>
      </c>
      <c r="B5" s="2" t="n">
        <v>13</v>
      </c>
      <c r="C5" s="2" t="s">
        <v>26</v>
      </c>
      <c r="D5" s="2" t="n">
        <v>13</v>
      </c>
      <c r="E5" s="2" t="n">
        <v>2.6</v>
      </c>
      <c r="F5" s="2" t="n">
        <v>22007</v>
      </c>
      <c r="G5" s="3" t="n">
        <f aca="false">SQRT(F5)</f>
        <v>148.347564860364</v>
      </c>
      <c r="H5" s="2" t="n">
        <v>22167</v>
      </c>
      <c r="I5" s="3" t="n">
        <f aca="false">SQRT(H5)</f>
        <v>148.885862324131</v>
      </c>
      <c r="J5" s="2" t="n">
        <f aca="false">F5+H5</f>
        <v>44174</v>
      </c>
      <c r="K5" s="3" t="n">
        <f aca="false">SQRT(G5*G5+I5*I5)</f>
        <v>210.176116626033</v>
      </c>
      <c r="L5" s="4" t="n">
        <f aca="false">J5/180</f>
        <v>245.411111111111</v>
      </c>
      <c r="M5" s="4" t="n">
        <f aca="false">K5/180</f>
        <v>1.16764509236685</v>
      </c>
      <c r="N5" s="5" t="n">
        <f aca="false">L5/(1-$A$13*L5) - $C$13</f>
        <v>269.418497236968</v>
      </c>
      <c r="O5" s="6" t="n">
        <f aca="false">SQRT((M5^2+M5^4*$B$13^2)/(1-$A$13*L5)^4 + $D$13^2)</f>
        <v>1.41498917384205</v>
      </c>
      <c r="P5" s="2" t="n">
        <f aca="false">N5/$N$2</f>
        <v>1.17084108911032</v>
      </c>
      <c r="Q5" s="2" t="n">
        <f aca="false">P5*SQRT((O5/N5)^2+($O$2/$N$2)^2)</f>
        <v>0.00896753951165952</v>
      </c>
      <c r="R5" s="2" t="n">
        <f aca="false">P5/E5</f>
        <v>0.450323495811661</v>
      </c>
      <c r="S5" s="2" t="n">
        <f aca="false">Q5/E5</f>
        <v>0.00344905365833058</v>
      </c>
    </row>
    <row r="6" customFormat="false" ht="14" hidden="false" customHeight="false" outlineLevel="0" collapsed="false">
      <c r="A6" s="2" t="s">
        <v>27</v>
      </c>
      <c r="B6" s="2" t="n">
        <v>26</v>
      </c>
      <c r="C6" s="2" t="s">
        <v>28</v>
      </c>
      <c r="D6" s="2" t="n">
        <v>25.8</v>
      </c>
      <c r="E6" s="2" t="n">
        <v>3.53</v>
      </c>
      <c r="F6" s="2" t="n">
        <v>22454</v>
      </c>
      <c r="G6" s="3" t="n">
        <f aca="false">SQRT(F6)</f>
        <v>149.846588216082</v>
      </c>
      <c r="H6" s="2" t="n">
        <v>22822</v>
      </c>
      <c r="I6" s="3" t="n">
        <f aca="false">SQRT(H6)</f>
        <v>151.069520420236</v>
      </c>
      <c r="J6" s="2" t="n">
        <f aca="false">F6+H6</f>
        <v>45276</v>
      </c>
      <c r="K6" s="3" t="n">
        <f aca="false">SQRT(G6*G6+I6*I6)</f>
        <v>212.781578149989</v>
      </c>
      <c r="L6" s="4" t="n">
        <f aca="false">J6/180</f>
        <v>251.533333333333</v>
      </c>
      <c r="M6" s="4" t="n">
        <f aca="false">K6/180</f>
        <v>1.18211987861105</v>
      </c>
      <c r="N6" s="5" t="n">
        <f aca="false">L6/(1-$A$13*L6) - $C$13</f>
        <v>276.837455798702</v>
      </c>
      <c r="O6" s="6" t="n">
        <f aca="false">SQRT((M6^2+M6^4*$B$13^2)/(1-$A$13*L6)^4 + $D$13^2)</f>
        <v>1.43954298848181</v>
      </c>
      <c r="P6" s="2" t="n">
        <f aca="false">N6/$N$2</f>
        <v>1.20308245936355</v>
      </c>
      <c r="Q6" s="2" t="n">
        <f aca="false">P6*SQRT((O6/N6)^2+($O$2/$N$2)^2)</f>
        <v>0.00917164712175932</v>
      </c>
      <c r="R6" s="2" t="n">
        <f aca="false">P6/E6</f>
        <v>0.340816560726217</v>
      </c>
      <c r="S6" s="2" t="n">
        <f aca="false">Q6/E6</f>
        <v>0.00259820031777884</v>
      </c>
    </row>
    <row r="7" customFormat="false" ht="14" hidden="false" customHeight="false" outlineLevel="0" collapsed="false">
      <c r="A7" s="2" t="s">
        <v>29</v>
      </c>
      <c r="B7" s="2" t="n">
        <v>29</v>
      </c>
      <c r="C7" s="2" t="s">
        <v>30</v>
      </c>
      <c r="D7" s="2" t="n">
        <v>29</v>
      </c>
      <c r="E7" s="2" t="n">
        <v>3.7</v>
      </c>
      <c r="F7" s="2" t="n">
        <v>23062</v>
      </c>
      <c r="G7" s="3" t="n">
        <f aca="false">SQRT(F7)</f>
        <v>151.861779259957</v>
      </c>
      <c r="H7" s="2" t="n">
        <v>23415</v>
      </c>
      <c r="I7" s="3" t="n">
        <f aca="false">SQRT(H7)</f>
        <v>153.019606586868</v>
      </c>
      <c r="J7" s="2" t="n">
        <f aca="false">F7+H7</f>
        <v>46477</v>
      </c>
      <c r="K7" s="3" t="n">
        <f aca="false">SQRT(G7*G7+I7*I7)</f>
        <v>215.585249959268</v>
      </c>
      <c r="L7" s="4" t="n">
        <f aca="false">J7/180</f>
        <v>258.205555555556</v>
      </c>
      <c r="M7" s="4" t="n">
        <f aca="false">K7/180</f>
        <v>1.19769583310704</v>
      </c>
      <c r="N7" s="5" t="n">
        <f aca="false">L7/(1-$A$13*L7) - $C$13</f>
        <v>284.965050937407</v>
      </c>
      <c r="O7" s="6" t="n">
        <f aca="false">SQRT((M7^2+M7^4*$B$13^2)/(1-$A$13*L7)^4 + $D$13^2)</f>
        <v>1.46632161817386</v>
      </c>
      <c r="P7" s="2" t="n">
        <f aca="false">N7/$N$2</f>
        <v>1.23840342819695</v>
      </c>
      <c r="Q7" s="2" t="n">
        <f aca="false">P7*SQRT((O7/N7)^2+($O$2/$N$2)^2)</f>
        <v>0.00939514350734097</v>
      </c>
      <c r="R7" s="2" t="n">
        <f aca="false">P7/E7</f>
        <v>0.334703629242418</v>
      </c>
      <c r="S7" s="2" t="n">
        <f aca="false">Q7/E7</f>
        <v>0.00253922797495702</v>
      </c>
    </row>
    <row r="8" customFormat="false" ht="14" hidden="false" customHeight="false" outlineLevel="0" collapsed="false">
      <c r="A8" s="2" t="s">
        <v>31</v>
      </c>
      <c r="B8" s="2" t="n">
        <v>74</v>
      </c>
      <c r="C8" s="2" t="s">
        <v>32</v>
      </c>
      <c r="D8" s="2" t="n">
        <v>74</v>
      </c>
      <c r="E8" s="2" t="n">
        <v>5.49</v>
      </c>
      <c r="F8" s="2" t="n">
        <v>28938</v>
      </c>
      <c r="G8" s="3" t="n">
        <f aca="false">SQRT(F8)</f>
        <v>170.111727990753</v>
      </c>
      <c r="H8" s="2" t="n">
        <v>29009</v>
      </c>
      <c r="I8" s="3" t="n">
        <f aca="false">SQRT(H8)</f>
        <v>170.320286519252</v>
      </c>
      <c r="J8" s="2" t="n">
        <f aca="false">F8+H8</f>
        <v>57947</v>
      </c>
      <c r="K8" s="3" t="n">
        <f aca="false">SQRT(G8*G8+I8*I8)</f>
        <v>240.721831166182</v>
      </c>
      <c r="L8" s="4" t="n">
        <f aca="false">J8/180</f>
        <v>321.927777777778</v>
      </c>
      <c r="M8" s="4" t="n">
        <f aca="false">K8/180</f>
        <v>1.33734350647879</v>
      </c>
      <c r="N8" s="5" t="n">
        <f aca="false">L8/(1-$A$13*L8) - $C$13</f>
        <v>364.871881196103</v>
      </c>
      <c r="O8" s="6" t="n">
        <f aca="false">SQRT((M8^2+M8^4*$B$13^2)/(1-$A$13*L8)^4 + $D$13^2)</f>
        <v>1.72460590905048</v>
      </c>
      <c r="P8" s="2" t="n">
        <f aca="false">N8/$N$2</f>
        <v>1.58566317883373</v>
      </c>
      <c r="Q8" s="2" t="n">
        <f aca="false">P8*SQRT((O8/N8)^2+($O$2/$N$2)^2)</f>
        <v>0.0115892722620072</v>
      </c>
      <c r="R8" s="2" t="n">
        <f aca="false">P8/E8</f>
        <v>0.288827537128184</v>
      </c>
      <c r="S8" s="2" t="n">
        <f aca="false">Q8/E8</f>
        <v>0.00211097855409968</v>
      </c>
    </row>
    <row r="9" customFormat="false" ht="14" hidden="false" customHeight="false" outlineLevel="0" collapsed="false">
      <c r="A9" s="2" t="s">
        <v>33</v>
      </c>
      <c r="B9" s="2" t="n">
        <v>82</v>
      </c>
      <c r="C9" s="2" t="s">
        <v>34</v>
      </c>
      <c r="D9" s="2" t="n">
        <v>82</v>
      </c>
      <c r="E9" s="2" t="n">
        <v>5.73</v>
      </c>
      <c r="F9" s="2" t="n">
        <v>29491</v>
      </c>
      <c r="G9" s="3" t="n">
        <f aca="false">SQRT(F9)</f>
        <v>171.729438361627</v>
      </c>
      <c r="H9" s="2" t="n">
        <v>29344</v>
      </c>
      <c r="I9" s="3" t="n">
        <f aca="false">SQRT(H9)</f>
        <v>171.300904842911</v>
      </c>
      <c r="J9" s="2" t="n">
        <f aca="false">F9+H9</f>
        <v>58835</v>
      </c>
      <c r="K9" s="3" t="n">
        <f aca="false">SQRT(G9*G9+I9*I9)</f>
        <v>242.559271107084</v>
      </c>
      <c r="L9" s="4" t="n">
        <f aca="false">J9/180</f>
        <v>326.861111111111</v>
      </c>
      <c r="M9" s="4" t="n">
        <f aca="false">K9/180</f>
        <v>1.34755150615047</v>
      </c>
      <c r="N9" s="5" t="n">
        <f aca="false">L9/(1-$A$13*L9) - $C$13</f>
        <v>371.236216131495</v>
      </c>
      <c r="O9" s="6" t="n">
        <f aca="false">SQRT((M9^2+M9^4*$B$13^2)/(1-$A$13*L9)^4 + $D$13^2)</f>
        <v>1.74489504305845</v>
      </c>
      <c r="P9" s="2" t="n">
        <f aca="false">N9/$N$2</f>
        <v>1.61332135718317</v>
      </c>
      <c r="Q9" s="2" t="n">
        <f aca="false">P9*SQRT((O9/N9)^2+($O$2/$N$2)^2)</f>
        <v>0.0117639432673326</v>
      </c>
      <c r="R9" s="2" t="n">
        <f aca="false">P9/E9</f>
        <v>0.281556955878388</v>
      </c>
      <c r="S9" s="2" t="n">
        <f aca="false">Q9/E9</f>
        <v>0.00205304420023257</v>
      </c>
    </row>
    <row r="10" customFormat="false" ht="13.8" hidden="false" customHeight="false" outlineLevel="0" collapsed="false">
      <c r="L10" s="7"/>
      <c r="M10" s="7"/>
    </row>
    <row r="12" customFormat="false" ht="14" hidden="false" customHeight="false" outlineLevel="0" collapsed="false">
      <c r="A12" s="8" t="s">
        <v>35</v>
      </c>
      <c r="B12" s="8" t="s">
        <v>36</v>
      </c>
      <c r="C12" s="8" t="s">
        <v>37</v>
      </c>
      <c r="D12" s="8" t="s">
        <v>38</v>
      </c>
    </row>
    <row r="13" customFormat="false" ht="14" hidden="false" customHeight="false" outlineLevel="0" collapsed="false">
      <c r="A13" s="9" t="n">
        <v>0.0003686</v>
      </c>
      <c r="B13" s="10" t="n">
        <v>2.78867E-005</v>
      </c>
      <c r="C13" s="9" t="n">
        <v>0.4</v>
      </c>
      <c r="D13" s="9" t="n">
        <v>0.1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2" activeCellId="1" sqref="J1:J51 M2"/>
    </sheetView>
  </sheetViews>
  <sheetFormatPr defaultRowHeight="14"/>
  <cols>
    <col collapsed="false" hidden="false" max="1" min="1" style="0" width="10.7125506072875"/>
    <col collapsed="false" hidden="false" max="4" min="2" style="0" width="8.78542510121457"/>
    <col collapsed="false" hidden="false" max="5" min="5" style="0" width="10.497975708502"/>
    <col collapsed="false" hidden="false" max="8" min="6" style="0" width="8.78542510121457"/>
    <col collapsed="false" hidden="false" max="9" min="9" style="0" width="10.497975708502"/>
    <col collapsed="false" hidden="false" max="11" min="10" style="0" width="8.78542510121457"/>
    <col collapsed="false" hidden="false" max="12" min="12" style="0" width="9.74898785425101"/>
    <col collapsed="false" hidden="false" max="13" min="13" style="0" width="13.3886639676113"/>
    <col collapsed="false" hidden="false" max="1025" min="14" style="0" width="8.78542510121457"/>
  </cols>
  <sheetData>
    <row r="1" customFormat="false" ht="14" hidden="false" customHeight="false" outlineLevel="0" collapsed="false">
      <c r="A1" s="1" t="s">
        <v>39</v>
      </c>
      <c r="B1" s="1" t="s">
        <v>40</v>
      </c>
      <c r="C1" s="1" t="s">
        <v>41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42</v>
      </c>
      <c r="M1" s="1" t="s">
        <v>13</v>
      </c>
    </row>
    <row r="2" customFormat="false" ht="14" hidden="false" customHeight="false" outlineLevel="0" collapsed="false">
      <c r="A2" s="2" t="n">
        <v>1</v>
      </c>
      <c r="B2" s="2" t="n">
        <f aca="false">2/8</f>
        <v>0.25</v>
      </c>
      <c r="C2" s="2" t="n">
        <f aca="false">B2*25.4</f>
        <v>6.35</v>
      </c>
      <c r="D2" s="2" t="n">
        <v>2818</v>
      </c>
      <c r="E2" s="3" t="n">
        <f aca="false">SQRT(D2)</f>
        <v>53.084837759948</v>
      </c>
      <c r="F2" s="2" t="n">
        <v>2928</v>
      </c>
      <c r="G2" s="3" t="n">
        <f aca="false">SQRT(F2)</f>
        <v>54.1109970338747</v>
      </c>
      <c r="H2" s="2" t="n">
        <v>5746</v>
      </c>
      <c r="I2" s="3" t="n">
        <f aca="false">SQRT(E2*E2+G2*G2)</f>
        <v>75.8023746329889</v>
      </c>
      <c r="J2" s="0" t="n">
        <f aca="false">H2/120</f>
        <v>47.8833333333333</v>
      </c>
      <c r="K2" s="0" t="n">
        <f aca="false">SQRT((I2/120)^2)</f>
        <v>0.631686455274908</v>
      </c>
      <c r="L2" s="0" t="n">
        <f aca="false">J2/(1-$B$12*J2) - $B$14</f>
        <v>48.3853094295767</v>
      </c>
      <c r="M2" s="0" t="n">
        <f aca="false">SQRT((K2^2+J2^4*$B$13^2)/(1-$B$12*J2)^4+$B$15^2)</f>
        <v>0.660199233595877</v>
      </c>
    </row>
    <row r="3" customFormat="false" ht="14" hidden="false" customHeight="false" outlineLevel="0" collapsed="false">
      <c r="A3" s="2" t="n">
        <v>2</v>
      </c>
      <c r="B3" s="2" t="n">
        <f aca="false">B2+1/4+1/8</f>
        <v>0.625</v>
      </c>
      <c r="C3" s="2" t="n">
        <f aca="false">B3*25.4</f>
        <v>15.875</v>
      </c>
      <c r="D3" s="2" t="n">
        <v>1780</v>
      </c>
      <c r="E3" s="3" t="n">
        <f aca="false">SQRT(D3)</f>
        <v>42.190046219458</v>
      </c>
      <c r="F3" s="2" t="n">
        <v>1882</v>
      </c>
      <c r="G3" s="3" t="n">
        <f aca="false">SQRT(F3)</f>
        <v>43.3820239269677</v>
      </c>
      <c r="H3" s="2" t="n">
        <v>3662</v>
      </c>
      <c r="I3" s="3" t="n">
        <f aca="false">SQRT(E3*E3+G3*G3)</f>
        <v>60.5144610816291</v>
      </c>
      <c r="J3" s="0" t="n">
        <f aca="false">H3/120</f>
        <v>30.5166666666667</v>
      </c>
      <c r="K3" s="0" t="n">
        <f aca="false">SQRT((I3/120)^2)</f>
        <v>0.504287175680243</v>
      </c>
      <c r="L3" s="0" t="n">
        <f aca="false">J3/(1-$B$12*J3) - $B$14</f>
        <v>30.5055010224753</v>
      </c>
      <c r="M3" s="0" t="n">
        <f aca="false">SQRT((K3^2+J3^4*$B$13^2)/(1-$B$12*J3)^4+$B$15^2)</f>
        <v>0.519392487164543</v>
      </c>
    </row>
    <row r="4" customFormat="false" ht="14" hidden="false" customHeight="false" outlineLevel="0" collapsed="false">
      <c r="A4" s="2" t="n">
        <v>3</v>
      </c>
      <c r="B4" s="2" t="n">
        <f aca="false">B3+1/4+1/8</f>
        <v>1</v>
      </c>
      <c r="C4" s="2" t="n">
        <f aca="false">B4*25.4</f>
        <v>25.4</v>
      </c>
      <c r="D4" s="2" t="n">
        <v>1221</v>
      </c>
      <c r="E4" s="3" t="n">
        <f aca="false">SQRT(D4)</f>
        <v>34.9428104193123</v>
      </c>
      <c r="F4" s="2" t="n">
        <v>1274</v>
      </c>
      <c r="G4" s="3" t="n">
        <f aca="false">SQRT(F4)</f>
        <v>35.6931365951495</v>
      </c>
      <c r="H4" s="2" t="n">
        <v>2495</v>
      </c>
      <c r="I4" s="3" t="n">
        <f aca="false">SQRT(E4*E4+G4*G4)</f>
        <v>49.9499749749687</v>
      </c>
      <c r="J4" s="0" t="n">
        <f aca="false">H4/120</f>
        <v>20.7916666666667</v>
      </c>
      <c r="K4" s="0" t="n">
        <f aca="false">SQRT((I4/120)^2)</f>
        <v>0.416249791458072</v>
      </c>
      <c r="L4" s="0" t="n">
        <f aca="false">J4/(1-$B$12*J4) - $B$14</f>
        <v>20.5939061697556</v>
      </c>
      <c r="M4" s="0" t="n">
        <f aca="false">SQRT((K4^2+J4^4*$B$13^2)/(1-$B$12*J4)^4+$B$15^2)</f>
        <v>0.426397259254993</v>
      </c>
    </row>
    <row r="5" customFormat="false" ht="14" hidden="false" customHeight="false" outlineLevel="0" collapsed="false">
      <c r="A5" s="2" t="n">
        <v>4</v>
      </c>
      <c r="B5" s="2" t="n">
        <f aca="false">B4+1/4+1/8</f>
        <v>1.375</v>
      </c>
      <c r="C5" s="2" t="n">
        <f aca="false">B5*25.4</f>
        <v>34.925</v>
      </c>
      <c r="D5" s="2" t="n">
        <v>900</v>
      </c>
      <c r="E5" s="3" t="n">
        <f aca="false">SQRT(D5)</f>
        <v>30</v>
      </c>
      <c r="F5" s="2" t="n">
        <v>933</v>
      </c>
      <c r="G5" s="3" t="n">
        <f aca="false">SQRT(F5)</f>
        <v>30.5450486986025</v>
      </c>
      <c r="H5" s="2" t="n">
        <v>1833</v>
      </c>
      <c r="I5" s="3" t="n">
        <f aca="false">SQRT(E5*E5+G5*G5)</f>
        <v>42.8135492572153</v>
      </c>
      <c r="J5" s="0" t="n">
        <f aca="false">H5/120</f>
        <v>15.275</v>
      </c>
      <c r="K5" s="0" t="n">
        <f aca="false">SQRT((I5/120)^2)</f>
        <v>0.356779577143461</v>
      </c>
      <c r="L5" s="0" t="n">
        <f aca="false">J5/(1-$B$12*J5) - $B$14</f>
        <v>15.0031568648498</v>
      </c>
      <c r="M5" s="0" t="n">
        <f aca="false">SQRT((K5^2+J5^4*$B$13^2)/(1-$B$12*J5)^4+$B$15^2)</f>
        <v>0.365005023399781</v>
      </c>
    </row>
    <row r="6" customFormat="false" ht="14" hidden="false" customHeight="false" outlineLevel="0" collapsed="false">
      <c r="A6" s="2" t="n">
        <v>5</v>
      </c>
      <c r="B6" s="2" t="n">
        <f aca="false">B5+1/4+1/8</f>
        <v>1.75</v>
      </c>
      <c r="C6" s="2" t="n">
        <f aca="false">B6*25.4</f>
        <v>44.45</v>
      </c>
      <c r="D6" s="2" t="n">
        <v>753</v>
      </c>
      <c r="E6" s="3" t="n">
        <f aca="false">SQRT(D6)</f>
        <v>27.4408454680245</v>
      </c>
      <c r="F6" s="2" t="n">
        <v>692</v>
      </c>
      <c r="G6" s="3" t="n">
        <f aca="false">SQRT(F6)</f>
        <v>26.3058928759318</v>
      </c>
      <c r="H6" s="2" t="n">
        <v>1445</v>
      </c>
      <c r="I6" s="3" t="n">
        <f aca="false">SQRT(E6*E6+G6*G6)</f>
        <v>38.0131556174964</v>
      </c>
      <c r="J6" s="0" t="n">
        <f aca="false">H6/120</f>
        <v>12.0416666666667</v>
      </c>
      <c r="K6" s="0" t="n">
        <f aca="false">SQRT((I6/120)^2)</f>
        <v>0.31677629681247</v>
      </c>
      <c r="L6" s="0" t="n">
        <f aca="false">J6/(1-$B$12*J6) - $B$14</f>
        <v>11.7370188881868</v>
      </c>
      <c r="M6" s="0" t="n">
        <f aca="false">SQRT((K6^2+J6^4*$B$13^2)/(1-$B$12*J6)^4+$B$15^2)</f>
        <v>0.324270718963254</v>
      </c>
    </row>
    <row r="12" customFormat="false" ht="14" hidden="false" customHeight="false" outlineLevel="0" collapsed="false">
      <c r="A12" s="11" t="s">
        <v>43</v>
      </c>
      <c r="B12" s="0" t="n">
        <v>0.000368597449031428</v>
      </c>
    </row>
    <row r="13" customFormat="false" ht="14" hidden="false" customHeight="false" outlineLevel="0" collapsed="false">
      <c r="A13" s="11" t="s">
        <v>44</v>
      </c>
      <c r="B13" s="0" t="n">
        <v>2.78866781830166E-005</v>
      </c>
      <c r="G13" s="2"/>
    </row>
    <row r="14" customFormat="false" ht="14" hidden="false" customHeight="false" outlineLevel="0" collapsed="false">
      <c r="A14" s="11" t="s">
        <v>45</v>
      </c>
      <c r="B14" s="0" t="n">
        <v>0.358333333333333</v>
      </c>
      <c r="G14" s="2"/>
    </row>
    <row r="15" customFormat="false" ht="14" hidden="false" customHeight="false" outlineLevel="0" collapsed="false">
      <c r="A15" s="11" t="s">
        <v>46</v>
      </c>
      <c r="B15" s="0" t="n">
        <v>0.05464532103585</v>
      </c>
      <c r="G15" s="2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5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1" activeCellId="0" sqref="J1:J51"/>
    </sheetView>
  </sheetViews>
  <sheetFormatPr defaultRowHeight="14"/>
  <cols>
    <col collapsed="false" hidden="false" max="1" min="1" style="9" width="11.1336032388664"/>
    <col collapsed="false" hidden="false" max="2" min="2" style="12" width="10.1781376518219"/>
    <col collapsed="false" hidden="false" max="3" min="3" style="0" width="13.7125506072874"/>
    <col collapsed="false" hidden="false" max="5" min="4" style="0" width="8.78542510121457"/>
    <col collapsed="false" hidden="false" max="6" min="6" style="0" width="10.6396761133603"/>
    <col collapsed="false" hidden="false" max="7" min="7" style="0" width="13.1740890688259"/>
    <col collapsed="false" hidden="false" max="8" min="8" style="0" width="17.246963562753"/>
    <col collapsed="false" hidden="false" max="1025" min="9" style="0" width="8.78542510121457"/>
  </cols>
  <sheetData>
    <row r="1" customFormat="false" ht="13.8" hidden="false" customHeight="false" outlineLevel="0" collapsed="false">
      <c r="A1" s="8" t="s">
        <v>47</v>
      </c>
      <c r="B1" s="8" t="s">
        <v>8</v>
      </c>
      <c r="C1" s="8" t="s">
        <v>9</v>
      </c>
      <c r="D1" s="11" t="s">
        <v>10</v>
      </c>
      <c r="E1" s="11" t="s">
        <v>48</v>
      </c>
      <c r="F1" s="8" t="s">
        <v>49</v>
      </c>
      <c r="G1" s="8" t="s">
        <v>50</v>
      </c>
      <c r="H1" s="8" t="s">
        <v>51</v>
      </c>
      <c r="I1" s="8" t="s">
        <v>52</v>
      </c>
      <c r="J1" s="8" t="s">
        <v>53</v>
      </c>
      <c r="M1" s="13"/>
      <c r="N1" s="8" t="s">
        <v>54</v>
      </c>
      <c r="O1" s="1" t="s">
        <v>55</v>
      </c>
      <c r="P1" s="1"/>
      <c r="Q1" s="11" t="s">
        <v>56</v>
      </c>
    </row>
    <row r="2" customFormat="false" ht="13.8" hidden="false" customHeight="false" outlineLevel="0" collapsed="false">
      <c r="A2" s="14" t="n">
        <v>1</v>
      </c>
      <c r="B2" s="15" t="n">
        <v>1815</v>
      </c>
      <c r="C2" s="16" t="n">
        <f aca="false">SQRT(B2)</f>
        <v>42.6028168082816</v>
      </c>
      <c r="D2" s="17" t="n">
        <f aca="false">B2/30</f>
        <v>60.5</v>
      </c>
      <c r="E2" s="17" t="n">
        <f aca="false">C2/30</f>
        <v>1.42009389360939</v>
      </c>
      <c r="F2" s="18" t="n">
        <f aca="false">D2/(1-$A$57*D2)*30</f>
        <v>1856.39823761836</v>
      </c>
      <c r="G2" s="19" t="n">
        <f aca="false">SQRT(E2^2+D2^4*$B$57^2)/(1-D2*$A$57)^2*30</f>
        <v>44.6834105481419</v>
      </c>
      <c r="H2" s="20" t="n">
        <f aca="false">F2-$A$54</f>
        <v>-7.36576557038325</v>
      </c>
      <c r="I2" s="21" t="n">
        <f aca="false">H2/$B$54</f>
        <v>-0.175210129864712</v>
      </c>
      <c r="J2" s="16" t="n">
        <f aca="false">I2</f>
        <v>-0.175210129864712</v>
      </c>
      <c r="M2" s="13"/>
      <c r="N2" s="14" t="s">
        <v>57</v>
      </c>
      <c r="O2" s="22" t="n">
        <f aca="false">COUNTIF(I2:I51,"&lt;-2.5")</f>
        <v>0</v>
      </c>
      <c r="P2" s="22"/>
      <c r="Q2" s="13" t="n">
        <f aca="false">O2/50</f>
        <v>0</v>
      </c>
    </row>
    <row r="3" customFormat="false" ht="13.8" hidden="false" customHeight="false" outlineLevel="0" collapsed="false">
      <c r="A3" s="14" t="n">
        <v>2</v>
      </c>
      <c r="B3" s="15" t="n">
        <v>1848</v>
      </c>
      <c r="C3" s="16" t="n">
        <f aca="false">SQRT(B3)</f>
        <v>42.9883705204094</v>
      </c>
      <c r="D3" s="17" t="n">
        <f aca="false">B3/30</f>
        <v>61.6</v>
      </c>
      <c r="E3" s="17" t="n">
        <f aca="false">C3/30</f>
        <v>1.43294568401365</v>
      </c>
      <c r="F3" s="18" t="n">
        <f aca="false">D3/(1-$A$57*D3)*30</f>
        <v>1890.9351189873</v>
      </c>
      <c r="G3" s="19" t="n">
        <f aca="false">SQRT(E3^2+D3^4*$B$57^2)/(1-D3*$A$57)^2*30</f>
        <v>45.1316540574623</v>
      </c>
      <c r="H3" s="20" t="n">
        <f aca="false">F3-$A$54</f>
        <v>27.171115798553</v>
      </c>
      <c r="I3" s="21" t="n">
        <f aca="false">H3/$B$54</f>
        <v>0.646321781781323</v>
      </c>
      <c r="J3" s="16" t="n">
        <f aca="false">I3</f>
        <v>0.646321781781323</v>
      </c>
      <c r="M3" s="13"/>
      <c r="N3" s="14" t="s">
        <v>58</v>
      </c>
      <c r="O3" s="22" t="n">
        <f aca="false">COUNTIF(I2:I51,"&lt;=-2")</f>
        <v>1</v>
      </c>
      <c r="P3" s="22"/>
      <c r="Q3" s="13" t="n">
        <f aca="false">O3/50</f>
        <v>0.02</v>
      </c>
    </row>
    <row r="4" customFormat="false" ht="13.8" hidden="false" customHeight="false" outlineLevel="0" collapsed="false">
      <c r="A4" s="14" t="n">
        <v>3</v>
      </c>
      <c r="B4" s="15" t="n">
        <v>1845</v>
      </c>
      <c r="C4" s="16" t="n">
        <f aca="false">SQRT(B4)</f>
        <v>42.9534631898291</v>
      </c>
      <c r="D4" s="17" t="n">
        <f aca="false">B4/30</f>
        <v>61.5</v>
      </c>
      <c r="E4" s="17" t="n">
        <f aca="false">C4/30</f>
        <v>1.43178210632764</v>
      </c>
      <c r="F4" s="18" t="n">
        <f aca="false">D4/(1-$A$57*D4)*30</f>
        <v>1887.7942183565</v>
      </c>
      <c r="G4" s="19" t="n">
        <f aca="false">SQRT(E4^2+D4^4*$B$57^2)/(1-D4*$A$57)^2*30</f>
        <v>45.0910103293279</v>
      </c>
      <c r="H4" s="20" t="n">
        <f aca="false">F4-$A$54</f>
        <v>24.0302151677577</v>
      </c>
      <c r="I4" s="21" t="n">
        <f aca="false">H4/$B$54</f>
        <v>0.571608895231339</v>
      </c>
      <c r="J4" s="16" t="n">
        <f aca="false">I4</f>
        <v>0.571608895231339</v>
      </c>
      <c r="M4" s="13"/>
      <c r="N4" s="14" t="s">
        <v>59</v>
      </c>
      <c r="O4" s="22" t="n">
        <f aca="false">COUNTIF(I2:I51,"&lt;-1.5")-COUNTIF(I2:I51,"&lt;=-2")</f>
        <v>-1</v>
      </c>
      <c r="P4" s="22"/>
      <c r="Q4" s="13" t="n">
        <f aca="false">O4/50</f>
        <v>-0.02</v>
      </c>
    </row>
    <row r="5" customFormat="false" ht="13.8" hidden="false" customHeight="false" outlineLevel="0" collapsed="false">
      <c r="A5" s="14" t="n">
        <v>4</v>
      </c>
      <c r="B5" s="15" t="n">
        <v>1880</v>
      </c>
      <c r="C5" s="16" t="n">
        <f aca="false">SQRT(B5)</f>
        <v>43.3589667773576</v>
      </c>
      <c r="D5" s="17" t="n">
        <f aca="false">B5/30</f>
        <v>62.6666666666667</v>
      </c>
      <c r="E5" s="17" t="n">
        <f aca="false">C5/30</f>
        <v>1.44529889257859</v>
      </c>
      <c r="F5" s="18" t="n">
        <f aca="false">D5/(1-$A$57*D5)*30</f>
        <v>1924.45280709422</v>
      </c>
      <c r="G5" s="19" t="n">
        <f aca="false">SQRT(E5^2+D5^4*$B$57^2)/(1-D5*$A$57)^2*30</f>
        <v>45.5639052700463</v>
      </c>
      <c r="H5" s="20" t="n">
        <f aca="false">F5-$A$54</f>
        <v>60.6888039054725</v>
      </c>
      <c r="I5" s="21" t="n">
        <f aca="false">H5/$B$54</f>
        <v>1.44361005139329</v>
      </c>
      <c r="J5" s="16" t="n">
        <f aca="false">I5</f>
        <v>1.44361005139329</v>
      </c>
      <c r="M5" s="13"/>
      <c r="N5" s="14" t="s">
        <v>60</v>
      </c>
      <c r="O5" s="22" t="n">
        <f aca="false">COUNTIF(I2:I51,"&lt;-1.")-COUNTIF(I2:I51,"&lt;=-1.5")</f>
        <v>0</v>
      </c>
      <c r="P5" s="22"/>
      <c r="Q5" s="13" t="n">
        <f aca="false">O5/50</f>
        <v>0</v>
      </c>
    </row>
    <row r="6" customFormat="false" ht="13.8" hidden="false" customHeight="false" outlineLevel="0" collapsed="false">
      <c r="A6" s="14" t="n">
        <v>5</v>
      </c>
      <c r="B6" s="15" t="n">
        <v>1832</v>
      </c>
      <c r="C6" s="16" t="n">
        <f aca="false">SQRT(B6)</f>
        <v>42.8018691180654</v>
      </c>
      <c r="D6" s="17" t="n">
        <f aca="false">B6/30</f>
        <v>61.0666666666667</v>
      </c>
      <c r="E6" s="17" t="n">
        <f aca="false">C6/30</f>
        <v>1.42672897060218</v>
      </c>
      <c r="F6" s="18" t="n">
        <f aca="false">D6/(1-$A$57*D6)*30</f>
        <v>1874.18638622655</v>
      </c>
      <c r="G6" s="19" t="n">
        <f aca="false">SQRT(E6^2+D6^4*$B$57^2)/(1-D6*$A$57)^2*30</f>
        <v>44.9146449040539</v>
      </c>
      <c r="H6" s="20" t="n">
        <f aca="false">F6-$A$54</f>
        <v>10.4223830378039</v>
      </c>
      <c r="I6" s="21" t="n">
        <f aca="false">H6/$B$54</f>
        <v>0.247918165206877</v>
      </c>
      <c r="J6" s="16" t="n">
        <f aca="false">I6</f>
        <v>0.247918165206877</v>
      </c>
      <c r="M6" s="13"/>
      <c r="N6" s="14" t="s">
        <v>61</v>
      </c>
      <c r="O6" s="22" t="n">
        <f aca="false">COUNTIF(I2:I51,"&lt;-0.5")-COUNTIF(I2:I51,"&lt;=-1")</f>
        <v>-8</v>
      </c>
      <c r="P6" s="22"/>
      <c r="Q6" s="13" t="n">
        <f aca="false">O6/50</f>
        <v>-0.16</v>
      </c>
    </row>
    <row r="7" customFormat="false" ht="13.8" hidden="false" customHeight="false" outlineLevel="0" collapsed="false">
      <c r="A7" s="14" t="n">
        <v>6</v>
      </c>
      <c r="B7" s="15" t="n">
        <v>1760</v>
      </c>
      <c r="C7" s="16" t="n">
        <f aca="false">SQRT(B7)</f>
        <v>41.9523539268061</v>
      </c>
      <c r="D7" s="17" t="n">
        <f aca="false">B7/30</f>
        <v>58.6666666666667</v>
      </c>
      <c r="E7" s="17" t="n">
        <f aca="false">C7/30</f>
        <v>1.3984117975602</v>
      </c>
      <c r="F7" s="18" t="n">
        <f aca="false">D7/(1-$A$57*D7)*30</f>
        <v>1798.90038125786</v>
      </c>
      <c r="G7" s="19" t="n">
        <f aca="false">SQRT(E7^2+D7^4*$B$57^2)/(1-D7*$A$57)^2*30</f>
        <v>43.9304597294072</v>
      </c>
      <c r="H7" s="20" t="n">
        <f aca="false">F7-$A$54</f>
        <v>-64.8636219308864</v>
      </c>
      <c r="I7" s="21" t="n">
        <f aca="false">H7/$B$54</f>
        <v>-1.54291682424736</v>
      </c>
      <c r="J7" s="16" t="n">
        <f aca="false">I7</f>
        <v>-1.54291682424736</v>
      </c>
      <c r="M7" s="13"/>
      <c r="N7" s="14" t="s">
        <v>62</v>
      </c>
      <c r="O7" s="22" t="n">
        <f aca="false">COUNTIF(F2:F55,"&lt;-0")-COUNTIF(F2:F55,"&lt;=-0.5")</f>
        <v>0</v>
      </c>
      <c r="P7" s="22"/>
      <c r="Q7" s="13" t="n">
        <f aca="false">O7/50</f>
        <v>0</v>
      </c>
    </row>
    <row r="8" customFormat="false" ht="13.8" hidden="false" customHeight="false" outlineLevel="0" collapsed="false">
      <c r="A8" s="14" t="n">
        <v>7</v>
      </c>
      <c r="B8" s="15" t="n">
        <v>1838</v>
      </c>
      <c r="C8" s="16" t="n">
        <f aca="false">SQRT(B8)</f>
        <v>42.871902220452</v>
      </c>
      <c r="D8" s="17" t="n">
        <f aca="false">B8/30</f>
        <v>61.2666666666667</v>
      </c>
      <c r="E8" s="17" t="n">
        <f aca="false">C8/30</f>
        <v>1.4290634073484</v>
      </c>
      <c r="F8" s="18" t="n">
        <f aca="false">D8/(1-$A$57*D8)*30</f>
        <v>1880.46637148415</v>
      </c>
      <c r="G8" s="19" t="n">
        <f aca="false">SQRT(E8^2+D8^4*$B$57^2)/(1-D8*$A$57)^2*30</f>
        <v>44.9960935116498</v>
      </c>
      <c r="H8" s="20" t="n">
        <f aca="false">F8-$A$54</f>
        <v>16.7023682954039</v>
      </c>
      <c r="I8" s="21" t="n">
        <f aca="false">H8/$B$54</f>
        <v>0.397300740856147</v>
      </c>
      <c r="J8" s="16" t="n">
        <f aca="false">I8</f>
        <v>0.397300740856147</v>
      </c>
      <c r="M8" s="13"/>
      <c r="N8" s="14" t="s">
        <v>63</v>
      </c>
      <c r="O8" s="22" t="n">
        <f aca="false">COUNTIF(I2:I51,"&gt;=0")-COUNTIF(I2:I51,"&gt;0.5")</f>
        <v>24</v>
      </c>
      <c r="P8" s="22"/>
      <c r="Q8" s="13" t="n">
        <f aca="false">O8/50</f>
        <v>0.48</v>
      </c>
    </row>
    <row r="9" customFormat="false" ht="13.8" hidden="false" customHeight="false" outlineLevel="0" collapsed="false">
      <c r="A9" s="14" t="n">
        <v>8</v>
      </c>
      <c r="B9" s="15" t="n">
        <v>1732</v>
      </c>
      <c r="C9" s="16" t="n">
        <f aca="false">SQRT(B9)</f>
        <v>41.6173040933696</v>
      </c>
      <c r="D9" s="17" t="n">
        <f aca="false">B9/30</f>
        <v>57.7333333333333</v>
      </c>
      <c r="E9" s="17" t="n">
        <f aca="false">C9/30</f>
        <v>1.38724346977899</v>
      </c>
      <c r="F9" s="18" t="n">
        <f aca="false">D9/(1-$A$57*D9)*30</f>
        <v>1769.6592453688</v>
      </c>
      <c r="G9" s="19" t="n">
        <f aca="false">SQRT(E9^2+D9^4*$B$57^2)/(1-D9*$A$57)^2*30</f>
        <v>43.5441844163379</v>
      </c>
      <c r="H9" s="20" t="n">
        <f aca="false">F9-$A$54</f>
        <v>-94.1047578199459</v>
      </c>
      <c r="I9" s="21" t="n">
        <f aca="false">H9/$B$54</f>
        <v>-2.2384783605952</v>
      </c>
      <c r="J9" s="16" t="n">
        <f aca="false">I9</f>
        <v>-2.2384783605952</v>
      </c>
      <c r="M9" s="13"/>
      <c r="N9" s="14" t="s">
        <v>64</v>
      </c>
      <c r="O9" s="22" t="n">
        <f aca="false">COUNTIF(I2:I51,"&gt;=0.5")-COUNTIF(I2:I51,"&gt;1")</f>
        <v>-8</v>
      </c>
      <c r="P9" s="22"/>
      <c r="Q9" s="13" t="n">
        <f aca="false">O9/50</f>
        <v>-0.16</v>
      </c>
    </row>
    <row r="10" customFormat="false" ht="13.8" hidden="false" customHeight="false" outlineLevel="0" collapsed="false">
      <c r="A10" s="14" t="n">
        <v>9</v>
      </c>
      <c r="B10" s="15" t="n">
        <v>1820</v>
      </c>
      <c r="C10" s="16" t="n">
        <f aca="false">SQRT(B10)</f>
        <v>42.6614580154031</v>
      </c>
      <c r="D10" s="17" t="n">
        <f aca="false">B10/30</f>
        <v>60.6666666666667</v>
      </c>
      <c r="E10" s="17" t="n">
        <f aca="false">C10/30</f>
        <v>1.42204860051344</v>
      </c>
      <c r="F10" s="18" t="n">
        <f aca="false">D10/(1-$A$57*D10)*30</f>
        <v>1861.62925701081</v>
      </c>
      <c r="G10" s="19" t="n">
        <f aca="false">SQRT(E10^2+D10^4*$B$57^2)/(1-D10*$A$57)^2*30</f>
        <v>44.7514922535534</v>
      </c>
      <c r="H10" s="20" t="n">
        <f aca="false">F10-$A$54</f>
        <v>-2.13474617793599</v>
      </c>
      <c r="I10" s="21" t="n">
        <f aca="false">H10/$B$54</f>
        <v>-0.0507793998451818</v>
      </c>
      <c r="J10" s="16" t="n">
        <f aca="false">I10</f>
        <v>-0.0507793998451818</v>
      </c>
      <c r="M10" s="13"/>
      <c r="N10" s="14" t="s">
        <v>65</v>
      </c>
      <c r="O10" s="22" t="n">
        <f aca="false">COUNTIF(I2:I51,"&gt;=1")-COUNTIF(I2:I51,"&gt;1.5")</f>
        <v>8</v>
      </c>
      <c r="P10" s="22"/>
      <c r="Q10" s="13" t="n">
        <f aca="false">O10/50</f>
        <v>0.16</v>
      </c>
    </row>
    <row r="11" customFormat="false" ht="13.8" hidden="false" customHeight="false" outlineLevel="0" collapsed="false">
      <c r="A11" s="14" t="n">
        <v>10</v>
      </c>
      <c r="B11" s="15" t="n">
        <v>1809</v>
      </c>
      <c r="C11" s="16" t="n">
        <f aca="false">SQRT(B11)</f>
        <v>42.5323406362735</v>
      </c>
      <c r="D11" s="17" t="n">
        <f aca="false">B11/30</f>
        <v>60.3</v>
      </c>
      <c r="E11" s="17" t="n">
        <f aca="false">C11/30</f>
        <v>1.41774468787578</v>
      </c>
      <c r="F11" s="18" t="n">
        <f aca="false">D11/(1-$A$57*D11)*30</f>
        <v>1850.12188202048</v>
      </c>
      <c r="G11" s="19" t="n">
        <f aca="false">SQRT(E11^2+D11^4*$B$57^2)/(1-D11*$A$57)^2*30</f>
        <v>44.6016330233998</v>
      </c>
      <c r="H11" s="20" t="n">
        <f aca="false">F11-$A$54</f>
        <v>-13.6421211682652</v>
      </c>
      <c r="I11" s="21" t="n">
        <f aca="false">H11/$B$54</f>
        <v>-0.324506366470951</v>
      </c>
      <c r="J11" s="16" t="n">
        <f aca="false">I11</f>
        <v>-0.324506366470951</v>
      </c>
      <c r="M11" s="13"/>
      <c r="N11" s="14" t="s">
        <v>66</v>
      </c>
      <c r="O11" s="22" t="n">
        <f aca="false">COUNTIF(F9:F59,"&gt;=1.5")-COUNTIF(I2:I51,"&gt;2")</f>
        <v>-1</v>
      </c>
      <c r="P11" s="22"/>
      <c r="Q11" s="13" t="n">
        <f aca="false">O11/50</f>
        <v>-0.02</v>
      </c>
    </row>
    <row r="12" customFormat="false" ht="13.8" hidden="false" customHeight="false" outlineLevel="0" collapsed="false">
      <c r="A12" s="14" t="n">
        <v>11</v>
      </c>
      <c r="B12" s="15" t="n">
        <v>1822</v>
      </c>
      <c r="C12" s="16" t="n">
        <f aca="false">SQRT(B12)</f>
        <v>42.6848919408261</v>
      </c>
      <c r="D12" s="17" t="n">
        <f aca="false">B12/30</f>
        <v>60.7333333333333</v>
      </c>
      <c r="E12" s="17" t="n">
        <f aca="false">C12/30</f>
        <v>1.42282973136087</v>
      </c>
      <c r="F12" s="18" t="n">
        <f aca="false">D12/(1-$A$57*D12)*30</f>
        <v>1863.72184884972</v>
      </c>
      <c r="G12" s="19" t="n">
        <f aca="false">SQRT(E12^2+D12^4*$B$57^2)/(1-D12*$A$57)^2*30</f>
        <v>44.778708162976</v>
      </c>
      <c r="H12" s="20" t="n">
        <f aca="false">F12-$A$54</f>
        <v>-0.0421543390284569</v>
      </c>
      <c r="I12" s="21" t="n">
        <f aca="false">H12/$B$54</f>
        <v>-0.00100272906393256</v>
      </c>
      <c r="J12" s="16" t="n">
        <f aca="false">I12</f>
        <v>-0.00100272906393256</v>
      </c>
      <c r="M12" s="13"/>
      <c r="N12" s="14" t="s">
        <v>67</v>
      </c>
      <c r="O12" s="22" t="n">
        <f aca="false">COUNTIF(I2:I51,"&gt;=2")-COUNTIF(I2:I51,"&gt;2.5")</f>
        <v>1</v>
      </c>
      <c r="P12" s="22"/>
      <c r="Q12" s="13" t="n">
        <f aca="false">O12/50</f>
        <v>0.02</v>
      </c>
    </row>
    <row r="13" customFormat="false" ht="13.8" hidden="false" customHeight="false" outlineLevel="0" collapsed="false">
      <c r="A13" s="14" t="n">
        <v>12</v>
      </c>
      <c r="B13" s="15" t="n">
        <v>1792</v>
      </c>
      <c r="C13" s="16" t="n">
        <f aca="false">SQRT(B13)</f>
        <v>42.3320209770335</v>
      </c>
      <c r="D13" s="17" t="n">
        <f aca="false">B13/30</f>
        <v>59.7333333333333</v>
      </c>
      <c r="E13" s="17" t="n">
        <f aca="false">C13/30</f>
        <v>1.41106736590112</v>
      </c>
      <c r="F13" s="18" t="n">
        <f aca="false">D13/(1-$A$57*D13)*30</f>
        <v>1832.34401299045</v>
      </c>
      <c r="G13" s="19" t="n">
        <f aca="false">SQRT(E13^2+D13^4*$B$57^2)/(1-D13*$A$57)^2*30</f>
        <v>44.3694539499382</v>
      </c>
      <c r="H13" s="20" t="n">
        <f aca="false">F13-$A$54</f>
        <v>-31.4199901982986</v>
      </c>
      <c r="I13" s="21" t="n">
        <f aca="false">H13/$B$54</f>
        <v>-0.747390140289987</v>
      </c>
      <c r="J13" s="16" t="n">
        <f aca="false">I13</f>
        <v>-0.747390140289987</v>
      </c>
      <c r="M13" s="13"/>
      <c r="N13" s="14" t="s">
        <v>68</v>
      </c>
      <c r="O13" s="22" t="n">
        <f aca="false">COUNTIF(F11:F61,"&gt;=2.5")-COUNTIF(F11:F61,"&gt;3")</f>
        <v>-41</v>
      </c>
      <c r="P13" s="22"/>
      <c r="Q13" s="13" t="n">
        <f aca="false">O13/50</f>
        <v>-0.82</v>
      </c>
    </row>
    <row r="14" customFormat="false" ht="13.8" hidden="false" customHeight="false" outlineLevel="0" collapsed="false">
      <c r="A14" s="14" t="n">
        <v>13</v>
      </c>
      <c r="B14" s="15" t="n">
        <v>1854</v>
      </c>
      <c r="C14" s="16" t="n">
        <f aca="false">SQRT(B14)</f>
        <v>43.058100283222</v>
      </c>
      <c r="D14" s="17" t="n">
        <f aca="false">B14/30</f>
        <v>61.8</v>
      </c>
      <c r="E14" s="17" t="n">
        <f aca="false">C14/30</f>
        <v>1.43527000944073</v>
      </c>
      <c r="F14" s="18" t="n">
        <f aca="false">D14/(1-$A$57*D14)*30</f>
        <v>1897.2176310829</v>
      </c>
      <c r="G14" s="19" t="n">
        <f aca="false">SQRT(E14^2+D14^4*$B$57^2)/(1-D14*$A$57)^2*30</f>
        <v>45.2128790743955</v>
      </c>
      <c r="H14" s="20" t="n">
        <f aca="false">F14-$A$54</f>
        <v>33.4536278941559</v>
      </c>
      <c r="I14" s="21" t="n">
        <f aca="false">H14/$B$54</f>
        <v>0.795764463554039</v>
      </c>
      <c r="J14" s="16" t="n">
        <f aca="false">I14</f>
        <v>0.795764463554039</v>
      </c>
      <c r="M14" s="13"/>
      <c r="N14" s="14"/>
      <c r="O14" s="22" t="n">
        <f aca="false">SUM(O2:O13)</f>
        <v>-25</v>
      </c>
      <c r="P14" s="22"/>
      <c r="Q14" s="13" t="n">
        <f aca="false">SUM(Q2:Q13)</f>
        <v>-0.5</v>
      </c>
    </row>
    <row r="15" customFormat="false" ht="13.8" hidden="false" customHeight="false" outlineLevel="0" collapsed="false">
      <c r="A15" s="14" t="n">
        <v>14</v>
      </c>
      <c r="B15" s="15" t="n">
        <v>1829</v>
      </c>
      <c r="C15" s="16" t="n">
        <f aca="false">SQRT(B15)</f>
        <v>42.7668095606862</v>
      </c>
      <c r="D15" s="17" t="n">
        <f aca="false">B15/30</f>
        <v>60.9666666666667</v>
      </c>
      <c r="E15" s="17" t="n">
        <f aca="false">C15/30</f>
        <v>1.42556031868954</v>
      </c>
      <c r="F15" s="18" t="n">
        <f aca="false">D15/(1-$A$57*D15)*30</f>
        <v>1871.04674880036</v>
      </c>
      <c r="G15" s="19" t="n">
        <f aca="false">SQRT(E15^2+D15^4*$B$57^2)/(1-D15*$A$57)^2*30</f>
        <v>44.8738887841946</v>
      </c>
      <c r="H15" s="20" t="n">
        <f aca="false">F15-$A$54</f>
        <v>7.28274561161311</v>
      </c>
      <c r="I15" s="21" t="n">
        <f aca="false">H15/$B$54</f>
        <v>0.173235326618738</v>
      </c>
      <c r="J15" s="16" t="n">
        <f aca="false">I15</f>
        <v>0.173235326618738</v>
      </c>
      <c r="M15" s="13"/>
      <c r="N15" s="14"/>
      <c r="O15" s="13"/>
      <c r="P15" s="13"/>
      <c r="Q15" s="13"/>
    </row>
    <row r="16" customFormat="false" ht="13.8" hidden="false" customHeight="false" outlineLevel="0" collapsed="false">
      <c r="A16" s="14" t="n">
        <v>15</v>
      </c>
      <c r="B16" s="15" t="n">
        <v>1792</v>
      </c>
      <c r="C16" s="16" t="n">
        <f aca="false">SQRT(B16)</f>
        <v>42.3320209770335</v>
      </c>
      <c r="D16" s="17" t="n">
        <f aca="false">B16/30</f>
        <v>59.7333333333333</v>
      </c>
      <c r="E16" s="17" t="n">
        <f aca="false">C16/30</f>
        <v>1.41106736590112</v>
      </c>
      <c r="F16" s="18" t="n">
        <f aca="false">D16/(1-$A$57*D16)*30</f>
        <v>1832.34401299045</v>
      </c>
      <c r="G16" s="19" t="n">
        <f aca="false">SQRT(E16^2+D16^4*$B$57^2)/(1-D16*$A$57)^2*30</f>
        <v>44.3694539499382</v>
      </c>
      <c r="H16" s="20" t="n">
        <f aca="false">F16-$A$54</f>
        <v>-31.4199901982986</v>
      </c>
      <c r="I16" s="21" t="n">
        <f aca="false">H16/$B$54</f>
        <v>-0.747390140289987</v>
      </c>
      <c r="J16" s="16" t="n">
        <f aca="false">I16</f>
        <v>-0.747390140289987</v>
      </c>
      <c r="M16" s="13"/>
      <c r="N16" s="14" t="s">
        <v>69</v>
      </c>
      <c r="O16" s="13" t="n">
        <v>1</v>
      </c>
      <c r="P16" s="13"/>
      <c r="Q16" s="13"/>
    </row>
    <row r="17" customFormat="false" ht="13.8" hidden="false" customHeight="false" outlineLevel="0" collapsed="false">
      <c r="A17" s="14" t="n">
        <v>16</v>
      </c>
      <c r="B17" s="15" t="n">
        <v>1854</v>
      </c>
      <c r="C17" s="16" t="n">
        <f aca="false">SQRT(B17)</f>
        <v>43.058100283222</v>
      </c>
      <c r="D17" s="17" t="n">
        <f aca="false">B17/30</f>
        <v>61.8</v>
      </c>
      <c r="E17" s="17" t="n">
        <f aca="false">C17/30</f>
        <v>1.43527000944073</v>
      </c>
      <c r="F17" s="18" t="n">
        <f aca="false">D17/(1-$A$57*D17)*30</f>
        <v>1897.2176310829</v>
      </c>
      <c r="G17" s="19" t="n">
        <f aca="false">SQRT(E17^2+D17^4*$B$57^2)/(1-D17*$A$57)^2*30</f>
        <v>45.2128790743955</v>
      </c>
      <c r="H17" s="20" t="n">
        <f aca="false">F17-$A$54</f>
        <v>33.4536278941559</v>
      </c>
      <c r="I17" s="21" t="n">
        <f aca="false">H17/$B$54</f>
        <v>0.795764463554039</v>
      </c>
      <c r="J17" s="16" t="n">
        <f aca="false">I17</f>
        <v>0.795764463554039</v>
      </c>
      <c r="M17" s="13"/>
      <c r="N17" s="14" t="s">
        <v>70</v>
      </c>
      <c r="O17" s="13" t="n">
        <v>7</v>
      </c>
      <c r="P17" s="13"/>
      <c r="Q17" s="13"/>
    </row>
    <row r="18" customFormat="false" ht="13.8" hidden="false" customHeight="false" outlineLevel="0" collapsed="false">
      <c r="A18" s="14" t="n">
        <v>17</v>
      </c>
      <c r="B18" s="15" t="n">
        <v>1829</v>
      </c>
      <c r="C18" s="16" t="n">
        <f aca="false">SQRT(B18)</f>
        <v>42.7668095606862</v>
      </c>
      <c r="D18" s="17" t="n">
        <f aca="false">B18/30</f>
        <v>60.9666666666667</v>
      </c>
      <c r="E18" s="17" t="n">
        <f aca="false">C18/30</f>
        <v>1.42556031868954</v>
      </c>
      <c r="F18" s="18" t="n">
        <f aca="false">D18/(1-$A$57*D18)*30</f>
        <v>1871.04674880036</v>
      </c>
      <c r="G18" s="19" t="n">
        <f aca="false">SQRT(E18^2+D18^4*$B$57^2)/(1-D18*$A$57)^2*30</f>
        <v>44.8738887841946</v>
      </c>
      <c r="H18" s="20" t="n">
        <f aca="false">F18-$A$54</f>
        <v>7.28274561161311</v>
      </c>
      <c r="I18" s="21" t="n">
        <f aca="false">H18/$B$54</f>
        <v>0.173235326618738</v>
      </c>
      <c r="J18" s="16" t="n">
        <f aca="false">I18</f>
        <v>0.173235326618738</v>
      </c>
      <c r="M18" s="13"/>
      <c r="N18" s="14" t="s">
        <v>71</v>
      </c>
      <c r="O18" s="13" t="n">
        <v>18</v>
      </c>
      <c r="P18" s="13"/>
      <c r="Q18" s="13"/>
    </row>
    <row r="19" customFormat="false" ht="13.8" hidden="false" customHeight="false" outlineLevel="0" collapsed="false">
      <c r="A19" s="14" t="n">
        <v>18</v>
      </c>
      <c r="B19" s="15" t="n">
        <v>1866</v>
      </c>
      <c r="C19" s="16" t="n">
        <f aca="false">SQRT(B19)</f>
        <v>43.1972221329104</v>
      </c>
      <c r="D19" s="17" t="n">
        <f aca="false">B19/30</f>
        <v>62.2</v>
      </c>
      <c r="E19" s="17" t="n">
        <f aca="false">C19/30</f>
        <v>1.43990740443035</v>
      </c>
      <c r="F19" s="18" t="n">
        <f aca="false">D19/(1-$A$57*D19)*30</f>
        <v>1909.78549936101</v>
      </c>
      <c r="G19" s="19" t="n">
        <f aca="false">SQRT(E19^2+D19^4*$B$57^2)/(1-D19*$A$57)^2*30</f>
        <v>45.3750814078666</v>
      </c>
      <c r="H19" s="20" t="n">
        <f aca="false">F19-$A$54</f>
        <v>46.0214961722659</v>
      </c>
      <c r="I19" s="21" t="n">
        <f aca="false">H19/$B$54</f>
        <v>1.09471747965114</v>
      </c>
      <c r="J19" s="16" t="n">
        <f aca="false">I19</f>
        <v>1.09471747965114</v>
      </c>
      <c r="M19" s="13"/>
      <c r="N19" s="14" t="s">
        <v>72</v>
      </c>
      <c r="O19" s="13" t="n">
        <v>16</v>
      </c>
      <c r="P19" s="13"/>
      <c r="Q19" s="13"/>
    </row>
    <row r="20" customFormat="false" ht="13.8" hidden="false" customHeight="false" outlineLevel="0" collapsed="false">
      <c r="A20" s="14" t="n">
        <v>19</v>
      </c>
      <c r="B20" s="15" t="n">
        <v>1789</v>
      </c>
      <c r="C20" s="16" t="n">
        <f aca="false">SQRT(B20)</f>
        <v>42.2965719651132</v>
      </c>
      <c r="D20" s="17" t="n">
        <f aca="false">B20/30</f>
        <v>59.6333333333333</v>
      </c>
      <c r="E20" s="17" t="n">
        <f aca="false">C20/30</f>
        <v>1.40988573217044</v>
      </c>
      <c r="F20" s="18" t="n">
        <f aca="false">D20/(1-$A$57*D20)*30</f>
        <v>1829.2075302438</v>
      </c>
      <c r="G20" s="19" t="n">
        <f aca="false">SQRT(E20^2+D20^4*$B$57^2)/(1-D20*$A$57)^2*30</f>
        <v>44.3284073618853</v>
      </c>
      <c r="H20" s="20" t="n">
        <f aca="false">F20-$A$54</f>
        <v>-34.5564729449441</v>
      </c>
      <c r="I20" s="21" t="n">
        <f aca="false">H20/$B$54</f>
        <v>-0.821997938231293</v>
      </c>
      <c r="J20" s="16" t="n">
        <f aca="false">I20</f>
        <v>-0.821997938231293</v>
      </c>
      <c r="M20" s="13"/>
      <c r="N20" s="14" t="s">
        <v>73</v>
      </c>
      <c r="O20" s="13" t="n">
        <v>7</v>
      </c>
      <c r="P20" s="13"/>
      <c r="Q20" s="13"/>
    </row>
    <row r="21" customFormat="false" ht="13.8" hidden="false" customHeight="false" outlineLevel="0" collapsed="false">
      <c r="A21" s="14" t="n">
        <v>20</v>
      </c>
      <c r="B21" s="15" t="n">
        <v>1843</v>
      </c>
      <c r="C21" s="16" t="n">
        <f aca="false">SQRT(B21)</f>
        <v>42.9301758673314</v>
      </c>
      <c r="D21" s="17" t="n">
        <f aca="false">B21/30</f>
        <v>61.4333333333333</v>
      </c>
      <c r="E21" s="17" t="n">
        <f aca="false">C21/30</f>
        <v>1.43100586224438</v>
      </c>
      <c r="F21" s="18" t="n">
        <f aca="false">D21/(1-$A$57*D21)*30</f>
        <v>1885.70041622036</v>
      </c>
      <c r="G21" s="19" t="n">
        <f aca="false">SQRT(E21^2+D21^4*$B$57^2)/(1-D21*$A$57)^2*30</f>
        <v>45.0639028975064</v>
      </c>
      <c r="H21" s="20" t="n">
        <f aca="false">F21-$A$54</f>
        <v>21.936413031618</v>
      </c>
      <c r="I21" s="21" t="n">
        <f aca="false">H21/$B$54</f>
        <v>0.521803435000686</v>
      </c>
      <c r="J21" s="16" t="n">
        <f aca="false">I21</f>
        <v>0.521803435000686</v>
      </c>
      <c r="M21" s="13"/>
      <c r="N21" s="14" t="s">
        <v>74</v>
      </c>
      <c r="O21" s="13" t="n">
        <v>1</v>
      </c>
      <c r="P21" s="13"/>
      <c r="Q21" s="13"/>
    </row>
    <row r="22" customFormat="false" ht="13.8" hidden="false" customHeight="false" outlineLevel="0" collapsed="false">
      <c r="A22" s="14" t="n">
        <v>21</v>
      </c>
      <c r="B22" s="15" t="n">
        <v>1857</v>
      </c>
      <c r="C22" s="16" t="n">
        <f aca="false">SQRT(B22)</f>
        <v>43.0929228528305</v>
      </c>
      <c r="D22" s="17" t="n">
        <f aca="false">B22/30</f>
        <v>61.9</v>
      </c>
      <c r="E22" s="17" t="n">
        <f aca="false">C22/30</f>
        <v>1.43643076176102</v>
      </c>
      <c r="F22" s="18" t="n">
        <f aca="false">D22/(1-$A$57*D22)*30</f>
        <v>1900.35924260133</v>
      </c>
      <c r="G22" s="19" t="n">
        <f aca="false">SQRT(E22^2+D22^4*$B$57^2)/(1-D22*$A$57)^2*30</f>
        <v>45.2534605105129</v>
      </c>
      <c r="H22" s="20" t="n">
        <f aca="false">F22-$A$54</f>
        <v>36.5952394125904</v>
      </c>
      <c r="I22" s="21" t="n">
        <f aca="false">H22/$B$54</f>
        <v>0.870494260052401</v>
      </c>
      <c r="J22" s="16" t="n">
        <f aca="false">I22</f>
        <v>0.870494260052401</v>
      </c>
      <c r="M22" s="13"/>
      <c r="N22" s="14"/>
      <c r="O22" s="13"/>
      <c r="P22" s="13"/>
      <c r="Q22" s="13"/>
    </row>
    <row r="23" customFormat="false" ht="13.8" hidden="false" customHeight="false" outlineLevel="0" collapsed="false">
      <c r="A23" s="14" t="n">
        <v>22</v>
      </c>
      <c r="B23" s="15" t="n">
        <v>1777</v>
      </c>
      <c r="C23" s="16" t="n">
        <f aca="false">SQRT(B23)</f>
        <v>42.154477816716</v>
      </c>
      <c r="D23" s="17" t="n">
        <f aca="false">B23/30</f>
        <v>59.2333333333333</v>
      </c>
      <c r="E23" s="17" t="n">
        <f aca="false">C23/30</f>
        <v>1.4051492605572</v>
      </c>
      <c r="F23" s="18" t="n">
        <f aca="false">D23/(1-$A$57*D23)*30</f>
        <v>1816.66396308266</v>
      </c>
      <c r="G23" s="19" t="n">
        <f aca="false">SQRT(E23^2+D23^4*$B$57^2)/(1-D23*$A$57)^2*30</f>
        <v>44.1639967628939</v>
      </c>
      <c r="H23" s="20" t="n">
        <f aca="false">F23-$A$54</f>
        <v>-47.100040106083</v>
      </c>
      <c r="I23" s="21" t="n">
        <f aca="false">H23/$B$54</f>
        <v>-1.12037290146754</v>
      </c>
      <c r="J23" s="16" t="n">
        <f aca="false">I23</f>
        <v>-1.12037290146754</v>
      </c>
      <c r="M23" s="13"/>
      <c r="N23" s="14"/>
      <c r="O23" s="13"/>
      <c r="P23" s="13"/>
      <c r="Q23" s="13"/>
    </row>
    <row r="24" customFormat="false" ht="13.8" hidden="false" customHeight="false" outlineLevel="0" collapsed="false">
      <c r="A24" s="14" t="n">
        <v>23</v>
      </c>
      <c r="B24" s="15" t="n">
        <v>1862</v>
      </c>
      <c r="C24" s="16" t="n">
        <f aca="false">SQRT(B24)</f>
        <v>43.1508980207828</v>
      </c>
      <c r="D24" s="17" t="n">
        <f aca="false">B24/30</f>
        <v>62.0666666666667</v>
      </c>
      <c r="E24" s="17" t="n">
        <f aca="false">C24/30</f>
        <v>1.43836326735943</v>
      </c>
      <c r="F24" s="18" t="n">
        <f aca="false">D24/(1-$A$57*D24)*30</f>
        <v>1905.59578851459</v>
      </c>
      <c r="G24" s="19" t="n">
        <f aca="false">SQRT(E24^2+D24^4*$B$57^2)/(1-D24*$A$57)^2*30</f>
        <v>45.3210504576019</v>
      </c>
      <c r="H24" s="20" t="n">
        <f aca="false">F24-$A$54</f>
        <v>41.8317853258484</v>
      </c>
      <c r="I24" s="21" t="n">
        <f aca="false">H24/$B$54</f>
        <v>0.995056449920835</v>
      </c>
      <c r="J24" s="16" t="n">
        <f aca="false">I24</f>
        <v>0.995056449920835</v>
      </c>
      <c r="M24" s="13"/>
      <c r="N24" s="14"/>
      <c r="O24" s="13"/>
      <c r="P24" s="13"/>
      <c r="Q24" s="13"/>
    </row>
    <row r="25" customFormat="false" ht="13.8" hidden="false" customHeight="false" outlineLevel="0" collapsed="false">
      <c r="A25" s="14" t="n">
        <v>24</v>
      </c>
      <c r="B25" s="15" t="n">
        <v>1794</v>
      </c>
      <c r="C25" s="16" t="n">
        <f aca="false">SQRT(B25)</f>
        <v>42.3556371690947</v>
      </c>
      <c r="D25" s="17" t="n">
        <f aca="false">B25/30</f>
        <v>59.8</v>
      </c>
      <c r="E25" s="17" t="n">
        <f aca="false">C25/30</f>
        <v>1.41185457230316</v>
      </c>
      <c r="F25" s="18" t="n">
        <f aca="false">D25/(1-$A$57*D25)*30</f>
        <v>1834.43513283989</v>
      </c>
      <c r="G25" s="19" t="n">
        <f aca="false">SQRT(E25^2+D25^4*$B$57^2)/(1-D25*$A$57)^2*30</f>
        <v>44.3968059673079</v>
      </c>
      <c r="H25" s="20" t="n">
        <f aca="false">F25-$A$54</f>
        <v>-29.3288703488502</v>
      </c>
      <c r="I25" s="21" t="n">
        <f aca="false">H25/$B$54</f>
        <v>-0.697648483854745</v>
      </c>
      <c r="J25" s="16" t="n">
        <f aca="false">I25</f>
        <v>-0.697648483854745</v>
      </c>
      <c r="M25" s="13"/>
      <c r="N25" s="14"/>
      <c r="O25" s="13"/>
      <c r="P25" s="13"/>
      <c r="Q25" s="13"/>
    </row>
    <row r="26" customFormat="false" ht="13.8" hidden="false" customHeight="false" outlineLevel="0" collapsed="false">
      <c r="A26" s="14" t="n">
        <v>25</v>
      </c>
      <c r="B26" s="15" t="n">
        <v>1746</v>
      </c>
      <c r="C26" s="16" t="n">
        <f aca="false">SQRT(B26)</f>
        <v>41.7851648315524</v>
      </c>
      <c r="D26" s="17" t="n">
        <f aca="false">B26/30</f>
        <v>58.2</v>
      </c>
      <c r="E26" s="17" t="n">
        <f aca="false">C26/30</f>
        <v>1.39283882771841</v>
      </c>
      <c r="F26" s="18" t="n">
        <f aca="false">D26/(1-$A$57*D26)*30</f>
        <v>1784.27724324629</v>
      </c>
      <c r="G26" s="19" t="n">
        <f aca="false">SQRT(E26^2+D26^4*$B$57^2)/(1-D26*$A$57)^2*30</f>
        <v>43.7375781356448</v>
      </c>
      <c r="H26" s="20" t="n">
        <f aca="false">F26-$A$54</f>
        <v>-79.4867599424581</v>
      </c>
      <c r="I26" s="21" t="n">
        <f aca="false">H26/$B$54</f>
        <v>-1.89075872683777</v>
      </c>
      <c r="J26" s="16" t="n">
        <f aca="false">I26</f>
        <v>-1.89075872683777</v>
      </c>
      <c r="M26" s="13"/>
      <c r="N26" s="14"/>
      <c r="O26" s="13"/>
      <c r="P26" s="13"/>
      <c r="Q26" s="13"/>
    </row>
    <row r="27" customFormat="false" ht="13.8" hidden="false" customHeight="false" outlineLevel="0" collapsed="false">
      <c r="A27" s="14" t="n">
        <v>26</v>
      </c>
      <c r="B27" s="15" t="n">
        <v>1867</v>
      </c>
      <c r="C27" s="16" t="n">
        <f aca="false">SQRT(B27)</f>
        <v>43.2087954009366</v>
      </c>
      <c r="D27" s="17" t="n">
        <f aca="false">B27/30</f>
        <v>62.2333333333333</v>
      </c>
      <c r="E27" s="17" t="n">
        <f aca="false">C27/30</f>
        <v>1.44029318003122</v>
      </c>
      <c r="F27" s="18" t="n">
        <f aca="false">D27/(1-$A$57*D27)*30</f>
        <v>1910.83299293031</v>
      </c>
      <c r="G27" s="19" t="n">
        <f aca="false">SQRT(E27^2+D27^4*$B$57^2)/(1-D27*$A$57)^2*30</f>
        <v>45.3885834723717</v>
      </c>
      <c r="H27" s="20" t="n">
        <f aca="false">F27-$A$54</f>
        <v>47.0689897415684</v>
      </c>
      <c r="I27" s="21" t="n">
        <f aca="false">H27/$B$54</f>
        <v>1.11963430364672</v>
      </c>
      <c r="J27" s="16" t="n">
        <f aca="false">I27</f>
        <v>1.11963430364672</v>
      </c>
      <c r="M27" s="13"/>
      <c r="N27" s="14"/>
      <c r="O27" s="13"/>
      <c r="P27" s="13"/>
      <c r="Q27" s="13"/>
    </row>
    <row r="28" customFormat="false" ht="13.8" hidden="false" customHeight="false" outlineLevel="0" collapsed="false">
      <c r="A28" s="14" t="n">
        <v>27</v>
      </c>
      <c r="B28" s="15" t="n">
        <v>1827</v>
      </c>
      <c r="C28" s="16" t="n">
        <f aca="false">SQRT(B28)</f>
        <v>42.743420546325</v>
      </c>
      <c r="D28" s="17" t="n">
        <f aca="false">B28/30</f>
        <v>60.9</v>
      </c>
      <c r="E28" s="17" t="n">
        <f aca="false">C28/30</f>
        <v>1.4247806848775</v>
      </c>
      <c r="F28" s="18" t="n">
        <f aca="false">D28/(1-$A$57*D28)*30</f>
        <v>1868.95378872123</v>
      </c>
      <c r="G28" s="19" t="n">
        <f aca="false">SQRT(E28^2+D28^4*$B$57^2)/(1-D28*$A$57)^2*30</f>
        <v>44.8467062026926</v>
      </c>
      <c r="H28" s="20" t="n">
        <f aca="false">F28-$A$54</f>
        <v>5.18978553248508</v>
      </c>
      <c r="I28" s="21" t="n">
        <f aca="false">H28/$B$54</f>
        <v>0.123449896474156</v>
      </c>
      <c r="J28" s="16" t="n">
        <f aca="false">I28</f>
        <v>0.123449896474156</v>
      </c>
      <c r="M28" s="13"/>
      <c r="N28" s="14"/>
      <c r="O28" s="13"/>
      <c r="P28" s="13"/>
      <c r="Q28" s="13"/>
    </row>
    <row r="29" customFormat="false" ht="13.8" hidden="false" customHeight="false" outlineLevel="0" collapsed="false">
      <c r="A29" s="14" t="n">
        <v>28</v>
      </c>
      <c r="B29" s="15" t="n">
        <v>1807</v>
      </c>
      <c r="C29" s="16" t="n">
        <f aca="false">SQRT(B29)</f>
        <v>42.5088226136646</v>
      </c>
      <c r="D29" s="17" t="n">
        <f aca="false">B29/30</f>
        <v>60.2333333333333</v>
      </c>
      <c r="E29" s="17" t="n">
        <f aca="false">C29/30</f>
        <v>1.41696075378882</v>
      </c>
      <c r="F29" s="18" t="n">
        <f aca="false">D29/(1-$A$57*D29)*30</f>
        <v>1848.02997379847</v>
      </c>
      <c r="G29" s="19" t="n">
        <f aca="false">SQRT(E29^2+D29^4*$B$57^2)/(1-D29*$A$57)^2*30</f>
        <v>44.5743544819707</v>
      </c>
      <c r="H29" s="20" t="n">
        <f aca="false">F29-$A$54</f>
        <v>-15.7340293902716</v>
      </c>
      <c r="I29" s="21" t="n">
        <f aca="false">H29/$B$54</f>
        <v>-0.374266775995324</v>
      </c>
      <c r="J29" s="16" t="n">
        <f aca="false">I29</f>
        <v>-0.374266775995324</v>
      </c>
      <c r="M29" s="13"/>
      <c r="N29" s="14"/>
      <c r="O29" s="13"/>
      <c r="P29" s="13"/>
      <c r="Q29" s="13"/>
    </row>
    <row r="30" customFormat="false" ht="13.8" hidden="false" customHeight="false" outlineLevel="0" collapsed="false">
      <c r="A30" s="14" t="n">
        <v>29</v>
      </c>
      <c r="B30" s="15" t="n">
        <v>1774</v>
      </c>
      <c r="C30" s="16" t="n">
        <f aca="false">SQRT(B30)</f>
        <v>42.1188793773054</v>
      </c>
      <c r="D30" s="17" t="n">
        <f aca="false">B30/30</f>
        <v>59.1333333333333</v>
      </c>
      <c r="E30" s="17" t="n">
        <f aca="false">C30/30</f>
        <v>1.40396264591018</v>
      </c>
      <c r="F30" s="18" t="n">
        <f aca="false">D30/(1-$A$57*D30)*30</f>
        <v>1813.52866211513</v>
      </c>
      <c r="G30" s="19" t="n">
        <f aca="false">SQRT(E30^2+D30^4*$B$57^2)/(1-D30*$A$57)^2*30</f>
        <v>44.1228376511439</v>
      </c>
      <c r="H30" s="20" t="n">
        <f aca="false">F30-$A$54</f>
        <v>-50.2353410736153</v>
      </c>
      <c r="I30" s="21" t="n">
        <f aca="false">H30/$B$54</f>
        <v>-1.19495258832251</v>
      </c>
      <c r="J30" s="16" t="n">
        <f aca="false">I30</f>
        <v>-1.19495258832251</v>
      </c>
      <c r="M30" s="13"/>
      <c r="N30" s="14"/>
      <c r="O30" s="13"/>
      <c r="P30" s="13"/>
      <c r="Q30" s="13"/>
    </row>
    <row r="31" customFormat="false" ht="13.8" hidden="false" customHeight="false" outlineLevel="0" collapsed="false">
      <c r="A31" s="14" t="n">
        <v>30</v>
      </c>
      <c r="B31" s="15" t="n">
        <v>1879</v>
      </c>
      <c r="C31" s="16" t="n">
        <f aca="false">SQRT(B31)</f>
        <v>43.3474336033865</v>
      </c>
      <c r="D31" s="17" t="n">
        <f aca="false">B31/30</f>
        <v>62.6333333333333</v>
      </c>
      <c r="E31" s="17" t="n">
        <f aca="false">C31/30</f>
        <v>1.44491445344622</v>
      </c>
      <c r="F31" s="18" t="n">
        <f aca="false">D31/(1-$A$57*D31)*30</f>
        <v>1923.4049709615</v>
      </c>
      <c r="G31" s="19" t="n">
        <f aca="false">SQRT(E31^2+D31^4*$B$57^2)/(1-D31*$A$57)^2*30</f>
        <v>45.5504324279902</v>
      </c>
      <c r="H31" s="20" t="n">
        <f aca="false">F31-$A$54</f>
        <v>59.6409677727529</v>
      </c>
      <c r="I31" s="21" t="n">
        <f aca="false">H31/$B$54</f>
        <v>1.41868507881082</v>
      </c>
      <c r="J31" s="16" t="n">
        <f aca="false">I31</f>
        <v>1.41868507881082</v>
      </c>
      <c r="M31" s="13"/>
      <c r="N31" s="14"/>
      <c r="O31" s="13"/>
      <c r="P31" s="13"/>
      <c r="Q31" s="13"/>
    </row>
    <row r="32" customFormat="false" ht="13.8" hidden="false" customHeight="false" outlineLevel="0" collapsed="false">
      <c r="A32" s="14" t="n">
        <v>31</v>
      </c>
      <c r="B32" s="15" t="n">
        <v>1801</v>
      </c>
      <c r="C32" s="16" t="n">
        <f aca="false">SQRT(B32)</f>
        <v>42.4381903478459</v>
      </c>
      <c r="D32" s="17" t="n">
        <f aca="false">B32/30</f>
        <v>60.0333333333333</v>
      </c>
      <c r="E32" s="17" t="n">
        <f aca="false">C32/30</f>
        <v>1.4146063449282</v>
      </c>
      <c r="F32" s="18" t="n">
        <f aca="false">D32/(1-$A$57*D32)*30</f>
        <v>1841.75487995334</v>
      </c>
      <c r="G32" s="19" t="n">
        <f aca="false">SQRT(E32^2+D32^4*$B$57^2)/(1-D32*$A$57)^2*30</f>
        <v>44.4924604362159</v>
      </c>
      <c r="H32" s="20" t="n">
        <f aca="false">F32-$A$54</f>
        <v>-22.0091232354052</v>
      </c>
      <c r="I32" s="21" t="n">
        <f aca="false">H32/$B$54</f>
        <v>-0.523532999175152</v>
      </c>
      <c r="J32" s="16" t="n">
        <f aca="false">I32</f>
        <v>-0.523532999175152</v>
      </c>
      <c r="M32" s="13"/>
      <c r="N32" s="14"/>
      <c r="O32" s="13"/>
      <c r="P32" s="13"/>
      <c r="Q32" s="13"/>
    </row>
    <row r="33" customFormat="false" ht="13.8" hidden="false" customHeight="false" outlineLevel="0" collapsed="false">
      <c r="A33" s="14" t="n">
        <v>32</v>
      </c>
      <c r="B33" s="15" t="n">
        <v>1810</v>
      </c>
      <c r="C33" s="16" t="n">
        <f aca="false">SQRT(B33)</f>
        <v>42.5440947723653</v>
      </c>
      <c r="D33" s="17" t="n">
        <f aca="false">B33/30</f>
        <v>60.3333333333333</v>
      </c>
      <c r="E33" s="17" t="n">
        <f aca="false">C33/30</f>
        <v>1.41813649241218</v>
      </c>
      <c r="F33" s="18" t="n">
        <f aca="false">D33/(1-$A$57*D33)*30</f>
        <v>1851.16787556224</v>
      </c>
      <c r="G33" s="19" t="n">
        <f aca="false">SQRT(E33^2+D33^4*$B$57^2)/(1-D33*$A$57)^2*30</f>
        <v>44.6152686557272</v>
      </c>
      <c r="H33" s="20" t="n">
        <f aca="false">F33-$A$54</f>
        <v>-12.5961276264998</v>
      </c>
      <c r="I33" s="21" t="n">
        <f aca="false">H33/$B$54</f>
        <v>-0.299625223765666</v>
      </c>
      <c r="J33" s="16" t="n">
        <f aca="false">I33</f>
        <v>-0.299625223765666</v>
      </c>
      <c r="M33" s="13"/>
      <c r="N33" s="14"/>
      <c r="O33" s="13"/>
      <c r="P33" s="13"/>
      <c r="Q33" s="13"/>
    </row>
    <row r="34" customFormat="false" ht="13.8" hidden="false" customHeight="false" outlineLevel="0" collapsed="false">
      <c r="A34" s="14" t="n">
        <v>33</v>
      </c>
      <c r="B34" s="15" t="n">
        <v>1892</v>
      </c>
      <c r="C34" s="16" t="n">
        <f aca="false">SQRT(B34)</f>
        <v>43.4971263418631</v>
      </c>
      <c r="D34" s="17" t="n">
        <f aca="false">B34/30</f>
        <v>63.0666666666667</v>
      </c>
      <c r="E34" s="17" t="n">
        <f aca="false">C34/30</f>
        <v>1.44990421139544</v>
      </c>
      <c r="F34" s="18" t="n">
        <f aca="false">D34/(1-$A$57*D34)*30</f>
        <v>1937.02889689467</v>
      </c>
      <c r="G34" s="19" t="n">
        <f aca="false">SQRT(E34^2+D34^4*$B$57^2)/(1-D34*$A$57)^2*30</f>
        <v>45.7254062383547</v>
      </c>
      <c r="H34" s="20" t="n">
        <f aca="false">F34-$A$54</f>
        <v>73.2648937059255</v>
      </c>
      <c r="I34" s="21" t="n">
        <f aca="false">H34/$B$54</f>
        <v>1.74275863358378</v>
      </c>
      <c r="J34" s="16" t="n">
        <f aca="false">I34</f>
        <v>1.74275863358378</v>
      </c>
      <c r="M34" s="13"/>
      <c r="N34" s="14"/>
      <c r="O34" s="13"/>
      <c r="P34" s="13"/>
      <c r="Q34" s="13"/>
    </row>
    <row r="35" customFormat="false" ht="13.8" hidden="false" customHeight="false" outlineLevel="0" collapsed="false">
      <c r="A35" s="14" t="n">
        <v>34</v>
      </c>
      <c r="B35" s="15" t="n">
        <v>1885</v>
      </c>
      <c r="C35" s="16" t="n">
        <f aca="false">SQRT(B35)</f>
        <v>43.4165866921848</v>
      </c>
      <c r="D35" s="17" t="n">
        <f aca="false">B35/30</f>
        <v>62.8333333333333</v>
      </c>
      <c r="E35" s="17" t="n">
        <f aca="false">C35/30</f>
        <v>1.44721955640616</v>
      </c>
      <c r="F35" s="18" t="n">
        <f aca="false">D35/(1-$A$57*D35)*30</f>
        <v>1929.69238314757</v>
      </c>
      <c r="G35" s="19" t="n">
        <f aca="false">SQRT(E35^2+D35^4*$B$57^2)/(1-D35*$A$57)^2*30</f>
        <v>45.6312360930326</v>
      </c>
      <c r="H35" s="20" t="n">
        <f aca="false">F35-$A$54</f>
        <v>65.9283799588266</v>
      </c>
      <c r="I35" s="21" t="n">
        <f aca="false">H35/$B$54</f>
        <v>1.56824431947745</v>
      </c>
      <c r="J35" s="16" t="n">
        <f aca="false">I35</f>
        <v>1.56824431947745</v>
      </c>
      <c r="M35" s="13"/>
      <c r="N35" s="14"/>
      <c r="O35" s="13"/>
      <c r="P35" s="13"/>
      <c r="Q35" s="13"/>
    </row>
    <row r="36" customFormat="false" ht="13.8" hidden="false" customHeight="false" outlineLevel="0" collapsed="false">
      <c r="A36" s="14" t="n">
        <v>35</v>
      </c>
      <c r="B36" s="15" t="n">
        <v>1821</v>
      </c>
      <c r="C36" s="16" t="n">
        <f aca="false">SQRT(B36)</f>
        <v>42.6731765867037</v>
      </c>
      <c r="D36" s="17" t="n">
        <f aca="false">B36/30</f>
        <v>60.7</v>
      </c>
      <c r="E36" s="17" t="n">
        <f aca="false">C36/30</f>
        <v>1.42243921955679</v>
      </c>
      <c r="F36" s="18" t="n">
        <f aca="false">D36/(1-$A$57*D36)*30</f>
        <v>1862.67553978056</v>
      </c>
      <c r="G36" s="19" t="n">
        <f aca="false">SQRT(E36^2+D36^4*$B$57^2)/(1-D36*$A$57)^2*30</f>
        <v>44.7651014034836</v>
      </c>
      <c r="H36" s="20" t="n">
        <f aca="false">F36-$A$54</f>
        <v>-1.08846340818286</v>
      </c>
      <c r="I36" s="21" t="n">
        <f aca="false">H36/$B$54</f>
        <v>-0.025891377247672</v>
      </c>
      <c r="J36" s="16" t="n">
        <f aca="false">I36</f>
        <v>-0.025891377247672</v>
      </c>
      <c r="M36" s="13"/>
      <c r="N36" s="14"/>
      <c r="O36" s="13"/>
      <c r="P36" s="13"/>
      <c r="Q36" s="13"/>
    </row>
    <row r="37" customFormat="false" ht="13.8" hidden="false" customHeight="false" outlineLevel="0" collapsed="false">
      <c r="A37" s="14" t="n">
        <v>36</v>
      </c>
      <c r="B37" s="15" t="n">
        <v>1813</v>
      </c>
      <c r="C37" s="16" t="n">
        <f aca="false">SQRT(B37)</f>
        <v>42.5793377120875</v>
      </c>
      <c r="D37" s="17" t="n">
        <f aca="false">B37/30</f>
        <v>60.4333333333333</v>
      </c>
      <c r="E37" s="17" t="n">
        <f aca="false">C37/30</f>
        <v>1.41931125706958</v>
      </c>
      <c r="F37" s="18" t="n">
        <f aca="false">D37/(1-$A$57*D37)*30</f>
        <v>1854.30601392249</v>
      </c>
      <c r="G37" s="19" t="n">
        <f aca="false">SQRT(E37^2+D37^4*$B$57^2)/(1-D37*$A$57)^2*30</f>
        <v>44.6561610335759</v>
      </c>
      <c r="H37" s="20" t="n">
        <f aca="false">F37-$A$54</f>
        <v>-9.45798926625139</v>
      </c>
      <c r="I37" s="21" t="n">
        <f aca="false">H37/$B$54</f>
        <v>-0.224978043594285</v>
      </c>
      <c r="J37" s="16" t="n">
        <f aca="false">I37</f>
        <v>-0.224978043594285</v>
      </c>
      <c r="M37" s="13"/>
      <c r="N37" s="14"/>
      <c r="O37" s="13"/>
      <c r="P37" s="13"/>
      <c r="Q37" s="13"/>
    </row>
    <row r="38" customFormat="false" ht="13.8" hidden="false" customHeight="false" outlineLevel="0" collapsed="false">
      <c r="A38" s="14" t="n">
        <v>37</v>
      </c>
      <c r="B38" s="15" t="n">
        <v>1787</v>
      </c>
      <c r="C38" s="16" t="n">
        <f aca="false">SQRT(B38)</f>
        <v>42.2729227756965</v>
      </c>
      <c r="D38" s="17" t="n">
        <f aca="false">B38/30</f>
        <v>59.5666666666667</v>
      </c>
      <c r="E38" s="17" t="n">
        <f aca="false">C38/30</f>
        <v>1.40909742585655</v>
      </c>
      <c r="F38" s="18" t="n">
        <f aca="false">D38/(1-$A$57*D38)*30</f>
        <v>1827.11667308617</v>
      </c>
      <c r="G38" s="19" t="n">
        <f aca="false">SQRT(E38^2+D38^4*$B$57^2)/(1-D38*$A$57)^2*30</f>
        <v>44.3010305609147</v>
      </c>
      <c r="H38" s="20" t="n">
        <f aca="false">F38-$A$54</f>
        <v>-36.6473301025724</v>
      </c>
      <c r="I38" s="21" t="n">
        <f aca="false">H38/$B$54</f>
        <v>-0.87173334599252</v>
      </c>
      <c r="J38" s="16" t="n">
        <f aca="false">I38</f>
        <v>-0.87173334599252</v>
      </c>
      <c r="M38" s="13"/>
      <c r="N38" s="14"/>
      <c r="O38" s="13"/>
      <c r="P38" s="13"/>
      <c r="Q38" s="13"/>
    </row>
    <row r="39" customFormat="false" ht="13.8" hidden="false" customHeight="false" outlineLevel="0" collapsed="false">
      <c r="A39" s="14" t="n">
        <v>38</v>
      </c>
      <c r="B39" s="15" t="n">
        <v>1901</v>
      </c>
      <c r="C39" s="16" t="n">
        <f aca="false">SQRT(B39)</f>
        <v>43.6004587131833</v>
      </c>
      <c r="D39" s="17" t="n">
        <f aca="false">B39/30</f>
        <v>63.3666666666667</v>
      </c>
      <c r="E39" s="17" t="n">
        <f aca="false">C39/30</f>
        <v>1.45334862377278</v>
      </c>
      <c r="F39" s="18" t="n">
        <f aca="false">D39/(1-$A$57*D39)*30</f>
        <v>1946.46345610939</v>
      </c>
      <c r="G39" s="19" t="n">
        <f aca="false">SQRT(E39^2+D39^4*$B$57^2)/(1-D39*$A$57)^2*30</f>
        <v>45.846324013219</v>
      </c>
      <c r="H39" s="20" t="n">
        <f aca="false">F39-$A$54</f>
        <v>82.6994529206427</v>
      </c>
      <c r="I39" s="21" t="n">
        <f aca="false">H39/$B$54</f>
        <v>1.96717934442931</v>
      </c>
      <c r="J39" s="16" t="n">
        <f aca="false">I39</f>
        <v>1.96717934442931</v>
      </c>
      <c r="M39" s="13"/>
      <c r="N39" s="14"/>
      <c r="O39" s="13"/>
      <c r="P39" s="13"/>
      <c r="Q39" s="13"/>
    </row>
    <row r="40" customFormat="false" ht="13.8" hidden="false" customHeight="false" outlineLevel="0" collapsed="false">
      <c r="A40" s="14" t="n">
        <v>39</v>
      </c>
      <c r="B40" s="15" t="n">
        <v>1792</v>
      </c>
      <c r="C40" s="16" t="n">
        <f aca="false">SQRT(B40)</f>
        <v>42.3320209770335</v>
      </c>
      <c r="D40" s="17" t="n">
        <f aca="false">B40/30</f>
        <v>59.7333333333333</v>
      </c>
      <c r="E40" s="17" t="n">
        <f aca="false">C40/30</f>
        <v>1.41106736590112</v>
      </c>
      <c r="F40" s="18" t="n">
        <f aca="false">D40/(1-$A$57*D40)*30</f>
        <v>1832.34401299045</v>
      </c>
      <c r="G40" s="19" t="n">
        <f aca="false">SQRT(E40^2+D40^4*$B$57^2)/(1-D40*$A$57)^2*30</f>
        <v>44.3694539499382</v>
      </c>
      <c r="H40" s="20" t="n">
        <f aca="false">F40-$A$54</f>
        <v>-31.4199901982986</v>
      </c>
      <c r="I40" s="21" t="n">
        <f aca="false">H40/$B$54</f>
        <v>-0.747390140289987</v>
      </c>
      <c r="J40" s="16" t="n">
        <f aca="false">I40</f>
        <v>-0.747390140289987</v>
      </c>
      <c r="M40" s="13"/>
      <c r="N40" s="14"/>
      <c r="O40" s="13"/>
      <c r="P40" s="13"/>
      <c r="Q40" s="13"/>
    </row>
    <row r="41" customFormat="false" ht="13.8" hidden="false" customHeight="false" outlineLevel="0" collapsed="false">
      <c r="A41" s="14" t="n">
        <v>40</v>
      </c>
      <c r="B41" s="15" t="n">
        <v>1807</v>
      </c>
      <c r="C41" s="16" t="n">
        <f aca="false">SQRT(B41)</f>
        <v>42.5088226136646</v>
      </c>
      <c r="D41" s="17" t="n">
        <f aca="false">B41/30</f>
        <v>60.2333333333333</v>
      </c>
      <c r="E41" s="17" t="n">
        <f aca="false">C41/30</f>
        <v>1.41696075378882</v>
      </c>
      <c r="F41" s="18" t="n">
        <f aca="false">D41/(1-$A$57*D41)*30</f>
        <v>1848.02997379847</v>
      </c>
      <c r="G41" s="19" t="n">
        <f aca="false">SQRT(E41^2+D41^4*$B$57^2)/(1-D41*$A$57)^2*30</f>
        <v>44.5743544819707</v>
      </c>
      <c r="H41" s="20" t="n">
        <f aca="false">F41-$A$54</f>
        <v>-15.7340293902716</v>
      </c>
      <c r="I41" s="21" t="n">
        <f aca="false">H41/$B$54</f>
        <v>-0.374266775995324</v>
      </c>
      <c r="J41" s="16" t="n">
        <f aca="false">I41</f>
        <v>-0.374266775995324</v>
      </c>
      <c r="M41" s="13"/>
      <c r="N41" s="14"/>
      <c r="O41" s="13"/>
      <c r="P41" s="13"/>
      <c r="Q41" s="13"/>
    </row>
    <row r="42" customFormat="false" ht="13.8" hidden="false" customHeight="false" outlineLevel="0" collapsed="false">
      <c r="A42" s="14" t="n">
        <v>41</v>
      </c>
      <c r="B42" s="15" t="n">
        <v>1844</v>
      </c>
      <c r="C42" s="16" t="n">
        <f aca="false">SQRT(B42)</f>
        <v>42.9418211071678</v>
      </c>
      <c r="D42" s="17" t="n">
        <f aca="false">B42/30</f>
        <v>61.4666666666667</v>
      </c>
      <c r="E42" s="17" t="n">
        <f aca="false">C42/30</f>
        <v>1.43139403690559</v>
      </c>
      <c r="F42" s="18" t="n">
        <f aca="false">D42/(1-$A$57*D42)*30</f>
        <v>1886.74730412732</v>
      </c>
      <c r="G42" s="19" t="n">
        <f aca="false">SQRT(E42^2+D42^4*$B$57^2)/(1-D42*$A$57)^2*30</f>
        <v>45.0774577765553</v>
      </c>
      <c r="H42" s="20" t="n">
        <f aca="false">F42-$A$54</f>
        <v>22.9833009385786</v>
      </c>
      <c r="I42" s="21" t="n">
        <f aca="false">H42/$B$54</f>
        <v>0.546705852051521</v>
      </c>
      <c r="J42" s="16" t="n">
        <f aca="false">I42</f>
        <v>0.546705852051521</v>
      </c>
      <c r="M42" s="13"/>
      <c r="N42" s="14"/>
      <c r="O42" s="13"/>
      <c r="P42" s="13"/>
      <c r="Q42" s="13"/>
    </row>
    <row r="43" customFormat="false" ht="13.8" hidden="false" customHeight="false" outlineLevel="0" collapsed="false">
      <c r="A43" s="14" t="n">
        <v>42</v>
      </c>
      <c r="B43" s="15" t="n">
        <v>1784</v>
      </c>
      <c r="C43" s="16" t="n">
        <f aca="false">SQRT(B43)</f>
        <v>42.2374241638858</v>
      </c>
      <c r="D43" s="17" t="n">
        <f aca="false">B43/30</f>
        <v>59.4666666666667</v>
      </c>
      <c r="E43" s="17" t="n">
        <f aca="false">C43/30</f>
        <v>1.40791413879619</v>
      </c>
      <c r="F43" s="18" t="n">
        <f aca="false">D43/(1-$A$57*D43)*30</f>
        <v>1823.98058434013</v>
      </c>
      <c r="G43" s="19" t="n">
        <f aca="false">SQRT(E43^2+D43^4*$B$57^2)/(1-D43*$A$57)^2*30</f>
        <v>44.2599466871224</v>
      </c>
      <c r="H43" s="20" t="n">
        <f aca="false">F43-$A$54</f>
        <v>-39.783418848617</v>
      </c>
      <c r="I43" s="21" t="n">
        <f aca="false">H43/$B$54</f>
        <v>-0.946331771806003</v>
      </c>
      <c r="J43" s="16" t="n">
        <f aca="false">I43</f>
        <v>-0.946331771806003</v>
      </c>
      <c r="M43" s="13"/>
      <c r="N43" s="14"/>
      <c r="O43" s="13"/>
      <c r="P43" s="13"/>
      <c r="Q43" s="13"/>
    </row>
    <row r="44" customFormat="false" ht="13.8" hidden="false" customHeight="false" outlineLevel="0" collapsed="false">
      <c r="A44" s="14" t="n">
        <v>43</v>
      </c>
      <c r="B44" s="15" t="n">
        <v>1769</v>
      </c>
      <c r="C44" s="16" t="n">
        <f aca="false">SQRT(B44)</f>
        <v>42.0594816896262</v>
      </c>
      <c r="D44" s="17" t="n">
        <f aca="false">B44/30</f>
        <v>58.9666666666667</v>
      </c>
      <c r="E44" s="17" t="n">
        <f aca="false">C44/30</f>
        <v>1.40198272298754</v>
      </c>
      <c r="F44" s="18" t="n">
        <f aca="false">D44/(1-$A$57*D44)*30</f>
        <v>1808.30368554644</v>
      </c>
      <c r="G44" s="19" t="n">
        <f aca="false">SQRT(E44^2+D44^4*$B$57^2)/(1-D44*$A$57)^2*30</f>
        <v>44.0541885448742</v>
      </c>
      <c r="H44" s="20" t="n">
        <f aca="false">F44-$A$54</f>
        <v>-55.460317642307</v>
      </c>
      <c r="I44" s="21" t="n">
        <f aca="false">H44/$B$54</f>
        <v>-1.31923957714842</v>
      </c>
      <c r="J44" s="16" t="n">
        <f aca="false">I44</f>
        <v>-1.31923957714842</v>
      </c>
      <c r="M44" s="13"/>
      <c r="N44" s="14"/>
      <c r="O44" s="13"/>
      <c r="P44" s="13"/>
      <c r="Q44" s="13"/>
    </row>
    <row r="45" customFormat="false" ht="13.8" hidden="false" customHeight="false" outlineLevel="0" collapsed="false">
      <c r="A45" s="14" t="n">
        <v>44</v>
      </c>
      <c r="B45" s="15" t="n">
        <v>1837</v>
      </c>
      <c r="C45" s="16" t="n">
        <f aca="false">SQRT(B45)</f>
        <v>42.8602379834737</v>
      </c>
      <c r="D45" s="17" t="n">
        <f aca="false">B45/30</f>
        <v>61.2333333333333</v>
      </c>
      <c r="E45" s="17" t="n">
        <f aca="false">C45/30</f>
        <v>1.42867459944912</v>
      </c>
      <c r="F45" s="18" t="n">
        <f aca="false">D45/(1-$A$57*D45)*30</f>
        <v>1879.41964148967</v>
      </c>
      <c r="G45" s="19" t="n">
        <f aca="false">SQRT(E45^2+D45^4*$B$57^2)/(1-D45*$A$57)^2*30</f>
        <v>44.9825246170175</v>
      </c>
      <c r="H45" s="20" t="n">
        <f aca="false">F45-$A$54</f>
        <v>15.6556383009258</v>
      </c>
      <c r="I45" s="21" t="n">
        <f aca="false">H45/$B$54</f>
        <v>0.372402080083776</v>
      </c>
      <c r="J45" s="16" t="n">
        <f aca="false">I45</f>
        <v>0.372402080083776</v>
      </c>
      <c r="M45" s="13"/>
      <c r="N45" s="14"/>
      <c r="O45" s="13"/>
      <c r="P45" s="13"/>
      <c r="Q45" s="13"/>
    </row>
    <row r="46" customFormat="false" ht="13.8" hidden="false" customHeight="false" outlineLevel="0" collapsed="false">
      <c r="A46" s="14" t="n">
        <v>45</v>
      </c>
      <c r="B46" s="15" t="n">
        <v>1781</v>
      </c>
      <c r="C46" s="16" t="n">
        <f aca="false">SQRT(B46)</f>
        <v>42.2018956920184</v>
      </c>
      <c r="D46" s="17" t="n">
        <f aca="false">B46/30</f>
        <v>59.3666666666667</v>
      </c>
      <c r="E46" s="17" t="n">
        <f aca="false">C46/30</f>
        <v>1.40672985640061</v>
      </c>
      <c r="F46" s="18" t="n">
        <f aca="false">D46/(1-$A$57*D46)*30</f>
        <v>1820.84473195881</v>
      </c>
      <c r="G46" s="19" t="n">
        <f aca="false">SQRT(E46^2+D46^4*$B$57^2)/(1-D46*$A$57)^2*30</f>
        <v>44.2188403355627</v>
      </c>
      <c r="H46" s="20" t="n">
        <f aca="false">F46-$A$54</f>
        <v>-42.9192712299353</v>
      </c>
      <c r="I46" s="21" t="n">
        <f aca="false">H46/$B$54</f>
        <v>-1.02092457519043</v>
      </c>
      <c r="J46" s="16" t="n">
        <f aca="false">I46</f>
        <v>-1.02092457519043</v>
      </c>
      <c r="M46" s="13"/>
      <c r="N46" s="14"/>
      <c r="O46" s="13"/>
      <c r="P46" s="13"/>
      <c r="Q46" s="13"/>
    </row>
    <row r="47" customFormat="false" ht="13.8" hidden="false" customHeight="false" outlineLevel="0" collapsed="false">
      <c r="A47" s="14" t="n">
        <v>46</v>
      </c>
      <c r="B47" s="15" t="n">
        <v>1829</v>
      </c>
      <c r="C47" s="16" t="n">
        <f aca="false">SQRT(B47)</f>
        <v>42.7668095606862</v>
      </c>
      <c r="D47" s="17" t="n">
        <f aca="false">B47/30</f>
        <v>60.9666666666667</v>
      </c>
      <c r="E47" s="17" t="n">
        <f aca="false">C47/30</f>
        <v>1.42556031868954</v>
      </c>
      <c r="F47" s="18" t="n">
        <f aca="false">D47/(1-$A$57*D47)*30</f>
        <v>1871.04674880036</v>
      </c>
      <c r="G47" s="19" t="n">
        <f aca="false">SQRT(E47^2+D47^4*$B$57^2)/(1-D47*$A$57)^2*30</f>
        <v>44.8738887841946</v>
      </c>
      <c r="H47" s="20" t="n">
        <f aca="false">F47-$A$54</f>
        <v>7.28274561161311</v>
      </c>
      <c r="I47" s="21" t="n">
        <f aca="false">H47/$B$54</f>
        <v>0.173235326618738</v>
      </c>
      <c r="J47" s="16" t="n">
        <f aca="false">I47</f>
        <v>0.173235326618738</v>
      </c>
      <c r="M47" s="13"/>
      <c r="N47" s="14"/>
      <c r="O47" s="13"/>
      <c r="P47" s="13"/>
      <c r="Q47" s="13"/>
    </row>
    <row r="48" customFormat="false" ht="13.8" hidden="false" customHeight="false" outlineLevel="0" collapsed="false">
      <c r="A48" s="14" t="n">
        <v>47</v>
      </c>
      <c r="B48" s="15" t="n">
        <v>1907</v>
      </c>
      <c r="C48" s="16" t="n">
        <f aca="false">SQRT(B48)</f>
        <v>43.6692111217961</v>
      </c>
      <c r="D48" s="17" t="n">
        <f aca="false">B48/30</f>
        <v>63.5666666666667</v>
      </c>
      <c r="E48" s="17" t="n">
        <f aca="false">C48/30</f>
        <v>1.45564037072654</v>
      </c>
      <c r="F48" s="18" t="n">
        <f aca="false">D48/(1-$A$57*D48)*30</f>
        <v>1952.7543492577</v>
      </c>
      <c r="G48" s="19" t="n">
        <f aca="false">SQRT(E48^2+D48^4*$B$57^2)/(1-D48*$A$57)^2*30</f>
        <v>45.9268378879215</v>
      </c>
      <c r="H48" s="20" t="n">
        <f aca="false">F48-$A$54</f>
        <v>88.9903460689602</v>
      </c>
      <c r="I48" s="21" t="n">
        <f aca="false">H48/$B$54</f>
        <v>2.11682138705875</v>
      </c>
      <c r="J48" s="16" t="n">
        <f aca="false">I48</f>
        <v>2.11682138705875</v>
      </c>
      <c r="M48" s="13"/>
      <c r="N48" s="14"/>
      <c r="O48" s="13"/>
      <c r="P48" s="13"/>
      <c r="Q48" s="13"/>
    </row>
    <row r="49" customFormat="false" ht="13.8" hidden="false" customHeight="false" outlineLevel="0" collapsed="false">
      <c r="A49" s="14" t="n">
        <v>48</v>
      </c>
      <c r="B49" s="15" t="n">
        <v>1761</v>
      </c>
      <c r="C49" s="16" t="n">
        <f aca="false">SQRT(B49)</f>
        <v>41.9642705167146</v>
      </c>
      <c r="D49" s="17" t="n">
        <f aca="false">B49/30</f>
        <v>58.7</v>
      </c>
      <c r="E49" s="17" t="n">
        <f aca="false">C49/30</f>
        <v>1.39880901722382</v>
      </c>
      <c r="F49" s="18" t="n">
        <f aca="false">D49/(1-$A$57*D49)*30</f>
        <v>1799.94508787626</v>
      </c>
      <c r="G49" s="19" t="n">
        <f aca="false">SQRT(E49^2+D49^4*$B$57^2)/(1-D49*$A$57)^2*30</f>
        <v>43.9442176137476</v>
      </c>
      <c r="H49" s="20" t="n">
        <f aca="false">F49-$A$54</f>
        <v>-63.8189153124811</v>
      </c>
      <c r="I49" s="21" t="n">
        <f aca="false">H49/$B$54</f>
        <v>-1.51806629370409</v>
      </c>
      <c r="J49" s="16" t="n">
        <f aca="false">I49</f>
        <v>-1.51806629370409</v>
      </c>
      <c r="M49" s="13"/>
      <c r="N49" s="14"/>
      <c r="O49" s="13"/>
      <c r="P49" s="13"/>
      <c r="Q49" s="13"/>
    </row>
    <row r="50" customFormat="false" ht="13.8" hidden="false" customHeight="false" outlineLevel="0" collapsed="false">
      <c r="A50" s="14" t="n">
        <v>49</v>
      </c>
      <c r="B50" s="15" t="n">
        <v>1845</v>
      </c>
      <c r="C50" s="16" t="n">
        <f aca="false">SQRT(B50)</f>
        <v>42.9534631898291</v>
      </c>
      <c r="D50" s="17" t="n">
        <f aca="false">B50/30</f>
        <v>61.5</v>
      </c>
      <c r="E50" s="17" t="n">
        <f aca="false">C50/30</f>
        <v>1.43178210632764</v>
      </c>
      <c r="F50" s="18" t="n">
        <f aca="false">D50/(1-$A$57*D50)*30</f>
        <v>1887.7942183565</v>
      </c>
      <c r="G50" s="19" t="n">
        <f aca="false">SQRT(E50^2+D50^4*$B$57^2)/(1-D50*$A$57)^2*30</f>
        <v>45.0910103293279</v>
      </c>
      <c r="H50" s="20" t="n">
        <f aca="false">F50-$A$54</f>
        <v>24.0302151677577</v>
      </c>
      <c r="I50" s="21" t="n">
        <f aca="false">H50/$B$54</f>
        <v>0.571608895231339</v>
      </c>
      <c r="J50" s="16" t="n">
        <f aca="false">I50</f>
        <v>0.571608895231339</v>
      </c>
      <c r="M50" s="13"/>
      <c r="N50" s="14"/>
      <c r="O50" s="13"/>
      <c r="P50" s="13"/>
      <c r="Q50" s="13"/>
    </row>
    <row r="51" customFormat="false" ht="13.8" hidden="false" customHeight="false" outlineLevel="0" collapsed="false">
      <c r="A51" s="14" t="n">
        <v>50</v>
      </c>
      <c r="B51" s="15" t="n">
        <v>1796</v>
      </c>
      <c r="C51" s="16" t="n">
        <f aca="false">SQRT(B51)</f>
        <v>42.3792402008342</v>
      </c>
      <c r="D51" s="17" t="n">
        <f aca="false">B51/30</f>
        <v>59.8666666666667</v>
      </c>
      <c r="E51" s="17" t="n">
        <f aca="false">C51/30</f>
        <v>1.41264134002781</v>
      </c>
      <c r="F51" s="18" t="n">
        <f aca="false">D51/(1-$A$57*D51)*30</f>
        <v>1836.52635777993</v>
      </c>
      <c r="G51" s="19" t="n">
        <f aca="false">SQRT(E51^2+D51^4*$B$57^2)/(1-D51*$A$57)^2*30</f>
        <v>44.4241481122848</v>
      </c>
      <c r="H51" s="20" t="n">
        <f aca="false">F51-$A$54</f>
        <v>-27.2376454088121</v>
      </c>
      <c r="I51" s="21" t="n">
        <f aca="false">H51/$B$54</f>
        <v>-0.647904327620171</v>
      </c>
      <c r="J51" s="16" t="n">
        <f aca="false">I51</f>
        <v>-0.647904327620171</v>
      </c>
      <c r="M51" s="13"/>
      <c r="N51" s="14"/>
      <c r="O51" s="13"/>
      <c r="P51" s="13"/>
      <c r="Q51" s="13"/>
    </row>
    <row r="52" customFormat="false" ht="13.8" hidden="false" customHeight="false" outlineLevel="0" collapsed="false">
      <c r="A52" s="14"/>
      <c r="B52" s="15"/>
      <c r="C52" s="13"/>
      <c r="D52" s="14"/>
      <c r="E52" s="13"/>
      <c r="F52" s="2"/>
      <c r="G52" s="13"/>
      <c r="H52" s="14"/>
      <c r="I52" s="13"/>
      <c r="J52" s="14"/>
      <c r="K52" s="13"/>
      <c r="L52" s="13"/>
      <c r="M52" s="13"/>
    </row>
    <row r="53" customFormat="false" ht="14" hidden="false" customHeight="false" outlineLevel="0" collapsed="false">
      <c r="A53" s="8" t="s">
        <v>75</v>
      </c>
      <c r="B53" s="23" t="s">
        <v>76</v>
      </c>
      <c r="C53" s="13"/>
      <c r="D53" s="14"/>
      <c r="E53" s="13"/>
      <c r="F53" s="2"/>
      <c r="G53" s="13"/>
      <c r="H53" s="14"/>
      <c r="I53" s="13"/>
      <c r="J53" s="14"/>
      <c r="K53" s="13"/>
      <c r="L53" s="13"/>
      <c r="M53" s="13"/>
    </row>
    <row r="54" customFormat="false" ht="13.8" hidden="false" customHeight="false" outlineLevel="0" collapsed="false">
      <c r="A54" s="14" t="n">
        <f aca="false">AVERAGE(F2:F51)</f>
        <v>1863.76400318874</v>
      </c>
      <c r="B54" s="15" t="n">
        <f aca="false">SQRT(SUMSQ(H2:H51)/50)</f>
        <v>42.0396102444001</v>
      </c>
      <c r="C54" s="13"/>
      <c r="D54" s="14"/>
      <c r="E54" s="13"/>
      <c r="F54" s="2"/>
      <c r="G54" s="13"/>
      <c r="H54" s="14"/>
      <c r="I54" s="13"/>
      <c r="J54" s="14"/>
      <c r="K54" s="13"/>
      <c r="L54" s="13"/>
      <c r="M54" s="13"/>
    </row>
    <row r="56" customFormat="false" ht="13.8" hidden="false" customHeight="false" outlineLevel="0" collapsed="false">
      <c r="A56" s="8" t="s">
        <v>77</v>
      </c>
      <c r="B56" s="23" t="s">
        <v>78</v>
      </c>
    </row>
    <row r="57" customFormat="false" ht="13.8" hidden="false" customHeight="false" outlineLevel="0" collapsed="false">
      <c r="A57" s="24" t="n">
        <v>0.0003686</v>
      </c>
      <c r="B57" s="25" t="n">
        <v>2.78866781830166E-005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2017-10-29T10:43:36Z</dcterms:created>
  <dc:creator>Francisco Duque</dc:creator>
  <dc:description/>
  <dc:language>pt-PT</dc:language>
  <cp:lastModifiedBy/>
  <dcterms:modified xsi:type="dcterms:W3CDTF">2017-10-29T19:23:01Z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