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25600" windowHeight="12000" activeTab="4"/>
  </bookViews>
  <sheets>
    <sheet name="Pre" sheetId="2" r:id="rId1"/>
    <sheet name="Calibração" sheetId="1" r:id="rId2"/>
    <sheet name="Massa eletrao" sheetId="4" r:id="rId3"/>
    <sheet name="Seção eficaz Diferencial " sheetId="3" r:id="rId4"/>
    <sheet name="Picos" sheetId="5" r:id="rId5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4" l="1"/>
  <c r="J3" i="4"/>
  <c r="P4" i="4"/>
  <c r="P5" i="4"/>
  <c r="P6" i="4"/>
  <c r="P7" i="4"/>
  <c r="P8" i="4"/>
  <c r="P9" i="4"/>
  <c r="J5" i="4"/>
  <c r="J6" i="4"/>
  <c r="J7" i="4"/>
  <c r="J8" i="4"/>
  <c r="J9" i="4"/>
  <c r="J4" i="4"/>
  <c r="F4" i="4"/>
  <c r="F5" i="4"/>
  <c r="F6" i="4"/>
  <c r="F7" i="4"/>
  <c r="F8" i="4"/>
  <c r="F9" i="4"/>
  <c r="F3" i="4"/>
  <c r="M3" i="4"/>
  <c r="O4" i="4"/>
  <c r="O5" i="4"/>
  <c r="O6" i="4"/>
  <c r="O7" i="4"/>
  <c r="O8" i="4"/>
  <c r="O9" i="4"/>
  <c r="O3" i="4"/>
  <c r="N4" i="4"/>
  <c r="N5" i="4"/>
  <c r="N6" i="4"/>
  <c r="N7" i="4"/>
  <c r="N8" i="4"/>
  <c r="N9" i="4"/>
  <c r="N3" i="4"/>
  <c r="M4" i="4"/>
  <c r="M5" i="4"/>
  <c r="M6" i="4"/>
  <c r="M7" i="4"/>
  <c r="M8" i="4"/>
  <c r="M9" i="4"/>
  <c r="L9" i="4"/>
  <c r="K9" i="4"/>
  <c r="L4" i="4"/>
  <c r="L5" i="4"/>
  <c r="L6" i="4"/>
  <c r="L7" i="4"/>
  <c r="L8" i="4"/>
  <c r="K4" i="4"/>
  <c r="K5" i="4"/>
  <c r="K6" i="4"/>
  <c r="K7" i="4"/>
  <c r="K8" i="4"/>
  <c r="K3" i="4"/>
  <c r="L3" i="4"/>
  <c r="E8" i="4"/>
  <c r="I5" i="4"/>
  <c r="I6" i="4"/>
  <c r="I7" i="4"/>
  <c r="I8" i="4"/>
  <c r="I9" i="4"/>
  <c r="I4" i="4"/>
  <c r="E4" i="4"/>
  <c r="E5" i="4"/>
  <c r="E6" i="4"/>
  <c r="E7" i="4"/>
  <c r="E9" i="4"/>
  <c r="E3" i="4"/>
  <c r="H6" i="3"/>
  <c r="J6" i="3"/>
  <c r="G6" i="3"/>
  <c r="I6" i="3"/>
  <c r="H8" i="3"/>
  <c r="J8" i="3"/>
  <c r="H9" i="3"/>
  <c r="J9" i="3"/>
  <c r="H10" i="3"/>
  <c r="J10" i="3"/>
  <c r="H11" i="3"/>
  <c r="J11" i="3"/>
  <c r="H7" i="3"/>
  <c r="J7" i="3"/>
  <c r="G8" i="3"/>
  <c r="I8" i="3"/>
  <c r="G9" i="3"/>
  <c r="I9" i="3"/>
  <c r="G10" i="3"/>
  <c r="I10" i="3"/>
  <c r="G11" i="3"/>
  <c r="I11" i="3"/>
  <c r="G7" i="3"/>
  <c r="I7" i="3"/>
  <c r="C6" i="3"/>
  <c r="C4" i="3"/>
  <c r="C5" i="3"/>
  <c r="C7" i="3"/>
  <c r="C8" i="3"/>
  <c r="C9" i="3"/>
  <c r="C10" i="3"/>
  <c r="C11" i="3"/>
  <c r="C3" i="3"/>
  <c r="J4" i="1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G11" i="2"/>
  <c r="F11" i="2"/>
  <c r="H10" i="2"/>
  <c r="H9" i="2"/>
  <c r="H8" i="2"/>
  <c r="H7" i="2"/>
  <c r="H6" i="2"/>
  <c r="H5" i="2"/>
  <c r="H4" i="2"/>
  <c r="J3" i="1"/>
  <c r="J2" i="1"/>
</calcChain>
</file>

<file path=xl/sharedStrings.xml><?xml version="1.0" encoding="utf-8"?>
<sst xmlns="http://schemas.openxmlformats.org/spreadsheetml/2006/main" count="91" uniqueCount="69">
  <si>
    <t>Nt</t>
  </si>
  <si>
    <t>Erro Nt</t>
  </si>
  <si>
    <t>Ns</t>
  </si>
  <si>
    <t>Erro Ns</t>
  </si>
  <si>
    <t>Energia teorica</t>
  </si>
  <si>
    <t>C</t>
  </si>
  <si>
    <t>ErroC</t>
  </si>
  <si>
    <t>FWHM</t>
  </si>
  <si>
    <t>Cesio</t>
  </si>
  <si>
    <t>t_aq</t>
  </si>
  <si>
    <t>Fonte</t>
  </si>
  <si>
    <t>Cobalto</t>
  </si>
  <si>
    <t>Sodio</t>
  </si>
  <si>
    <t>Theta (º)</t>
  </si>
  <si>
    <t>Theta (rad)</t>
  </si>
  <si>
    <t>Seção Eficaz Dif (cm^2/Sr)</t>
  </si>
  <si>
    <t>1/Sec Eficaz Dif</t>
  </si>
  <si>
    <t>t aq (s)</t>
  </si>
  <si>
    <t>Dados</t>
  </si>
  <si>
    <t>r0 (cm)</t>
  </si>
  <si>
    <t>alpha</t>
  </si>
  <si>
    <t>Total</t>
  </si>
  <si>
    <t xml:space="preserve">Angulo (º) </t>
  </si>
  <si>
    <t>Angulo (rad)</t>
  </si>
  <si>
    <t>Contagens</t>
  </si>
  <si>
    <t>Erro Contagens</t>
  </si>
  <si>
    <t>Contagens Corr</t>
  </si>
  <si>
    <t>Erro Contagens Corr</t>
  </si>
  <si>
    <t>R (counts/s)</t>
  </si>
  <si>
    <t>Erro R (conts/s)</t>
  </si>
  <si>
    <t>t aqui</t>
  </si>
  <si>
    <t>sem dif</t>
  </si>
  <si>
    <t>com dif</t>
  </si>
  <si>
    <t>-</t>
  </si>
  <si>
    <t>Centroide</t>
  </si>
  <si>
    <t>Erro Centroide</t>
  </si>
  <si>
    <t>Erro 1/EnM</t>
  </si>
  <si>
    <t>1-Cos()</t>
  </si>
  <si>
    <t>par</t>
  </si>
  <si>
    <t>err</t>
  </si>
  <si>
    <t>a</t>
  </si>
  <si>
    <t>b</t>
  </si>
  <si>
    <t>Calibração (ax+b)</t>
  </si>
  <si>
    <t>Erro Angulo</t>
  </si>
  <si>
    <t xml:space="preserve"> Eteorica (keV)</t>
  </si>
  <si>
    <t>Erro Eteorica (keV)</t>
  </si>
  <si>
    <t>Emedida</t>
  </si>
  <si>
    <t>Erro Emedida</t>
  </si>
  <si>
    <t>1/Emedida</t>
  </si>
  <si>
    <t>Erro 1-Cos()</t>
  </si>
  <si>
    <t>Fundo</t>
  </si>
  <si>
    <t>Dados do pico</t>
  </si>
  <si>
    <t>Evento</t>
  </si>
  <si>
    <t>p0</t>
  </si>
  <si>
    <t>ep0</t>
  </si>
  <si>
    <t>p1</t>
  </si>
  <si>
    <t>ep1</t>
  </si>
  <si>
    <t>erro Centroide</t>
  </si>
  <si>
    <t>sigma</t>
  </si>
  <si>
    <t>erro sigma</t>
  </si>
  <si>
    <t>erro Ns</t>
  </si>
  <si>
    <t>Chi ^2/Ndf</t>
  </si>
  <si>
    <t>c0s</t>
  </si>
  <si>
    <t>c0c</t>
  </si>
  <si>
    <t>c10s</t>
  </si>
  <si>
    <t>c10c</t>
  </si>
  <si>
    <t>c20</t>
  </si>
  <si>
    <t>c30</t>
  </si>
  <si>
    <t>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</si>
</sst>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workbookViewId="0">
      <selection activeCell="D22" sqref="D22"/>
    </sheetView>
  </sheetViews>
  <sheetFormatPr baseColWidth="10" defaultRowHeight="14" x14ac:dyDescent="0"/>
  <sheetData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/>
      <c r="B3" s="7"/>
      <c r="C3" s="7"/>
      <c r="D3" s="8" t="s">
        <v>13</v>
      </c>
      <c r="E3" s="8" t="s">
        <v>14</v>
      </c>
      <c r="F3" s="8" t="s">
        <v>15</v>
      </c>
      <c r="G3" s="9" t="s">
        <v>16</v>
      </c>
      <c r="H3" s="9" t="s">
        <v>17</v>
      </c>
      <c r="I3" s="7"/>
      <c r="J3" s="7"/>
      <c r="K3" s="7"/>
    </row>
    <row r="4" spans="1:11">
      <c r="A4" s="7"/>
      <c r="B4" s="7"/>
      <c r="C4" s="7"/>
      <c r="D4" s="7">
        <v>0</v>
      </c>
      <c r="E4" s="7">
        <f>D4*PI()/180</f>
        <v>0</v>
      </c>
      <c r="F4" s="7">
        <f>(($B$7*$B$7)/2)*((1+COS(E4)*COS(E4))/(1+$B$8*(1-COS(E4))^2))*(1+(($B$8*$B$8)*(1-COS(E4))^2)/((1+COS(E4)*COS(E4))*(1+$B$8*(1-COS(E4)))))</f>
        <v>7.9524000000000002E-26</v>
      </c>
      <c r="G4" s="7">
        <f>1/F4</f>
        <v>1.2574820180071424E+25</v>
      </c>
      <c r="H4" s="10">
        <f>(G4/$G$11)*3600</f>
        <v>344.57466923811342</v>
      </c>
      <c r="I4" s="7"/>
      <c r="J4" s="7"/>
      <c r="K4" s="7"/>
    </row>
    <row r="5" spans="1:11" ht="15" thickBot="1">
      <c r="A5" s="7"/>
      <c r="B5" s="7"/>
      <c r="C5" s="7"/>
      <c r="D5" s="7">
        <v>10</v>
      </c>
      <c r="E5" s="7">
        <f t="shared" ref="E5:E10" si="0">D5*PI()/180</f>
        <v>0.17453292519943295</v>
      </c>
      <c r="F5" s="7">
        <f t="shared" ref="F5:F10" si="1">(($B$7*$B$7)/2)*((1+COS(E5)*COS(E5))/(1+$B$8*(1-COS(E5))^2))*(1+(($B$8*$B$8)*(1-COS(E5))^2)/((1+COS(E5)*COS(E5))*(1+$B$8*(1-COS(E5)))))</f>
        <v>7.8316689473670242E-26</v>
      </c>
      <c r="G5" s="7">
        <f t="shared" ref="G5:G9" si="2">1/F5</f>
        <v>1.2768670467566126E+25</v>
      </c>
      <c r="H5" s="10">
        <f t="shared" ref="H5:H10" si="3">(G5/$G$11)*3600</f>
        <v>349.88654628595049</v>
      </c>
      <c r="I5" s="7"/>
      <c r="J5" s="7"/>
      <c r="K5" s="7"/>
    </row>
    <row r="6" spans="1:11">
      <c r="A6" s="26" t="s">
        <v>18</v>
      </c>
      <c r="B6" s="27"/>
      <c r="C6" s="7"/>
      <c r="D6" s="7">
        <v>20</v>
      </c>
      <c r="E6" s="7">
        <f t="shared" si="0"/>
        <v>0.3490658503988659</v>
      </c>
      <c r="F6" s="7">
        <f t="shared" si="1"/>
        <v>7.4745327611324064E-26</v>
      </c>
      <c r="G6" s="7">
        <f t="shared" si="2"/>
        <v>1.3378762686010331E+25</v>
      </c>
      <c r="H6" s="10">
        <f t="shared" si="3"/>
        <v>366.60426640956064</v>
      </c>
      <c r="I6" s="7"/>
      <c r="J6" s="7"/>
      <c r="K6" s="7"/>
    </row>
    <row r="7" spans="1:11">
      <c r="A7" s="11" t="s">
        <v>19</v>
      </c>
      <c r="B7" s="12">
        <v>2.8200000000000001E-13</v>
      </c>
      <c r="C7" s="7"/>
      <c r="D7" s="7">
        <v>30</v>
      </c>
      <c r="E7" s="7">
        <f t="shared" si="0"/>
        <v>0.52359877559829882</v>
      </c>
      <c r="F7" s="7">
        <f t="shared" si="1"/>
        <v>6.8998524557820298E-26</v>
      </c>
      <c r="G7" s="7">
        <f t="shared" si="2"/>
        <v>1.4493063531554313E+25</v>
      </c>
      <c r="H7" s="10">
        <f t="shared" si="3"/>
        <v>397.13828914601032</v>
      </c>
      <c r="I7" s="7"/>
      <c r="J7" s="7"/>
      <c r="K7" s="7"/>
    </row>
    <row r="8" spans="1:11" ht="15" thickBot="1">
      <c r="A8" s="13" t="s">
        <v>20</v>
      </c>
      <c r="B8" s="14">
        <v>1.29</v>
      </c>
      <c r="C8" s="7"/>
      <c r="D8" s="7">
        <v>50</v>
      </c>
      <c r="E8" s="7">
        <f t="shared" si="0"/>
        <v>0.87266462599716477</v>
      </c>
      <c r="F8" s="7">
        <f t="shared" si="1"/>
        <v>5.3211562671111247E-26</v>
      </c>
      <c r="G8" s="7">
        <f t="shared" si="2"/>
        <v>1.8792907965901622E+25</v>
      </c>
      <c r="H8" s="10">
        <f t="shared" si="3"/>
        <v>514.96243712775527</v>
      </c>
      <c r="I8" s="7"/>
      <c r="J8" s="7"/>
      <c r="K8" s="7"/>
    </row>
    <row r="9" spans="1:11">
      <c r="A9" s="7"/>
      <c r="B9" s="7"/>
      <c r="C9" s="7"/>
      <c r="D9" s="7">
        <v>70</v>
      </c>
      <c r="E9" s="7">
        <f t="shared" si="0"/>
        <v>1.2217304763960306</v>
      </c>
      <c r="F9" s="7">
        <f t="shared" si="1"/>
        <v>3.8439794620989795E-26</v>
      </c>
      <c r="G9" s="7">
        <f t="shared" si="2"/>
        <v>2.6014707150749359E+25</v>
      </c>
      <c r="H9" s="10">
        <f t="shared" si="3"/>
        <v>712.85386060645283</v>
      </c>
      <c r="I9" s="7"/>
      <c r="J9" s="7"/>
      <c r="K9" s="7"/>
    </row>
    <row r="10" spans="1:11" ht="15" thickBot="1">
      <c r="A10" s="7"/>
      <c r="B10" s="7"/>
      <c r="C10" s="7"/>
      <c r="D10" s="7">
        <v>90</v>
      </c>
      <c r="E10" s="7">
        <f t="shared" si="0"/>
        <v>1.5707963267948966</v>
      </c>
      <c r="F10" s="7">
        <f t="shared" si="1"/>
        <v>2.9980916496634308E-26</v>
      </c>
      <c r="G10" s="7">
        <f>1/F10</f>
        <v>3.335455072269926E+25</v>
      </c>
      <c r="H10" s="10">
        <f t="shared" si="3"/>
        <v>913.97993118615659</v>
      </c>
      <c r="I10" s="7"/>
      <c r="J10" s="7"/>
      <c r="K10" s="7"/>
    </row>
    <row r="11" spans="1:11" ht="15" thickBot="1">
      <c r="A11" s="7"/>
      <c r="B11" s="7"/>
      <c r="C11" s="7"/>
      <c r="D11" s="7"/>
      <c r="E11" s="7" t="s">
        <v>21</v>
      </c>
      <c r="F11" s="15">
        <f>SUM(F4:F10)</f>
        <v>4.2321681543154998E-25</v>
      </c>
      <c r="G11" s="15">
        <f>SUM(G4:G10)</f>
        <v>1.3137748270455245E+26</v>
      </c>
      <c r="H11" s="10"/>
      <c r="I11" s="7"/>
      <c r="J11" s="7"/>
      <c r="K11" s="7"/>
    </row>
    <row r="12" spans="1:1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</sheetData>
  <mergeCells count="1">
    <mergeCell ref="A6:B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28" sqref="F28"/>
    </sheetView>
  </sheetViews>
  <sheetFormatPr baseColWidth="10" defaultColWidth="8.83203125" defaultRowHeight="14" x14ac:dyDescent="0"/>
  <cols>
    <col min="7" max="7" width="13.33203125" bestFit="1" customWidth="1"/>
  </cols>
  <sheetData>
    <row r="1" spans="1:10" ht="15" thickBot="1">
      <c r="A1" s="2" t="s">
        <v>10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7</v>
      </c>
      <c r="I1" s="3" t="s">
        <v>5</v>
      </c>
      <c r="J1" s="3" t="s">
        <v>6</v>
      </c>
    </row>
    <row r="2" spans="1:10">
      <c r="A2" s="4" t="s">
        <v>8</v>
      </c>
      <c r="B2" s="5">
        <v>5</v>
      </c>
      <c r="C2" s="1">
        <v>1856</v>
      </c>
      <c r="D2" s="1">
        <v>43</v>
      </c>
      <c r="E2" s="1">
        <v>1285</v>
      </c>
      <c r="F2" s="1">
        <v>122</v>
      </c>
      <c r="G2" s="6">
        <v>662</v>
      </c>
      <c r="H2" s="1">
        <v>45.92</v>
      </c>
      <c r="I2" s="1">
        <v>901.94</v>
      </c>
      <c r="J2" s="1">
        <f>H2/(2.35*SQRT(E2))</f>
        <v>0.54510787135669614</v>
      </c>
    </row>
    <row r="3" spans="1:10">
      <c r="A3" s="4" t="s">
        <v>11</v>
      </c>
      <c r="B3" s="5">
        <v>100</v>
      </c>
      <c r="C3" s="1">
        <v>1927</v>
      </c>
      <c r="D3" s="1">
        <v>44</v>
      </c>
      <c r="E3" s="1">
        <v>1131</v>
      </c>
      <c r="F3" s="1">
        <v>110</v>
      </c>
      <c r="G3" s="1">
        <v>122</v>
      </c>
      <c r="H3" s="1">
        <v>19.82</v>
      </c>
      <c r="I3" s="1">
        <v>188.76</v>
      </c>
      <c r="J3" s="1">
        <f t="shared" ref="J3" si="0">H3/(2.35*SQRT(E3))</f>
        <v>0.2507866911272349</v>
      </c>
    </row>
    <row r="4" spans="1:10">
      <c r="A4" s="4" t="s">
        <v>12</v>
      </c>
      <c r="B4" s="5">
        <v>81</v>
      </c>
      <c r="C4" s="1">
        <v>2248</v>
      </c>
      <c r="D4" s="1">
        <v>47</v>
      </c>
      <c r="E4" s="1">
        <v>1620</v>
      </c>
      <c r="F4" s="1">
        <v>132</v>
      </c>
      <c r="G4" s="1">
        <v>511</v>
      </c>
      <c r="H4" s="1">
        <v>47.83</v>
      </c>
      <c r="I4" s="1">
        <v>708</v>
      </c>
      <c r="J4" s="1">
        <f>H4/(2.35*SQRT(E4))</f>
        <v>0.50567910810314387</v>
      </c>
    </row>
    <row r="5" spans="1:10">
      <c r="A5" s="4"/>
      <c r="B5" s="5"/>
      <c r="C5" s="1"/>
      <c r="D5" s="1"/>
      <c r="E5" s="1"/>
      <c r="F5" s="1"/>
      <c r="G5" s="1"/>
      <c r="H5" s="1"/>
      <c r="I5" s="1"/>
      <c r="J5" s="1"/>
    </row>
    <row r="9" spans="1:10">
      <c r="E9" s="1"/>
      <c r="F9" s="6"/>
    </row>
    <row r="10" spans="1:10">
      <c r="E10" s="1"/>
      <c r="F10" s="1"/>
    </row>
    <row r="11" spans="1:10">
      <c r="E11" s="1"/>
      <c r="F11" s="1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opLeftCell="A2" workbookViewId="0">
      <selection activeCell="P4" sqref="P4"/>
    </sheetView>
  </sheetViews>
  <sheetFormatPr baseColWidth="10" defaultRowHeight="14" x14ac:dyDescent="0"/>
  <cols>
    <col min="5" max="5" width="12.1640625" bestFit="1" customWidth="1"/>
    <col min="6" max="6" width="12.1640625" customWidth="1"/>
    <col min="8" max="8" width="12.1640625" bestFit="1" customWidth="1"/>
    <col min="9" max="9" width="13.1640625" bestFit="1" customWidth="1"/>
    <col min="10" max="10" width="15.33203125" bestFit="1" customWidth="1"/>
    <col min="11" max="11" width="16.33203125" bestFit="1" customWidth="1"/>
    <col min="12" max="12" width="16.5" bestFit="1" customWidth="1"/>
    <col min="13" max="13" width="14.6640625" bestFit="1" customWidth="1"/>
  </cols>
  <sheetData>
    <row r="1" spans="1:2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"/>
      <c r="B2" s="1"/>
      <c r="C2" s="1"/>
      <c r="D2" s="16" t="s">
        <v>22</v>
      </c>
      <c r="E2" s="16" t="s">
        <v>23</v>
      </c>
      <c r="F2" s="16" t="s">
        <v>43</v>
      </c>
      <c r="G2" s="16" t="s">
        <v>34</v>
      </c>
      <c r="H2" s="16" t="s">
        <v>35</v>
      </c>
      <c r="I2" s="16" t="s">
        <v>44</v>
      </c>
      <c r="J2" s="16" t="s">
        <v>45</v>
      </c>
      <c r="K2" s="16" t="s">
        <v>46</v>
      </c>
      <c r="L2" s="16" t="s">
        <v>47</v>
      </c>
      <c r="M2" s="16" t="s">
        <v>48</v>
      </c>
      <c r="N2" s="16" t="s">
        <v>36</v>
      </c>
      <c r="O2" s="16" t="s">
        <v>37</v>
      </c>
      <c r="P2" s="16" t="s">
        <v>49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"/>
      <c r="B3" s="1"/>
      <c r="C3" s="1"/>
      <c r="D3" s="1">
        <v>0</v>
      </c>
      <c r="E3" s="1">
        <f>D3*PI()/180</f>
        <v>0</v>
      </c>
      <c r="F3" s="1">
        <f>PI()/180</f>
        <v>1.7453292519943295E-2</v>
      </c>
      <c r="G3" s="1"/>
      <c r="H3" s="1"/>
      <c r="I3" s="1">
        <v>662</v>
      </c>
      <c r="J3" s="1">
        <f>(I3^2/$I$3)*$I$3/511*SIN(E3+F3)*F3</f>
        <v>0.26123283570902911</v>
      </c>
      <c r="K3" s="25">
        <f>G3*$B$12+$C$12</f>
        <v>-20.580500000000001</v>
      </c>
      <c r="L3" s="25">
        <f>H3*$B$12+G3*$B$13+$C$13</f>
        <v>0.25966899999999998</v>
      </c>
      <c r="M3" s="25">
        <f>1/K3</f>
        <v>-4.8589684409999757E-2</v>
      </c>
      <c r="N3" s="25">
        <f>(M3/K3)*L3</f>
        <v>6.1306745516679501E-4</v>
      </c>
      <c r="O3" s="1">
        <f>1-COS(E3)</f>
        <v>0</v>
      </c>
      <c r="P3" s="1">
        <f>SIN(E3+F3)*F3</f>
        <v>3.0460195472685052E-4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/>
      <c r="B4" s="1"/>
      <c r="C4" s="1"/>
      <c r="D4" s="1">
        <v>10</v>
      </c>
      <c r="E4" s="1">
        <f t="shared" ref="E4:E9" si="0">D4*PI()/180</f>
        <v>0.17453292519943295</v>
      </c>
      <c r="F4" s="1">
        <f t="shared" ref="F4:F9" si="1">PI()/180</f>
        <v>1.7453292519943295E-2</v>
      </c>
      <c r="G4" s="1"/>
      <c r="H4" s="1"/>
      <c r="I4" s="1">
        <f>$I$3/(1+($I$3/511)*(1-COS(E4)))</f>
        <v>649.22230452559177</v>
      </c>
      <c r="J4" s="1">
        <f>(I4^2/$I$3)*$I$3/511*SIN(E4)*F4</f>
        <v>2.4998477614539856</v>
      </c>
      <c r="K4" s="25">
        <f t="shared" ref="K4:K9" si="2">G4*$B$12+$C$12</f>
        <v>-20.580500000000001</v>
      </c>
      <c r="L4" s="25">
        <f t="shared" ref="L4:L9" si="3">H4*$B$12+G4*$B$13+$C$13</f>
        <v>0.25966899999999998</v>
      </c>
      <c r="M4" s="25">
        <f t="shared" ref="M4:M9" si="4">1/K4</f>
        <v>-4.8589684409999757E-2</v>
      </c>
      <c r="N4" s="25">
        <f t="shared" ref="N4:N9" si="5">(M4/K4)*L4</f>
        <v>6.1306745516679501E-4</v>
      </c>
      <c r="O4" s="1">
        <f t="shared" ref="O4:O9" si="6">1-COS(E4)</f>
        <v>1.519224698779198E-2</v>
      </c>
      <c r="P4" s="1">
        <f t="shared" ref="P4:P9" si="7">SIN(E4)*F4</f>
        <v>3.0307324403760195E-3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1"/>
      <c r="B5" s="1"/>
      <c r="C5" s="1"/>
      <c r="D5" s="1">
        <v>20</v>
      </c>
      <c r="E5" s="1">
        <f t="shared" si="0"/>
        <v>0.3490658503988659</v>
      </c>
      <c r="F5" s="1">
        <f t="shared" si="1"/>
        <v>1.7453292519943295E-2</v>
      </c>
      <c r="G5" s="1"/>
      <c r="H5" s="1"/>
      <c r="I5" s="1">
        <f t="shared" ref="I5:I9" si="8">$I$3/(1+($I$3/511)*(1-COS(E5)))</f>
        <v>614.02719104560504</v>
      </c>
      <c r="J5" s="1">
        <f t="shared" ref="J5:J9" si="9">(I5^2/$I$3)*$I$3/511*SIN(E5)*F5</f>
        <v>4.4043655708145195</v>
      </c>
      <c r="K5" s="25">
        <f t="shared" si="2"/>
        <v>-20.580500000000001</v>
      </c>
      <c r="L5" s="25">
        <f t="shared" si="3"/>
        <v>0.25966899999999998</v>
      </c>
      <c r="M5" s="25">
        <f t="shared" si="4"/>
        <v>-4.8589684409999757E-2</v>
      </c>
      <c r="N5" s="25">
        <f t="shared" si="5"/>
        <v>6.1306745516679501E-4</v>
      </c>
      <c r="O5" s="1">
        <f t="shared" si="6"/>
        <v>6.0307379214091572E-2</v>
      </c>
      <c r="P5" s="1">
        <f t="shared" si="7"/>
        <v>5.9693776091758275E-3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1"/>
      <c r="B6" s="1"/>
      <c r="C6" s="1"/>
      <c r="D6" s="1">
        <v>30</v>
      </c>
      <c r="E6" s="1">
        <f t="shared" si="0"/>
        <v>0.52359877559829882</v>
      </c>
      <c r="F6" s="1">
        <f t="shared" si="1"/>
        <v>1.7453292519943295E-2</v>
      </c>
      <c r="G6" s="1"/>
      <c r="H6" s="1"/>
      <c r="I6" s="1">
        <f t="shared" si="8"/>
        <v>564.09366981174526</v>
      </c>
      <c r="J6" s="1">
        <f t="shared" si="9"/>
        <v>5.434116240266432</v>
      </c>
      <c r="K6" s="25">
        <f t="shared" si="2"/>
        <v>-20.580500000000001</v>
      </c>
      <c r="L6" s="25">
        <f t="shared" si="3"/>
        <v>0.25966899999999998</v>
      </c>
      <c r="M6" s="25">
        <f t="shared" si="4"/>
        <v>-4.8589684409999757E-2</v>
      </c>
      <c r="N6" s="25">
        <f t="shared" si="5"/>
        <v>6.1306745516679501E-4</v>
      </c>
      <c r="O6" s="1">
        <f t="shared" si="6"/>
        <v>0.13397459621556129</v>
      </c>
      <c r="P6" s="1">
        <f t="shared" si="7"/>
        <v>8.726646259971646E-3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1"/>
      <c r="B7" s="1"/>
      <c r="C7" s="1"/>
      <c r="D7" s="1">
        <v>50</v>
      </c>
      <c r="E7" s="1">
        <f t="shared" si="0"/>
        <v>0.87266462599716477</v>
      </c>
      <c r="F7" s="1">
        <f t="shared" si="1"/>
        <v>1.7453292519943295E-2</v>
      </c>
      <c r="G7" s="1"/>
      <c r="H7" s="1"/>
      <c r="I7" s="1">
        <f t="shared" si="8"/>
        <v>452.56654730407217</v>
      </c>
      <c r="J7" s="1">
        <f t="shared" si="9"/>
        <v>5.3588960334081888</v>
      </c>
      <c r="K7" s="25">
        <f t="shared" si="2"/>
        <v>-20.580500000000001</v>
      </c>
      <c r="L7" s="25">
        <f t="shared" si="3"/>
        <v>0.25966899999999998</v>
      </c>
      <c r="M7" s="25">
        <f t="shared" si="4"/>
        <v>-4.8589684409999757E-2</v>
      </c>
      <c r="N7" s="25">
        <f t="shared" si="5"/>
        <v>6.1306745516679501E-4</v>
      </c>
      <c r="O7" s="1">
        <f t="shared" si="6"/>
        <v>0.35721239031346064</v>
      </c>
      <c r="P7" s="1">
        <f t="shared" si="7"/>
        <v>1.3369997749032586E-2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/>
      <c r="B8" s="1"/>
      <c r="C8" s="1"/>
      <c r="D8" s="1">
        <v>70</v>
      </c>
      <c r="E8" s="1">
        <f t="shared" si="0"/>
        <v>1.2217304763960306</v>
      </c>
      <c r="F8" s="1">
        <f t="shared" si="1"/>
        <v>1.7453292519943295E-2</v>
      </c>
      <c r="G8" s="1"/>
      <c r="H8" s="1"/>
      <c r="I8" s="1">
        <f t="shared" si="8"/>
        <v>357.37185188964412</v>
      </c>
      <c r="J8" s="1">
        <f t="shared" si="9"/>
        <v>4.0990476721244367</v>
      </c>
      <c r="K8" s="25">
        <f t="shared" si="2"/>
        <v>-20.580500000000001</v>
      </c>
      <c r="L8" s="25">
        <f t="shared" si="3"/>
        <v>0.25966899999999998</v>
      </c>
      <c r="M8" s="25">
        <f t="shared" si="4"/>
        <v>-4.8589684409999757E-2</v>
      </c>
      <c r="N8" s="25">
        <f t="shared" si="5"/>
        <v>6.1306745516679501E-4</v>
      </c>
      <c r="O8" s="1">
        <f t="shared" si="6"/>
        <v>0.65797985667433112</v>
      </c>
      <c r="P8" s="1">
        <f t="shared" si="7"/>
        <v>1.6400730189408606E-2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" thickBot="1">
      <c r="A9" s="1"/>
      <c r="B9" s="1"/>
      <c r="C9" s="1"/>
      <c r="D9" s="1">
        <v>90</v>
      </c>
      <c r="E9" s="1">
        <f t="shared" si="0"/>
        <v>1.5707963267948966</v>
      </c>
      <c r="F9" s="1">
        <f t="shared" si="1"/>
        <v>1.7453292519943295E-2</v>
      </c>
      <c r="G9" s="1"/>
      <c r="H9" s="1"/>
      <c r="I9" s="1">
        <f t="shared" si="8"/>
        <v>288.3904518329071</v>
      </c>
      <c r="J9" s="1">
        <f t="shared" si="9"/>
        <v>2.8406532397770712</v>
      </c>
      <c r="K9" s="25">
        <f t="shared" si="2"/>
        <v>-20.580500000000001</v>
      </c>
      <c r="L9" s="25">
        <f t="shared" si="3"/>
        <v>0.25966899999999998</v>
      </c>
      <c r="M9" s="25">
        <f t="shared" si="4"/>
        <v>-4.8589684409999757E-2</v>
      </c>
      <c r="N9" s="25">
        <f t="shared" si="5"/>
        <v>6.1306745516679501E-4</v>
      </c>
      <c r="O9" s="1">
        <f t="shared" si="6"/>
        <v>0.99999999999999989</v>
      </c>
      <c r="P9" s="1">
        <f t="shared" si="7"/>
        <v>1.7453292519943295E-2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28" t="s">
        <v>42</v>
      </c>
      <c r="B10" s="29"/>
      <c r="C10" s="3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8"/>
      <c r="B11" s="5" t="s">
        <v>40</v>
      </c>
      <c r="C11" s="19" t="s">
        <v>41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8" t="s">
        <v>38</v>
      </c>
      <c r="B12" s="21">
        <v>0.75442299999999995</v>
      </c>
      <c r="C12" s="23">
        <v>-20.580500000000001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" thickBot="1">
      <c r="A13" s="20" t="s">
        <v>39</v>
      </c>
      <c r="B13" s="22">
        <v>5.4489299999999996E-4</v>
      </c>
      <c r="C13" s="24">
        <v>0.25966899999999998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</sheetData>
  <mergeCells count="1">
    <mergeCell ref="A10:C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8" sqref="E28"/>
    </sheetView>
  </sheetViews>
  <sheetFormatPr baseColWidth="10" defaultRowHeight="14" x14ac:dyDescent="0"/>
  <cols>
    <col min="6" max="6" width="12.6640625" bestFit="1" customWidth="1"/>
    <col min="7" max="7" width="12.83203125" bestFit="1" customWidth="1"/>
    <col min="8" max="8" width="16.33203125" bestFit="1" customWidth="1"/>
    <col min="10" max="10" width="12.83203125" bestFit="1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6" t="s">
        <v>22</v>
      </c>
      <c r="C2" s="16" t="s">
        <v>23</v>
      </c>
      <c r="D2" s="16" t="s">
        <v>30</v>
      </c>
      <c r="E2" s="16" t="s">
        <v>24</v>
      </c>
      <c r="F2" s="16" t="s">
        <v>25</v>
      </c>
      <c r="G2" s="16" t="s">
        <v>26</v>
      </c>
      <c r="H2" s="16" t="s">
        <v>27</v>
      </c>
      <c r="I2" s="16" t="s">
        <v>28</v>
      </c>
      <c r="J2" s="16" t="s">
        <v>29</v>
      </c>
      <c r="K2" s="1"/>
      <c r="L2" s="1"/>
      <c r="M2" s="1"/>
      <c r="N2" s="1"/>
      <c r="O2" s="1"/>
    </row>
    <row r="3" spans="1:15">
      <c r="A3" s="1" t="s">
        <v>31</v>
      </c>
      <c r="B3" s="1">
        <v>0</v>
      </c>
      <c r="C3" s="17">
        <f>B3*PI()/180</f>
        <v>0</v>
      </c>
      <c r="D3" s="1">
        <v>5</v>
      </c>
      <c r="E3" s="1"/>
      <c r="F3" s="1"/>
      <c r="G3" s="1" t="s">
        <v>33</v>
      </c>
      <c r="H3" s="1" t="s">
        <v>33</v>
      </c>
      <c r="I3" s="1" t="s">
        <v>33</v>
      </c>
      <c r="J3" s="1" t="s">
        <v>33</v>
      </c>
      <c r="K3" s="1"/>
      <c r="L3" s="1"/>
      <c r="M3" s="1"/>
      <c r="N3" s="1"/>
      <c r="O3" s="1"/>
    </row>
    <row r="4" spans="1:15">
      <c r="A4" s="1" t="s">
        <v>32</v>
      </c>
      <c r="B4" s="1">
        <v>0</v>
      </c>
      <c r="C4" s="17">
        <f>B4*PI()/180</f>
        <v>0</v>
      </c>
      <c r="D4" s="1">
        <v>5</v>
      </c>
      <c r="E4" s="1"/>
      <c r="F4" s="1"/>
      <c r="G4" s="1" t="s">
        <v>33</v>
      </c>
      <c r="H4" s="1" t="s">
        <v>33</v>
      </c>
      <c r="I4" s="1" t="s">
        <v>33</v>
      </c>
      <c r="J4" s="1" t="s">
        <v>33</v>
      </c>
      <c r="K4" s="1"/>
      <c r="L4" s="1"/>
      <c r="M4" s="1"/>
      <c r="N4" s="1"/>
      <c r="O4" s="1"/>
    </row>
    <row r="5" spans="1:15">
      <c r="A5" s="1" t="s">
        <v>31</v>
      </c>
      <c r="B5" s="1">
        <v>10</v>
      </c>
      <c r="C5" s="17">
        <f t="shared" ref="C5:C6" si="0">B5*PI()/180</f>
        <v>0.17453292519943295</v>
      </c>
      <c r="D5" s="1">
        <v>5</v>
      </c>
      <c r="E5" s="1"/>
      <c r="F5" s="1"/>
      <c r="G5" s="1" t="s">
        <v>33</v>
      </c>
      <c r="H5" s="1" t="s">
        <v>33</v>
      </c>
      <c r="I5" s="1" t="s">
        <v>33</v>
      </c>
      <c r="J5" s="1" t="s">
        <v>33</v>
      </c>
      <c r="K5" s="1"/>
      <c r="L5" s="1"/>
      <c r="M5" s="1"/>
      <c r="N5" s="1"/>
      <c r="O5" s="1"/>
    </row>
    <row r="6" spans="1:15">
      <c r="A6" s="1" t="s">
        <v>32</v>
      </c>
      <c r="B6" s="1">
        <v>10</v>
      </c>
      <c r="C6" s="17">
        <f t="shared" si="0"/>
        <v>0.17453292519943295</v>
      </c>
      <c r="D6" s="1">
        <v>5</v>
      </c>
      <c r="E6" s="1"/>
      <c r="F6" s="1"/>
      <c r="G6" s="1" t="e">
        <f>E5-E6*(E4/E3)</f>
        <v>#DIV/0!</v>
      </c>
      <c r="H6" s="1" t="e">
        <f>F6+F5*(E4/E3)+F4*(F5/E3)+F3*F5*E4/(E3*E3)</f>
        <v>#DIV/0!</v>
      </c>
      <c r="I6" s="1" t="e">
        <f>G6/D6</f>
        <v>#DIV/0!</v>
      </c>
      <c r="J6" s="1" t="e">
        <f>H6/D6</f>
        <v>#DIV/0!</v>
      </c>
      <c r="K6" s="1"/>
      <c r="L6" s="1"/>
      <c r="M6" s="1"/>
      <c r="N6" s="1"/>
      <c r="O6" s="1"/>
    </row>
    <row r="7" spans="1:15">
      <c r="A7" s="1" t="s">
        <v>32</v>
      </c>
      <c r="B7" s="1">
        <v>20</v>
      </c>
      <c r="C7" s="17">
        <f>B7*PI()/180</f>
        <v>0.3490658503988659</v>
      </c>
      <c r="D7" s="1">
        <v>100</v>
      </c>
      <c r="E7" s="1"/>
      <c r="F7" s="1"/>
      <c r="G7" s="1">
        <f>E7</f>
        <v>0</v>
      </c>
      <c r="H7" s="1">
        <f>F7</f>
        <v>0</v>
      </c>
      <c r="I7" s="1">
        <f>G7/D7</f>
        <v>0</v>
      </c>
      <c r="J7" s="1">
        <f>H7/D7</f>
        <v>0</v>
      </c>
      <c r="K7" s="1"/>
      <c r="L7" s="1"/>
      <c r="M7" s="1"/>
      <c r="N7" s="1"/>
      <c r="O7" s="1"/>
    </row>
    <row r="8" spans="1:15">
      <c r="A8" s="1" t="s">
        <v>32</v>
      </c>
      <c r="B8" s="1">
        <v>30</v>
      </c>
      <c r="C8" s="17">
        <f>B8*PI()/180</f>
        <v>0.52359877559829882</v>
      </c>
      <c r="D8" s="1">
        <v>180</v>
      </c>
      <c r="E8" s="1"/>
      <c r="F8" s="1"/>
      <c r="G8" s="1">
        <f t="shared" ref="G8:G11" si="1">E8</f>
        <v>0</v>
      </c>
      <c r="H8" s="1">
        <f t="shared" ref="H8:H11" si="2">F8</f>
        <v>0</v>
      </c>
      <c r="I8" s="1">
        <f t="shared" ref="I8:I11" si="3">G8/D8</f>
        <v>0</v>
      </c>
      <c r="J8" s="1">
        <f t="shared" ref="J8:J11" si="4">H8/D8</f>
        <v>0</v>
      </c>
      <c r="K8" s="1"/>
      <c r="L8" s="1"/>
      <c r="M8" s="1"/>
      <c r="N8" s="1"/>
      <c r="O8" s="1"/>
    </row>
    <row r="9" spans="1:15">
      <c r="A9" s="1" t="s">
        <v>32</v>
      </c>
      <c r="B9" s="1">
        <v>50</v>
      </c>
      <c r="C9" s="17">
        <f>B9*PI()/180</f>
        <v>0.87266462599716477</v>
      </c>
      <c r="D9" s="1">
        <v>250</v>
      </c>
      <c r="E9" s="1"/>
      <c r="F9" s="1"/>
      <c r="G9" s="1">
        <f t="shared" si="1"/>
        <v>0</v>
      </c>
      <c r="H9" s="1">
        <f t="shared" si="2"/>
        <v>0</v>
      </c>
      <c r="I9" s="1">
        <f t="shared" si="3"/>
        <v>0</v>
      </c>
      <c r="J9" s="1">
        <f t="shared" si="4"/>
        <v>0</v>
      </c>
      <c r="K9" s="1"/>
      <c r="L9" s="1"/>
      <c r="M9" s="1"/>
      <c r="N9" s="1"/>
      <c r="O9" s="1"/>
    </row>
    <row r="10" spans="1:15">
      <c r="A10" s="1" t="s">
        <v>32</v>
      </c>
      <c r="B10" s="1">
        <v>70</v>
      </c>
      <c r="C10" s="17">
        <f>B10*PI()/180</f>
        <v>1.2217304763960306</v>
      </c>
      <c r="D10" s="1">
        <v>250</v>
      </c>
      <c r="E10" s="1"/>
      <c r="F10" s="1"/>
      <c r="G10" s="1">
        <f t="shared" si="1"/>
        <v>0</v>
      </c>
      <c r="H10" s="1">
        <f t="shared" si="2"/>
        <v>0</v>
      </c>
      <c r="I10" s="1">
        <f t="shared" si="3"/>
        <v>0</v>
      </c>
      <c r="J10" s="1">
        <f t="shared" si="4"/>
        <v>0</v>
      </c>
      <c r="K10" s="1"/>
      <c r="L10" s="1"/>
      <c r="M10" s="1"/>
      <c r="N10" s="1"/>
      <c r="O10" s="1"/>
    </row>
    <row r="11" spans="1:15">
      <c r="A11" s="1" t="s">
        <v>32</v>
      </c>
      <c r="B11" s="1">
        <v>90</v>
      </c>
      <c r="C11" s="17">
        <f>B11*PI()/180</f>
        <v>1.5707963267948966</v>
      </c>
      <c r="D11" s="1">
        <v>430</v>
      </c>
      <c r="E11" s="1"/>
      <c r="F11" s="1"/>
      <c r="G11" s="1">
        <f t="shared" si="1"/>
        <v>0</v>
      </c>
      <c r="H11" s="1">
        <f t="shared" si="2"/>
        <v>0</v>
      </c>
      <c r="I11" s="1">
        <f t="shared" si="3"/>
        <v>0</v>
      </c>
      <c r="J11" s="1">
        <f t="shared" si="4"/>
        <v>0</v>
      </c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F17" sqref="F17"/>
    </sheetView>
  </sheetViews>
  <sheetFormatPr baseColWidth="10" defaultRowHeight="14" x14ac:dyDescent="0"/>
  <cols>
    <col min="6" max="6" width="8.6640625" bestFit="1" customWidth="1"/>
    <col min="7" max="7" width="12.1640625" bestFit="1" customWidth="1"/>
  </cols>
  <sheetData>
    <row r="1" spans="1:13">
      <c r="B1" s="35" t="s">
        <v>50</v>
      </c>
      <c r="C1" s="35"/>
      <c r="D1" s="35"/>
      <c r="E1" s="36"/>
      <c r="F1" s="35" t="s">
        <v>51</v>
      </c>
      <c r="G1" s="35"/>
      <c r="H1" s="35"/>
      <c r="I1" s="35"/>
      <c r="J1" s="35"/>
      <c r="K1" s="35"/>
      <c r="L1" s="35"/>
      <c r="M1" s="7"/>
    </row>
    <row r="2" spans="1:13">
      <c r="A2" s="31" t="s">
        <v>52</v>
      </c>
      <c r="B2" s="8" t="s">
        <v>53</v>
      </c>
      <c r="C2" s="8" t="s">
        <v>54</v>
      </c>
      <c r="D2" s="8" t="s">
        <v>55</v>
      </c>
      <c r="E2" s="32" t="s">
        <v>56</v>
      </c>
      <c r="F2" s="8" t="s">
        <v>34</v>
      </c>
      <c r="G2" s="8" t="s">
        <v>57</v>
      </c>
      <c r="H2" s="8" t="s">
        <v>58</v>
      </c>
      <c r="I2" s="8" t="s">
        <v>59</v>
      </c>
      <c r="J2" s="8" t="s">
        <v>2</v>
      </c>
      <c r="K2" s="8" t="s">
        <v>60</v>
      </c>
      <c r="L2" s="8" t="s">
        <v>61</v>
      </c>
      <c r="M2" s="7"/>
    </row>
    <row r="3" spans="1:13">
      <c r="A3" t="s">
        <v>62</v>
      </c>
      <c r="B3" s="33">
        <v>3.1526200000000002</v>
      </c>
      <c r="C3" s="33">
        <v>1.5690999999999999</v>
      </c>
      <c r="D3" s="33">
        <v>-2.0642999999999998E-3</v>
      </c>
      <c r="E3" s="34">
        <v>1.9817799999999998E-3</v>
      </c>
      <c r="F3" s="7">
        <v>912.20399999999995</v>
      </c>
      <c r="G3" s="7">
        <v>1.1254500000000001</v>
      </c>
      <c r="H3" s="7">
        <v>32.284999999999997</v>
      </c>
      <c r="I3" s="7">
        <v>1.0198799999999999</v>
      </c>
      <c r="J3" s="7">
        <v>1893.51</v>
      </c>
      <c r="K3" s="7">
        <v>56.383699999999997</v>
      </c>
      <c r="L3" s="7">
        <v>0.55802499999999999</v>
      </c>
      <c r="M3" s="7"/>
    </row>
    <row r="4" spans="1:13">
      <c r="A4" t="s">
        <v>63</v>
      </c>
      <c r="B4" s="33">
        <v>2.2375099999999999</v>
      </c>
      <c r="C4" s="33">
        <v>1.6665700000000001</v>
      </c>
      <c r="D4" s="33">
        <v>-9.3972399999999996E-4</v>
      </c>
      <c r="E4" s="34">
        <v>2.1411500000000001E-3</v>
      </c>
      <c r="F4" s="7">
        <v>910.66399999999999</v>
      </c>
      <c r="G4" s="7">
        <v>1.2434400000000001</v>
      </c>
      <c r="H4" s="7">
        <v>32.665599999999998</v>
      </c>
      <c r="I4" s="7">
        <v>1.2365200000000001</v>
      </c>
      <c r="J4" s="7">
        <v>1524.63</v>
      </c>
      <c r="K4" s="7">
        <v>54.466799999999999</v>
      </c>
      <c r="L4" s="7">
        <v>0.51669200000000004</v>
      </c>
      <c r="M4" s="7"/>
    </row>
    <row r="5" spans="1:13">
      <c r="A5" t="s">
        <v>64</v>
      </c>
      <c r="B5" s="33">
        <v>5.4400500000000003</v>
      </c>
      <c r="C5" s="33">
        <v>0.66389299999999996</v>
      </c>
      <c r="D5" s="33">
        <v>-5.4906699999999996E-3</v>
      </c>
      <c r="E5" s="34">
        <v>6.7098899999999998E-4</v>
      </c>
      <c r="F5" s="7">
        <v>899.279</v>
      </c>
      <c r="G5" s="7">
        <v>1.86842</v>
      </c>
      <c r="H5" s="7">
        <v>29.539899999999999</v>
      </c>
      <c r="I5" s="7">
        <v>1.5643</v>
      </c>
      <c r="J5" s="7">
        <v>469.892</v>
      </c>
      <c r="K5" s="7">
        <v>26.2014</v>
      </c>
      <c r="L5" s="7">
        <v>0.79555100000000001</v>
      </c>
      <c r="M5" s="7"/>
    </row>
    <row r="6" spans="1:13">
      <c r="A6" t="s">
        <v>65</v>
      </c>
      <c r="B6" s="33">
        <v>2.2346499999999998</v>
      </c>
      <c r="C6" s="33">
        <v>1.43079</v>
      </c>
      <c r="D6" s="33">
        <v>-1.12341E-3</v>
      </c>
      <c r="E6" s="34">
        <v>1.77231E-3</v>
      </c>
      <c r="F6" s="7">
        <v>902.74800000000005</v>
      </c>
      <c r="G6" s="7">
        <v>1.7829900000000001</v>
      </c>
      <c r="H6" s="7">
        <v>29.712700000000002</v>
      </c>
      <c r="I6" s="7">
        <v>1.5544</v>
      </c>
      <c r="J6" s="7">
        <v>811.08500000000004</v>
      </c>
      <c r="K6" s="7">
        <v>41.762799999999999</v>
      </c>
      <c r="L6" s="7">
        <v>0.57007799999999997</v>
      </c>
      <c r="M6" s="7"/>
    </row>
    <row r="7" spans="1:13">
      <c r="A7" t="s">
        <v>66</v>
      </c>
      <c r="B7" s="33">
        <v>21.668500000000002</v>
      </c>
      <c r="C7" s="33">
        <v>5.2379699999999998</v>
      </c>
      <c r="D7" s="33">
        <v>2.6539699999999999E-3</v>
      </c>
      <c r="E7" s="34">
        <v>3.5134000000000001E-4</v>
      </c>
      <c r="F7" s="7">
        <v>832.02499999999998</v>
      </c>
      <c r="G7" s="7">
        <v>3.1139000000000001</v>
      </c>
      <c r="H7" s="7">
        <v>42.154400000000003</v>
      </c>
      <c r="I7" s="7">
        <v>1.8953500000000001</v>
      </c>
      <c r="J7" s="7">
        <v>681.87400000000002</v>
      </c>
      <c r="K7" s="7">
        <v>35.9512</v>
      </c>
      <c r="L7" s="7">
        <v>1.83914</v>
      </c>
      <c r="M7" s="7"/>
    </row>
    <row r="8" spans="1:13">
      <c r="A8" t="s">
        <v>67</v>
      </c>
      <c r="B8" s="33">
        <v>25.837</v>
      </c>
      <c r="C8" s="33">
        <v>4.7235399999999998</v>
      </c>
      <c r="D8" s="33">
        <v>3.01323E-3</v>
      </c>
      <c r="E8" s="34">
        <v>2.7102300000000001E-4</v>
      </c>
      <c r="F8" s="7">
        <v>764.57299999999998</v>
      </c>
      <c r="G8" s="7">
        <v>2.4855700000000001</v>
      </c>
      <c r="H8" s="7">
        <v>39.741100000000003</v>
      </c>
      <c r="I8" s="7">
        <v>1.74716</v>
      </c>
      <c r="J8" s="7">
        <v>725.12699999999995</v>
      </c>
      <c r="K8" s="7">
        <v>36.391199999999998</v>
      </c>
      <c r="L8" s="7">
        <v>1.3909800000000001</v>
      </c>
      <c r="M8" s="7"/>
    </row>
    <row r="9" spans="1:13">
      <c r="A9" t="s">
        <v>68</v>
      </c>
      <c r="B9" s="33">
        <v>38.294699999999999</v>
      </c>
      <c r="C9" s="33">
        <v>3.1697799999999998</v>
      </c>
      <c r="D9" s="33">
        <v>3.3282300000000002E-3</v>
      </c>
      <c r="E9" s="34">
        <v>1.5586699999999999E-4</v>
      </c>
      <c r="F9" s="7">
        <v>639.41200000000003</v>
      </c>
      <c r="G9" s="7">
        <v>3.2078899999999999</v>
      </c>
      <c r="H9" s="7">
        <v>46.845799999999997</v>
      </c>
      <c r="I9" s="7">
        <v>2.81976</v>
      </c>
      <c r="J9" s="7">
        <v>754.46199999999999</v>
      </c>
      <c r="K9" s="7">
        <v>43.913400000000003</v>
      </c>
      <c r="L9" s="7">
        <v>1.1893</v>
      </c>
      <c r="M9" s="7"/>
    </row>
    <row r="10" spans="1:1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2:1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</sheetData>
  <mergeCells count="2">
    <mergeCell ref="B1:E1"/>
    <mergeCell ref="F1:L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</vt:lpstr>
      <vt:lpstr>Calibração</vt:lpstr>
      <vt:lpstr>Massa eletrao</vt:lpstr>
      <vt:lpstr>Seção eficaz Diferencial </vt:lpstr>
      <vt:lpstr>Picos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Duque</dc:creator>
  <cp:lastModifiedBy>Zé Figueiredo</cp:lastModifiedBy>
  <dcterms:created xsi:type="dcterms:W3CDTF">2017-11-26T01:19:26Z</dcterms:created>
  <dcterms:modified xsi:type="dcterms:W3CDTF">2017-11-26T22:49:15Z</dcterms:modified>
</cp:coreProperties>
</file>