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Pre" sheetId="1" state="visible" r:id="rId2"/>
    <sheet name="Calibração" sheetId="2" state="visible" r:id="rId3"/>
    <sheet name="Massa eletrao" sheetId="3" state="visible" r:id="rId4"/>
    <sheet name="Seção eficaz Diferencial " sheetId="4" state="visible" r:id="rId5"/>
    <sheet name="Pic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<sst xmlns="http://schemas.openxmlformats.org/spreadsheetml/2006/main" count="89" uniqueCount="67">
  <si>
    <t xml:space="preserve">Theta (º)</t>
  </si>
  <si>
    <t xml:space="preserve">Theta (rad)</t>
  </si>
  <si>
    <t xml:space="preserve">Seção Eficaz Dif (cm^2/Sr)</t>
  </si>
  <si>
    <t xml:space="preserve">1/Sec Eficaz Dif</t>
  </si>
  <si>
    <t xml:space="preserve">t aq (s)</t>
  </si>
  <si>
    <t xml:space="preserve">Dados</t>
  </si>
  <si>
    <t xml:space="preserve">r0 (cm)</t>
  </si>
  <si>
    <t xml:space="preserve">alpha</t>
  </si>
  <si>
    <t xml:space="preserve">Total</t>
  </si>
  <si>
    <t xml:space="preserve">Fonte</t>
  </si>
  <si>
    <t xml:space="preserve">t_aq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</si>
  <si>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</si>
  <si>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</si>
  <si>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</si>
  <si>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</si>
  <si>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</si>
  <si>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FWHM</t>
  </si>
  <si>
    <t xml:space="preserve">C</t>
  </si>
  <si>
    <t xml:space="preserve">ErroC</t>
  </si>
  <si>
    <t xml:space="preserve">Cesio</t>
  </si>
  <si>
    <t xml:space="preserve">Cobalto</t>
  </si>
  <si>
    <t xml:space="preserve">Sodio</t>
  </si>
  <si>
    <t xml:space="preserve">Angulo (º) </t>
  </si>
  <si>
    <t xml:space="preserve">Angulo (rad)</t>
  </si>
  <si>
    <t xml:space="preserve">Centroide</t>
  </si>
  <si>
    <t xml:space="preserve">Erro Centroide</t>
  </si>
  <si>
    <t xml:space="preserve"> Energia Teorica</t>
  </si>
  <si>
    <t xml:space="preserve">Energia Medida</t>
  </si>
  <si>
    <t xml:space="preserve">Erro Energia Medida</t>
  </si>
  <si>
    <t xml:space="preserve">1/Energia Medida</t>
  </si>
  <si>
    <t xml:space="preserve">Erro 1/EnM</t>
  </si>
  <si>
    <t xml:space="preserve">1-Cos()</t>
  </si>
  <si>
    <t xml:space="preserve">Calibração (ax+b)</t>
  </si>
  <si>
    <t xml:space="preserve">a</t>
  </si>
  <si>
    <t xml:space="preserve">b</t>
  </si>
  <si>
    <t xml:space="preserve">par</t>
  </si>
  <si>
    <t xml:space="preserve">err</t>
  </si>
  <si>
    <t xml:space="preserve">x</t>
  </si>
  <si>
    <t xml:space="preserve">y</t>
  </si>
  <si>
    <t xml:space="preserve">t aqui</t>
  </si>
  <si>
    <t xml:space="preserve">Contagens</t>
  </si>
  <si>
    <t xml:space="preserve">Erro Contagens</t>
  </si>
  <si>
    <t xml:space="preserve">Contagens Corr</t>
  </si>
  <si>
    <t xml:space="preserve">Erro Contagens Corr</t>
  </si>
  <si>
    <t xml:space="preserve">R (counts/s)</t>
  </si>
  <si>
    <t xml:space="preserve">Erro R (conts/s)</t>
  </si>
  <si>
    <t xml:space="preserve">sem dif</t>
  </si>
  <si>
    <t xml:space="preserve">-</t>
  </si>
  <si>
    <t xml:space="preserve">com dif</t>
  </si>
  <si>
    <t xml:space="preserve">drag</t>
  </si>
  <si>
    <t xml:space="preserve">Evento</t>
  </si>
  <si>
    <t xml:space="preserve">p0</t>
  </si>
  <si>
    <t xml:space="preserve">ep0</t>
  </si>
  <si>
    <t xml:space="preserve">p1</t>
  </si>
  <si>
    <t xml:space="preserve">ep1</t>
  </si>
  <si>
    <t xml:space="preserve">erro Centroide</t>
  </si>
  <si>
    <t xml:space="preserve">sigma</t>
  </si>
  <si>
    <t xml:space="preserve">erro sigma</t>
  </si>
  <si>
    <t xml:space="preserve">erro Ns</t>
  </si>
  <si>
    <t xml:space="preserve">Chi ^2/Ndf</t>
  </si>
  <si>
    <t xml:space="preserve">c0s</t>
  </si>
  <si>
    <t xml:space="preserve">c0c</t>
  </si>
  <si>
    <t xml:space="preserve">c10s</t>
  </si>
  <si>
    <t xml:space="preserve">c10c</t>
  </si>
  <si>
    <t xml:space="preserve">c20</t>
  </si>
  <si>
    <t xml:space="preserve">c30</t>
  </si>
  <si>
    <t xml:space="preserve">c50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</si>
</sst>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E+00"/>
    <numFmt numFmtId="167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"/>
  <cols>
    <col collapsed="false" hidden="false" max="1025" min="1" style="0" width="10.530612244898"/>
  </cols>
  <sheetData>
    <row r="2" customFormat="false" ht="14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4" hidden="false" customHeight="false" outlineLevel="0" collapsed="false">
      <c r="A3" s="1"/>
      <c r="B3" s="1"/>
      <c r="C3" s="1"/>
      <c r="D3" s="2" t="s">
        <v>0</v>
      </c>
      <c r="E3" s="2" t="s">
        <v>1</v>
      </c>
      <c r="F3" s="2" t="s">
        <v>2</v>
      </c>
      <c r="G3" s="3" t="s">
        <v>3</v>
      </c>
      <c r="H3" s="3" t="s">
        <v>4</v>
      </c>
      <c r="I3" s="1"/>
      <c r="J3" s="1"/>
      <c r="K3" s="1"/>
    </row>
    <row r="4" customFormat="false" ht="14" hidden="false" customHeight="false" outlineLevel="0" collapsed="false">
      <c r="A4" s="1"/>
      <c r="B4" s="1"/>
      <c r="C4" s="1"/>
      <c r="D4" s="1" t="n">
        <v>0</v>
      </c>
      <c r="E4" s="1" t="n">
        <f aca="false">D4*PI()/180</f>
        <v>0</v>
      </c>
      <c r="F4" s="1" t="n">
        <f aca="false">(($B$7*$B$7)/2)*((1+COS(E4)*COS(E4))/(1+$B$8*(1-COS(E4))^2))*(1+(($B$8*$B$8)*(1-COS(E4))^2)/((1+COS(E4)*COS(E4))*(1+$B$8*(1-COS(E4)))))</f>
        <v>7.9524E-026</v>
      </c>
      <c r="G4" s="1" t="n">
        <f aca="false">1/F4</f>
        <v>1.25748201800714E+025</v>
      </c>
      <c r="H4" s="4" t="n">
        <f aca="false">(G4/$G$11)*3600</f>
        <v>344.574669238114</v>
      </c>
      <c r="I4" s="1"/>
      <c r="J4" s="1"/>
      <c r="K4" s="1"/>
    </row>
    <row r="5" customFormat="false" ht="15" hidden="false" customHeight="false" outlineLevel="0" collapsed="false">
      <c r="A5" s="1"/>
      <c r="B5" s="1"/>
      <c r="C5" s="1"/>
      <c r="D5" s="1" t="n">
        <v>10</v>
      </c>
      <c r="E5" s="1" t="n">
        <f aca="false">D5*PI()/180</f>
        <v>0.174532925199433</v>
      </c>
      <c r="F5" s="1" t="n">
        <f aca="false">(($B$7*$B$7)/2)*((1+COS(E5)*COS(E5))/(1+$B$8*(1-COS(E5))^2))*(1+(($B$8*$B$8)*(1-COS(E5))^2)/((1+COS(E5)*COS(E5))*(1+$B$8*(1-COS(E5)))))</f>
        <v>7.83166894736703E-026</v>
      </c>
      <c r="G5" s="1" t="n">
        <f aca="false">1/F5</f>
        <v>1.27686704675661E+025</v>
      </c>
      <c r="H5" s="4" t="n">
        <f aca="false">(G5/$G$11)*3600</f>
        <v>349.88654628595</v>
      </c>
      <c r="I5" s="1"/>
      <c r="J5" s="1"/>
      <c r="K5" s="1"/>
    </row>
    <row r="6" customFormat="false" ht="14" hidden="false" customHeight="false" outlineLevel="0" collapsed="false">
      <c r="A6" s="5" t="s">
        <v>5</v>
      </c>
      <c r="B6" s="5"/>
      <c r="C6" s="1"/>
      <c r="D6" s="1" t="n">
        <v>20</v>
      </c>
      <c r="E6" s="1" t="n">
        <f aca="false">D6*PI()/180</f>
        <v>0.349065850398866</v>
      </c>
      <c r="F6" s="1" t="n">
        <f aca="false">(($B$7*$B$7)/2)*((1+COS(E6)*COS(E6))/(1+$B$8*(1-COS(E6))^2))*(1+(($B$8*$B$8)*(1-COS(E6))^2)/((1+COS(E6)*COS(E6))*(1+$B$8*(1-COS(E6)))))</f>
        <v>7.47453276113241E-026</v>
      </c>
      <c r="G6" s="1" t="n">
        <f aca="false">1/F6</f>
        <v>1.33787626860103E+025</v>
      </c>
      <c r="H6" s="4" t="n">
        <f aca="false">(G6/$G$11)*3600</f>
        <v>366.604266409561</v>
      </c>
      <c r="I6" s="1"/>
      <c r="J6" s="1"/>
      <c r="K6" s="1"/>
    </row>
    <row r="7" customFormat="false" ht="14" hidden="false" customHeight="false" outlineLevel="0" collapsed="false">
      <c r="A7" s="6" t="s">
        <v>6</v>
      </c>
      <c r="B7" s="7" t="n">
        <v>2.82E-013</v>
      </c>
      <c r="C7" s="1"/>
      <c r="D7" s="1" t="n">
        <v>30</v>
      </c>
      <c r="E7" s="1" t="n">
        <f aca="false">D7*PI()/180</f>
        <v>0.523598775598299</v>
      </c>
      <c r="F7" s="1" t="n">
        <f aca="false">(($B$7*$B$7)/2)*((1+COS(E7)*COS(E7))/(1+$B$8*(1-COS(E7))^2))*(1+(($B$8*$B$8)*(1-COS(E7))^2)/((1+COS(E7)*COS(E7))*(1+$B$8*(1-COS(E7)))))</f>
        <v>6.89985245578203E-026</v>
      </c>
      <c r="G7" s="1" t="n">
        <f aca="false">1/F7</f>
        <v>1.44930635315543E+025</v>
      </c>
      <c r="H7" s="4" t="n">
        <f aca="false">(G7/$G$11)*3600</f>
        <v>397.13828914601</v>
      </c>
      <c r="I7" s="1"/>
      <c r="J7" s="1"/>
      <c r="K7" s="1"/>
    </row>
    <row r="8" customFormat="false" ht="15" hidden="false" customHeight="false" outlineLevel="0" collapsed="false">
      <c r="A8" s="8" t="s">
        <v>7</v>
      </c>
      <c r="B8" s="9" t="n">
        <v>1.29</v>
      </c>
      <c r="C8" s="1"/>
      <c r="D8" s="1" t="n">
        <v>50</v>
      </c>
      <c r="E8" s="1" t="n">
        <f aca="false">D8*PI()/180</f>
        <v>0.872664625997165</v>
      </c>
      <c r="F8" s="1" t="n">
        <f aca="false">(($B$7*$B$7)/2)*((1+COS(E8)*COS(E8))/(1+$B$8*(1-COS(E8))^2))*(1+(($B$8*$B$8)*(1-COS(E8))^2)/((1+COS(E8)*COS(E8))*(1+$B$8*(1-COS(E8)))))</f>
        <v>5.32115626711113E-026</v>
      </c>
      <c r="G8" s="1" t="n">
        <f aca="false">1/F8</f>
        <v>1.87929079659016E+025</v>
      </c>
      <c r="H8" s="4" t="n">
        <f aca="false">(G8/$G$11)*3600</f>
        <v>514.962437127755</v>
      </c>
      <c r="I8" s="1"/>
      <c r="J8" s="1"/>
      <c r="K8" s="1"/>
    </row>
    <row r="9" customFormat="false" ht="14" hidden="false" customHeight="false" outlineLevel="0" collapsed="false">
      <c r="A9" s="1"/>
      <c r="B9" s="1"/>
      <c r="C9" s="1"/>
      <c r="D9" s="1" t="n">
        <v>70</v>
      </c>
      <c r="E9" s="1" t="n">
        <f aca="false">D9*PI()/180</f>
        <v>1.22173047639603</v>
      </c>
      <c r="F9" s="1" t="n">
        <f aca="false">(($B$7*$B$7)/2)*((1+COS(E9)*COS(E9))/(1+$B$8*(1-COS(E9))^2))*(1+(($B$8*$B$8)*(1-COS(E9))^2)/((1+COS(E9)*COS(E9))*(1+$B$8*(1-COS(E9)))))</f>
        <v>3.84397946209898E-026</v>
      </c>
      <c r="G9" s="1" t="n">
        <f aca="false">1/F9</f>
        <v>2.60147071507494E+025</v>
      </c>
      <c r="H9" s="4" t="n">
        <f aca="false">(G9/$G$11)*3600</f>
        <v>712.853860606453</v>
      </c>
      <c r="I9" s="1"/>
      <c r="J9" s="1"/>
      <c r="K9" s="1"/>
    </row>
    <row r="10" customFormat="false" ht="15" hidden="false" customHeight="false" outlineLevel="0" collapsed="false">
      <c r="A10" s="1"/>
      <c r="B10" s="1"/>
      <c r="C10" s="1"/>
      <c r="D10" s="1" t="n">
        <v>90</v>
      </c>
      <c r="E10" s="1" t="n">
        <f aca="false">D10*PI()/180</f>
        <v>1.5707963267949</v>
      </c>
      <c r="F10" s="1" t="n">
        <f aca="false">(($B$7*$B$7)/2)*((1+COS(E10)*COS(E10))/(1+$B$8*(1-COS(E10))^2))*(1+(($B$8*$B$8)*(1-COS(E10))^2)/((1+COS(E10)*COS(E10))*(1+$B$8*(1-COS(E10)))))</f>
        <v>2.99809164966343E-026</v>
      </c>
      <c r="G10" s="1" t="n">
        <f aca="false">1/F10</f>
        <v>3.33545507226992E+025</v>
      </c>
      <c r="H10" s="4" t="n">
        <f aca="false">(G10/$G$11)*3600</f>
        <v>913.979931186157</v>
      </c>
      <c r="I10" s="1"/>
      <c r="J10" s="1"/>
      <c r="K10" s="1"/>
    </row>
    <row r="11" customFormat="false" ht="15" hidden="false" customHeight="false" outlineLevel="0" collapsed="false">
      <c r="A11" s="1"/>
      <c r="B11" s="1"/>
      <c r="C11" s="1"/>
      <c r="D11" s="1"/>
      <c r="E11" s="1" t="s">
        <v>8</v>
      </c>
      <c r="F11" s="10" t="n">
        <f aca="false">SUM(F4:F10)</f>
        <v>4.2321681543155E-025</v>
      </c>
      <c r="G11" s="10" t="n">
        <f aca="false">SUM(G4:G10)</f>
        <v>1.31377482704552E+026</v>
      </c>
      <c r="H11" s="4"/>
      <c r="I11" s="1"/>
      <c r="J11" s="1"/>
      <c r="K11" s="1"/>
    </row>
  </sheetData>
  <mergeCells count="1">
    <mergeCell ref="A6:B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4"/>
  <cols>
    <col collapsed="false" hidden="false" max="6" min="1" style="0" width="8.63775510204082"/>
    <col collapsed="false" hidden="false" max="7" min="7" style="0" width="13.0918367346939"/>
    <col collapsed="false" hidden="false" max="1025" min="8" style="0" width="8.63775510204082"/>
  </cols>
  <sheetData>
    <row r="1" customFormat="false" ht="15" hidden="false" customHeight="false" outlineLevel="0" collapsed="false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</row>
    <row r="2" customFormat="false" ht="14" hidden="false" customHeight="false" outlineLevel="0" collapsed="false">
      <c r="A2" s="13" t="s">
        <v>19</v>
      </c>
      <c r="B2" s="14" t="n">
        <v>5</v>
      </c>
      <c r="C2" s="15" t="n">
        <v>1856</v>
      </c>
      <c r="D2" s="15" t="n">
        <v>43</v>
      </c>
      <c r="E2" s="15" t="n">
        <v>1285</v>
      </c>
      <c r="F2" s="15" t="n">
        <v>122</v>
      </c>
      <c r="G2" s="16" t="n">
        <v>662</v>
      </c>
      <c r="H2" s="15" t="n">
        <v>45.92</v>
      </c>
      <c r="I2" s="15" t="n">
        <v>901.94</v>
      </c>
      <c r="J2" s="15" t="n">
        <f aca="false">H2/(2.35*SQRT(E2))</f>
        <v>0.545107871356696</v>
      </c>
    </row>
    <row r="3" customFormat="false" ht="14" hidden="false" customHeight="false" outlineLevel="0" collapsed="false">
      <c r="A3" s="13" t="s">
        <v>20</v>
      </c>
      <c r="B3" s="14" t="n">
        <v>100</v>
      </c>
      <c r="C3" s="15" t="n">
        <v>1927</v>
      </c>
      <c r="D3" s="15" t="n">
        <v>44</v>
      </c>
      <c r="E3" s="15" t="n">
        <v>1131</v>
      </c>
      <c r="F3" s="15" t="n">
        <v>110</v>
      </c>
      <c r="G3" s="15" t="n">
        <v>122</v>
      </c>
      <c r="H3" s="15" t="n">
        <v>19.82</v>
      </c>
      <c r="I3" s="15" t="n">
        <v>188.76</v>
      </c>
      <c r="J3" s="15" t="n">
        <f aca="false">H3/(2.35*SQRT(E3))</f>
        <v>0.250786691127235</v>
      </c>
    </row>
    <row r="4" customFormat="false" ht="14" hidden="false" customHeight="false" outlineLevel="0" collapsed="false">
      <c r="A4" s="13" t="s">
        <v>21</v>
      </c>
      <c r="B4" s="14" t="n">
        <v>81</v>
      </c>
      <c r="C4" s="15" t="n">
        <v>2248</v>
      </c>
      <c r="D4" s="15" t="n">
        <v>47</v>
      </c>
      <c r="E4" s="15" t="n">
        <v>1620</v>
      </c>
      <c r="F4" s="15" t="n">
        <v>132</v>
      </c>
      <c r="G4" s="15" t="n">
        <v>511</v>
      </c>
      <c r="H4" s="15" t="n">
        <v>47.83</v>
      </c>
      <c r="I4" s="15" t="n">
        <v>708</v>
      </c>
      <c r="J4" s="15" t="n">
        <f aca="false">H4/(2.35*SQRT(E4))</f>
        <v>0.505679108103144</v>
      </c>
    </row>
    <row r="5" customFormat="false" ht="14" hidden="false" customHeight="false" outlineLevel="0" collapsed="false">
      <c r="A5" s="13"/>
      <c r="B5" s="14"/>
      <c r="C5" s="15"/>
      <c r="D5" s="15"/>
      <c r="E5" s="15"/>
      <c r="F5" s="15"/>
      <c r="G5" s="15"/>
      <c r="H5" s="15"/>
      <c r="I5" s="15"/>
      <c r="J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4"/>
  <cols>
    <col collapsed="false" hidden="false" max="4" min="1" style="0" width="10.530612244898"/>
    <col collapsed="false" hidden="false" max="5" min="5" style="0" width="11.8775510204082"/>
    <col collapsed="false" hidden="false" max="6" min="6" style="0" width="10.530612244898"/>
    <col collapsed="false" hidden="false" max="7" min="7" style="0" width="11.8775510204082"/>
    <col collapsed="false" hidden="false" max="8" min="8" style="0" width="12.9591836734694"/>
    <col collapsed="false" hidden="false" max="9" min="9" style="0" width="16.0663265306122"/>
    <col collapsed="false" hidden="false" max="10" min="10" style="0" width="16.1989795918367"/>
    <col collapsed="false" hidden="false" max="11" min="11" style="0" width="14.4438775510204"/>
    <col collapsed="false" hidden="false" max="1025" min="12" style="0" width="10.530612244898"/>
  </cols>
  <sheetData>
    <row r="1" customFormat="false" ht="14" hidden="false" customHeight="false" outlineLevel="0" collapsed="false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4" hidden="false" customHeight="false" outlineLevel="0" collapsed="false">
      <c r="A2" s="15"/>
      <c r="B2" s="15"/>
      <c r="C2" s="15"/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4" hidden="false" customHeight="false" outlineLevel="0" collapsed="false">
      <c r="A3" s="15"/>
      <c r="B3" s="15"/>
      <c r="C3" s="15"/>
      <c r="D3" s="15" t="n">
        <v>0</v>
      </c>
      <c r="E3" s="15" t="n">
        <f aca="false">D3*PI()/180</f>
        <v>0</v>
      </c>
      <c r="F3" s="15"/>
      <c r="G3" s="15"/>
      <c r="H3" s="15" t="n">
        <v>662</v>
      </c>
      <c r="I3" s="18" t="n">
        <f aca="false">F3*$B$12+$C$12</f>
        <v>-20.5805</v>
      </c>
      <c r="J3" s="18" t="n">
        <f aca="false">G3*$B$12+F3*$B$13+$C$13</f>
        <v>0.259669</v>
      </c>
      <c r="K3" s="18" t="n">
        <f aca="false">1/I3</f>
        <v>-0.0485896844099998</v>
      </c>
      <c r="L3" s="18" t="n">
        <f aca="false">(K3/I3)*J3</f>
        <v>0.000613067455166795</v>
      </c>
      <c r="M3" s="15" t="n">
        <f aca="false">1-COS(E3)</f>
        <v>0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Format="false" ht="14" hidden="false" customHeight="false" outlineLevel="0" collapsed="false">
      <c r="A4" s="15"/>
      <c r="B4" s="15"/>
      <c r="C4" s="15"/>
      <c r="D4" s="15" t="n">
        <v>10</v>
      </c>
      <c r="E4" s="15" t="n">
        <f aca="false">D4*PI()/180</f>
        <v>0.174532925199433</v>
      </c>
      <c r="F4" s="15"/>
      <c r="G4" s="15"/>
      <c r="H4" s="15" t="n">
        <f aca="false">$H$3/(1+($H$3/511)*(1-COS(E4)))</f>
        <v>649.222304525592</v>
      </c>
      <c r="I4" s="18" t="n">
        <f aca="false">F4*$B$12+$C$12</f>
        <v>-20.5805</v>
      </c>
      <c r="J4" s="18" t="n">
        <f aca="false">G4*$B$12+F4*$B$13+$C$13</f>
        <v>0.259669</v>
      </c>
      <c r="K4" s="18" t="n">
        <f aca="false">1/I4</f>
        <v>-0.0485896844099998</v>
      </c>
      <c r="L4" s="18" t="n">
        <f aca="false">(K4/I4)*J4</f>
        <v>0.000613067455166795</v>
      </c>
      <c r="M4" s="15" t="n">
        <f aca="false">1-COS(E4)</f>
        <v>0.015192246987792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Format="false" ht="14" hidden="false" customHeight="false" outlineLevel="0" collapsed="false">
      <c r="A5" s="15"/>
      <c r="B5" s="15"/>
      <c r="C5" s="15"/>
      <c r="D5" s="15" t="n">
        <v>20</v>
      </c>
      <c r="E5" s="15" t="n">
        <f aca="false">D5*PI()/180</f>
        <v>0.349065850398866</v>
      </c>
      <c r="F5" s="15"/>
      <c r="G5" s="15"/>
      <c r="H5" s="15" t="n">
        <f aca="false">$H$3/(1+($H$3/511)*(1-COS(E5)))</f>
        <v>614.027191045605</v>
      </c>
      <c r="I5" s="18" t="n">
        <f aca="false">F5*$B$12+$C$12</f>
        <v>-20.5805</v>
      </c>
      <c r="J5" s="18" t="n">
        <f aca="false">G5*$B$12+F5*$B$13+$C$13</f>
        <v>0.259669</v>
      </c>
      <c r="K5" s="18" t="n">
        <f aca="false">1/I5</f>
        <v>-0.0485896844099998</v>
      </c>
      <c r="L5" s="18" t="n">
        <f aca="false">(K5/I5)*J5</f>
        <v>0.000613067455166795</v>
      </c>
      <c r="M5" s="15" t="n">
        <f aca="false">1-COS(E5)</f>
        <v>0.0603073792140916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Format="false" ht="14" hidden="false" customHeight="false" outlineLevel="0" collapsed="false">
      <c r="A6" s="15"/>
      <c r="B6" s="15"/>
      <c r="C6" s="15"/>
      <c r="D6" s="15" t="n">
        <v>30</v>
      </c>
      <c r="E6" s="15" t="n">
        <f aca="false">D6*PI()/180</f>
        <v>0.523598775598299</v>
      </c>
      <c r="F6" s="15"/>
      <c r="G6" s="15"/>
      <c r="H6" s="15" t="n">
        <f aca="false">$H$3/(1+($H$3/511)*(1-COS(E6)))</f>
        <v>564.093669811745</v>
      </c>
      <c r="I6" s="18" t="n">
        <f aca="false">F6*$B$12+$C$12</f>
        <v>-20.5805</v>
      </c>
      <c r="J6" s="18" t="n">
        <f aca="false">G6*$B$12+F6*$B$13+$C$13</f>
        <v>0.259669</v>
      </c>
      <c r="K6" s="18" t="n">
        <f aca="false">1/I6</f>
        <v>-0.0485896844099998</v>
      </c>
      <c r="L6" s="18" t="n">
        <f aca="false">(K6/I6)*J6</f>
        <v>0.000613067455166795</v>
      </c>
      <c r="M6" s="15" t="n">
        <f aca="false">1-COS(E6)</f>
        <v>0.133974596215561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Format="false" ht="14" hidden="false" customHeight="false" outlineLevel="0" collapsed="false">
      <c r="A7" s="15"/>
      <c r="B7" s="15"/>
      <c r="C7" s="15"/>
      <c r="D7" s="15" t="n">
        <v>50</v>
      </c>
      <c r="E7" s="15" t="n">
        <f aca="false">D7*PI()/180</f>
        <v>0.872664625997165</v>
      </c>
      <c r="F7" s="15"/>
      <c r="G7" s="15"/>
      <c r="H7" s="15" t="n">
        <f aca="false">$H$3/(1+($H$3/511)*(1-COS(E7)))</f>
        <v>452.566547304072</v>
      </c>
      <c r="I7" s="18" t="n">
        <f aca="false">F7*$B$12+$C$12</f>
        <v>-20.5805</v>
      </c>
      <c r="J7" s="18" t="n">
        <f aca="false">G7*$B$12+F7*$B$13+$C$13</f>
        <v>0.259669</v>
      </c>
      <c r="K7" s="18" t="n">
        <f aca="false">1/I7</f>
        <v>-0.0485896844099998</v>
      </c>
      <c r="L7" s="18" t="n">
        <f aca="false">(K7/I7)*J7</f>
        <v>0.000613067455166795</v>
      </c>
      <c r="M7" s="15" t="n">
        <f aca="false">1-COS(E7)</f>
        <v>0.357212390313461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Format="false" ht="14" hidden="false" customHeight="false" outlineLevel="0" collapsed="false">
      <c r="A8" s="15"/>
      <c r="B8" s="15"/>
      <c r="C8" s="15"/>
      <c r="D8" s="15" t="n">
        <v>70</v>
      </c>
      <c r="E8" s="15" t="n">
        <f aca="false">D8*PI()/180</f>
        <v>1.22173047639603</v>
      </c>
      <c r="F8" s="15"/>
      <c r="G8" s="15"/>
      <c r="H8" s="15" t="n">
        <f aca="false">$H$3/(1+($H$3/511)*(1-COS(E8)))</f>
        <v>357.371851889644</v>
      </c>
      <c r="I8" s="18" t="n">
        <f aca="false">F8*$B$12+$C$12</f>
        <v>-20.5805</v>
      </c>
      <c r="J8" s="18" t="n">
        <f aca="false">G8*$B$12+F8*$B$13+$C$13</f>
        <v>0.259669</v>
      </c>
      <c r="K8" s="18" t="n">
        <f aca="false">1/I8</f>
        <v>-0.0485896844099998</v>
      </c>
      <c r="L8" s="18" t="n">
        <f aca="false">(K8/I8)*J8</f>
        <v>0.000613067455166795</v>
      </c>
      <c r="M8" s="15" t="n">
        <f aca="false">1-COS(E8)</f>
        <v>0.657979856674331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Format="false" ht="15" hidden="false" customHeight="false" outlineLevel="0" collapsed="false">
      <c r="A9" s="15"/>
      <c r="B9" s="15"/>
      <c r="C9" s="15"/>
      <c r="D9" s="15" t="n">
        <v>90</v>
      </c>
      <c r="E9" s="15" t="n">
        <f aca="false">D9*PI()/180</f>
        <v>1.5707963267949</v>
      </c>
      <c r="F9" s="15"/>
      <c r="G9" s="15"/>
      <c r="H9" s="15" t="n">
        <f aca="false">$H$3/(1+($H$3/511)*(1-COS(E9)))</f>
        <v>288.390451832907</v>
      </c>
      <c r="I9" s="18" t="n">
        <f aca="false">F9*$B$12+$C$12</f>
        <v>-20.5805</v>
      </c>
      <c r="J9" s="18" t="n">
        <f aca="false">G9*$B$12+F9*$B$13+$C$13</f>
        <v>0.259669</v>
      </c>
      <c r="K9" s="18" t="n">
        <f aca="false">1/I9</f>
        <v>-0.0485896844099998</v>
      </c>
      <c r="L9" s="18" t="n">
        <f aca="false">(K9/I9)*J9</f>
        <v>0.000613067455166795</v>
      </c>
      <c r="M9" s="15" t="n">
        <f aca="false">1-COS(E9)</f>
        <v>1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Format="false" ht="14" hidden="false" customHeight="false" outlineLevel="0" collapsed="false">
      <c r="A10" s="19" t="s">
        <v>32</v>
      </c>
      <c r="B10" s="19"/>
      <c r="C10" s="1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Format="false" ht="14" hidden="false" customHeight="false" outlineLevel="0" collapsed="false">
      <c r="A11" s="20"/>
      <c r="B11" s="14" t="s">
        <v>33</v>
      </c>
      <c r="C11" s="21" t="s">
        <v>34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Format="false" ht="14" hidden="false" customHeight="false" outlineLevel="0" collapsed="false">
      <c r="A12" s="20" t="s">
        <v>35</v>
      </c>
      <c r="B12" s="22" t="n">
        <v>0.754423</v>
      </c>
      <c r="C12" s="23" t="n">
        <v>-20.5805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Format="false" ht="15" hidden="false" customHeight="false" outlineLevel="0" collapsed="false">
      <c r="A13" s="24" t="s">
        <v>36</v>
      </c>
      <c r="B13" s="25" t="n">
        <v>0.000544893</v>
      </c>
      <c r="C13" s="26" t="n">
        <v>0.259669</v>
      </c>
      <c r="D13" s="15"/>
      <c r="E13" s="15"/>
      <c r="F13" s="15" t="s">
        <v>37</v>
      </c>
      <c r="G13" s="15" t="s">
        <v>38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</sheetData>
  <mergeCells count="1">
    <mergeCell ref="A10:C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"/>
  <cols>
    <col collapsed="false" hidden="false" max="5" min="1" style="0" width="10.530612244898"/>
    <col collapsed="false" hidden="false" max="6" min="6" style="0" width="12.5561224489796"/>
    <col collapsed="false" hidden="false" max="7" min="7" style="0" width="12.6887755102041"/>
    <col collapsed="false" hidden="false" max="8" min="8" style="0" width="16.0663265306122"/>
    <col collapsed="false" hidden="false" max="9" min="9" style="0" width="10.530612244898"/>
    <col collapsed="false" hidden="false" max="10" min="10" style="0" width="12.6887755102041"/>
    <col collapsed="false" hidden="false" max="1025" min="11" style="0" width="10.530612244898"/>
  </cols>
  <sheetData>
    <row r="1" customFormat="false" ht="14" hidden="false" customHeight="false" outlineLevel="0" collapsed="false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customFormat="false" ht="14" hidden="false" customHeight="false" outlineLevel="0" collapsed="false">
      <c r="A2" s="15"/>
      <c r="B2" s="17" t="s">
        <v>22</v>
      </c>
      <c r="C2" s="17" t="s">
        <v>23</v>
      </c>
      <c r="D2" s="17" t="s">
        <v>39</v>
      </c>
      <c r="E2" s="17" t="s">
        <v>40</v>
      </c>
      <c r="F2" s="17" t="s">
        <v>41</v>
      </c>
      <c r="G2" s="17" t="s">
        <v>42</v>
      </c>
      <c r="H2" s="17" t="s">
        <v>43</v>
      </c>
      <c r="I2" s="17" t="s">
        <v>44</v>
      </c>
      <c r="J2" s="17" t="s">
        <v>45</v>
      </c>
      <c r="K2" s="15"/>
      <c r="L2" s="15"/>
      <c r="M2" s="15"/>
      <c r="N2" s="15"/>
      <c r="O2" s="15"/>
    </row>
    <row r="3" customFormat="false" ht="14" hidden="false" customHeight="false" outlineLevel="0" collapsed="false">
      <c r="A3" s="15" t="s">
        <v>46</v>
      </c>
      <c r="B3" s="15" t="n">
        <v>0</v>
      </c>
      <c r="C3" s="27" t="n">
        <f aca="false">B3*PI()/180</f>
        <v>0</v>
      </c>
      <c r="D3" s="15" t="n">
        <v>5</v>
      </c>
      <c r="E3" s="15" t="n">
        <v>1670</v>
      </c>
      <c r="F3" s="15" t="n">
        <v>127</v>
      </c>
      <c r="G3" s="15" t="s">
        <v>47</v>
      </c>
      <c r="H3" s="15" t="s">
        <v>47</v>
      </c>
      <c r="I3" s="15" t="s">
        <v>47</v>
      </c>
      <c r="J3" s="15" t="s">
        <v>47</v>
      </c>
      <c r="K3" s="15"/>
      <c r="L3" s="15"/>
      <c r="M3" s="15"/>
      <c r="N3" s="15"/>
      <c r="O3" s="15"/>
    </row>
    <row r="4" customFormat="false" ht="14" hidden="false" customHeight="false" outlineLevel="0" collapsed="false">
      <c r="A4" s="15" t="s">
        <v>48</v>
      </c>
      <c r="B4" s="15" t="n">
        <v>0</v>
      </c>
      <c r="C4" s="27" t="n">
        <f aca="false">B4*PI()/180</f>
        <v>0</v>
      </c>
      <c r="D4" s="15" t="n">
        <v>5</v>
      </c>
      <c r="E4" s="15" t="n">
        <v>1334</v>
      </c>
      <c r="F4" s="15" t="n">
        <v>123</v>
      </c>
      <c r="G4" s="15" t="s">
        <v>47</v>
      </c>
      <c r="H4" s="15" t="s">
        <v>47</v>
      </c>
      <c r="I4" s="15" t="s">
        <v>47</v>
      </c>
      <c r="J4" s="15" t="s">
        <v>47</v>
      </c>
      <c r="K4" s="15"/>
      <c r="L4" s="15"/>
      <c r="M4" s="15"/>
      <c r="N4" s="15"/>
      <c r="O4" s="15"/>
    </row>
    <row r="5" customFormat="false" ht="14" hidden="false" customHeight="false" outlineLevel="0" collapsed="false">
      <c r="A5" s="15" t="s">
        <v>46</v>
      </c>
      <c r="B5" s="15" t="n">
        <v>10</v>
      </c>
      <c r="C5" s="27" t="n">
        <f aca="false">B5*PI()/180</f>
        <v>0.174532925199433</v>
      </c>
      <c r="D5" s="15" t="n">
        <v>5</v>
      </c>
      <c r="E5" s="15" t="n">
        <v>835</v>
      </c>
      <c r="F5" s="15" t="n">
        <v>88</v>
      </c>
      <c r="G5" s="15" t="s">
        <v>47</v>
      </c>
      <c r="H5" s="15" t="s">
        <v>47</v>
      </c>
      <c r="I5" s="15" t="s">
        <v>47</v>
      </c>
      <c r="J5" s="15" t="s">
        <v>47</v>
      </c>
      <c r="K5" s="15"/>
      <c r="L5" s="15"/>
      <c r="M5" s="15"/>
      <c r="N5" s="15"/>
      <c r="O5" s="15"/>
    </row>
    <row r="6" customFormat="false" ht="14" hidden="false" customHeight="false" outlineLevel="0" collapsed="false">
      <c r="A6" s="15" t="s">
        <v>48</v>
      </c>
      <c r="B6" s="15" t="n">
        <v>10</v>
      </c>
      <c r="C6" s="27" t="n">
        <f aca="false">B6*PI()/180</f>
        <v>0.174532925199433</v>
      </c>
      <c r="D6" s="15" t="n">
        <v>5</v>
      </c>
      <c r="E6" s="15" t="n">
        <v>516</v>
      </c>
      <c r="F6" s="15" t="n">
        <v>66</v>
      </c>
      <c r="G6" s="15" t="n">
        <f aca="false">E5-E6*(E4/E3)</f>
        <v>422.817964071856</v>
      </c>
      <c r="H6" s="15" t="n">
        <f aca="false">F6+F5*(E4/E3)+F4*(F5/E3)+F3*F5*E4/(E3*E3)</f>
        <v>148.121805729858</v>
      </c>
      <c r="I6" s="15" t="n">
        <f aca="false">G6/D6</f>
        <v>84.5635928143713</v>
      </c>
      <c r="J6" s="15" t="n">
        <f aca="false">H6/D6</f>
        <v>29.6243611459715</v>
      </c>
      <c r="K6" s="15"/>
      <c r="L6" s="15"/>
      <c r="M6" s="15"/>
      <c r="N6" s="15"/>
      <c r="O6" s="15"/>
    </row>
    <row r="7" customFormat="false" ht="14" hidden="false" customHeight="false" outlineLevel="0" collapsed="false">
      <c r="A7" s="15" t="s">
        <v>48</v>
      </c>
      <c r="B7" s="15" t="n">
        <v>20</v>
      </c>
      <c r="C7" s="27" t="n">
        <f aca="false">B7*PI()/180</f>
        <v>0.349065850398866</v>
      </c>
      <c r="D7" s="15" t="n">
        <v>100</v>
      </c>
      <c r="E7" s="15" t="n">
        <v>832</v>
      </c>
      <c r="F7" s="15" t="n">
        <v>171</v>
      </c>
      <c r="G7" s="15" t="n">
        <f aca="false">E7</f>
        <v>832</v>
      </c>
      <c r="H7" s="15" t="n">
        <f aca="false">F7</f>
        <v>171</v>
      </c>
      <c r="I7" s="15" t="n">
        <f aca="false">G7/D7</f>
        <v>8.32</v>
      </c>
      <c r="J7" s="15" t="n">
        <f aca="false">H7/D7</f>
        <v>1.71</v>
      </c>
      <c r="K7" s="15"/>
      <c r="L7" s="15"/>
      <c r="M7" s="15"/>
      <c r="N7" s="15"/>
      <c r="O7" s="15"/>
    </row>
    <row r="8" customFormat="false" ht="14" hidden="false" customHeight="false" outlineLevel="0" collapsed="false">
      <c r="A8" s="15" t="s">
        <v>48</v>
      </c>
      <c r="B8" s="15" t="n">
        <v>30</v>
      </c>
      <c r="C8" s="27" t="n">
        <f aca="false">B8*PI()/180</f>
        <v>0.523598775598299</v>
      </c>
      <c r="D8" s="15" t="n">
        <v>180</v>
      </c>
      <c r="E8" s="15" t="n">
        <v>864</v>
      </c>
      <c r="F8" s="15" t="n">
        <v>145</v>
      </c>
      <c r="G8" s="15" t="n">
        <f aca="false">E8</f>
        <v>864</v>
      </c>
      <c r="H8" s="15" t="n">
        <f aca="false">F8</f>
        <v>145</v>
      </c>
      <c r="I8" s="15" t="n">
        <f aca="false">G8/D8</f>
        <v>4.8</v>
      </c>
      <c r="J8" s="15" t="n">
        <f aca="false">H8/D8</f>
        <v>0.805555555555556</v>
      </c>
      <c r="K8" s="15"/>
      <c r="L8" s="15"/>
      <c r="M8" s="15"/>
      <c r="N8" s="15"/>
      <c r="O8" s="15"/>
    </row>
    <row r="9" customFormat="false" ht="14" hidden="false" customHeight="false" outlineLevel="0" collapsed="false">
      <c r="A9" s="15" t="s">
        <v>48</v>
      </c>
      <c r="B9" s="15" t="n">
        <v>50</v>
      </c>
      <c r="C9" s="27" t="n">
        <f aca="false">B9*PI()/180</f>
        <v>0.872664625997165</v>
      </c>
      <c r="D9" s="15" t="n">
        <v>250</v>
      </c>
      <c r="E9" s="15" t="n">
        <v>687</v>
      </c>
      <c r="F9" s="15" t="n">
        <v>225</v>
      </c>
      <c r="G9" s="15" t="n">
        <f aca="false">E9</f>
        <v>687</v>
      </c>
      <c r="H9" s="15" t="n">
        <f aca="false">F9</f>
        <v>225</v>
      </c>
      <c r="I9" s="15" t="n">
        <f aca="false">G9/D9</f>
        <v>2.748</v>
      </c>
      <c r="J9" s="15" t="n">
        <f aca="false">H9/D9</f>
        <v>0.9</v>
      </c>
      <c r="K9" s="15"/>
      <c r="L9" s="15"/>
      <c r="M9" s="15"/>
      <c r="N9" s="15"/>
      <c r="O9" s="15"/>
    </row>
    <row r="10" customFormat="false" ht="14" hidden="false" customHeight="false" outlineLevel="0" collapsed="false">
      <c r="A10" s="15" t="s">
        <v>48</v>
      </c>
      <c r="B10" s="15" t="n">
        <v>70</v>
      </c>
      <c r="C10" s="27" t="n">
        <f aca="false">B10*PI()/180</f>
        <v>1.22173047639603</v>
      </c>
      <c r="D10" s="15" t="n">
        <v>250</v>
      </c>
      <c r="E10" s="15" t="n">
        <v>735</v>
      </c>
      <c r="F10" s="15" t="n">
        <v>137</v>
      </c>
      <c r="G10" s="15" t="n">
        <f aca="false">E10</f>
        <v>735</v>
      </c>
      <c r="H10" s="15" t="n">
        <f aca="false">F10</f>
        <v>137</v>
      </c>
      <c r="I10" s="15" t="n">
        <f aca="false">G10/D10</f>
        <v>2.94</v>
      </c>
      <c r="J10" s="15" t="n">
        <f aca="false">H10/D10</f>
        <v>0.548</v>
      </c>
      <c r="K10" s="15"/>
      <c r="L10" s="15"/>
      <c r="M10" s="15"/>
      <c r="N10" s="15"/>
      <c r="O10" s="15"/>
    </row>
    <row r="11" customFormat="false" ht="14" hidden="false" customHeight="false" outlineLevel="0" collapsed="false">
      <c r="A11" s="15" t="s">
        <v>48</v>
      </c>
      <c r="B11" s="15" t="n">
        <v>90</v>
      </c>
      <c r="C11" s="27" t="n">
        <f aca="false">B11*PI()/180</f>
        <v>1.5707963267949</v>
      </c>
      <c r="D11" s="15" t="n">
        <v>430</v>
      </c>
      <c r="E11" s="15" t="n">
        <v>619</v>
      </c>
      <c r="F11" s="15" t="n">
        <v>309</v>
      </c>
      <c r="G11" s="15" t="n">
        <f aca="false">E11</f>
        <v>619</v>
      </c>
      <c r="H11" s="15" t="n">
        <f aca="false">F11</f>
        <v>309</v>
      </c>
      <c r="I11" s="15" t="n">
        <f aca="false">G11/D11</f>
        <v>1.43953488372093</v>
      </c>
      <c r="J11" s="15" t="n">
        <f aca="false">H11/D11</f>
        <v>0.718604651162791</v>
      </c>
      <c r="K11" s="15"/>
      <c r="L11" s="15"/>
      <c r="M11" s="15"/>
      <c r="N11" s="15"/>
      <c r="O11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9" activeCellId="0" sqref="L9"/>
    </sheetView>
  </sheetViews>
  <sheetFormatPr defaultRowHeight="12.8"/>
  <cols>
    <col collapsed="false" hidden="false" max="6" min="1" style="0" width="11.5204081632653"/>
    <col collapsed="false" hidden="false" max="7" min="7" style="0" width="15"/>
    <col collapsed="false" hidden="false" max="1025" min="8" style="0" width="11.5204081632653"/>
  </cols>
  <sheetData>
    <row r="1" customFormat="false" ht="13.8" hidden="false" customHeight="false" outlineLevel="0" collapsed="false">
      <c r="B1" s="16" t="s">
        <v>49</v>
      </c>
      <c r="C1" s="16"/>
    </row>
    <row r="2" customFormat="false" ht="13.8" hidden="false" customHeight="false" outlineLevel="0" collapsed="false">
      <c r="A2" s="0" t="s">
        <v>50</v>
      </c>
      <c r="B2" s="0" t="s">
        <v>51</v>
      </c>
      <c r="C2" s="0" t="s">
        <v>52</v>
      </c>
      <c r="D2" s="0" t="s">
        <v>53</v>
      </c>
      <c r="E2" s="0" t="s">
        <v>54</v>
      </c>
      <c r="F2" s="0" t="s">
        <v>24</v>
      </c>
      <c r="G2" s="0" t="s">
        <v>55</v>
      </c>
      <c r="H2" s="0" t="s">
        <v>56</v>
      </c>
      <c r="I2" s="0" t="s">
        <v>57</v>
      </c>
      <c r="J2" s="0" t="s">
        <v>13</v>
      </c>
      <c r="K2" s="0" t="s">
        <v>58</v>
      </c>
      <c r="L2" s="0" t="s">
        <v>59</v>
      </c>
    </row>
    <row r="3" customFormat="false" ht="13.8" hidden="false" customHeight="false" outlineLevel="0" collapsed="false">
      <c r="A3" s="0" t="s">
        <v>60</v>
      </c>
      <c r="B3" s="0" t="n">
        <v>3.21996</v>
      </c>
      <c r="C3" s="0" t="n">
        <v>3.13921</v>
      </c>
      <c r="D3" s="0" t="n">
        <f aca="false">9.52423*10 ^(-4)</f>
        <v>0.000952423</v>
      </c>
      <c r="E3" s="0" t="n">
        <f aca="false">1.22421* 10^(-3)</f>
        <v>0.00122421</v>
      </c>
      <c r="F3" s="0" t="n">
        <v>911.989</v>
      </c>
      <c r="G3" s="0" t="n">
        <v>0.944564</v>
      </c>
      <c r="H3" s="0" t="n">
        <v>31.5398</v>
      </c>
      <c r="I3" s="0" t="n">
        <v>0.838968</v>
      </c>
      <c r="J3" s="0" t="n">
        <v>1844.25</v>
      </c>
      <c r="K3" s="0" t="n">
        <v>49.1374</v>
      </c>
      <c r="L3" s="0" t="n">
        <v>0.820215</v>
      </c>
    </row>
    <row r="4" customFormat="false" ht="13.8" hidden="false" customHeight="false" outlineLevel="0" collapsed="false">
      <c r="A4" s="0" t="s">
        <v>61</v>
      </c>
      <c r="B4" s="0" t="n">
        <v>2.50686</v>
      </c>
      <c r="C4" s="0" t="n">
        <v>2.36921</v>
      </c>
      <c r="D4" s="0" t="n">
        <f aca="false">6.04869*10^(-4)</f>
        <v>0.000604869</v>
      </c>
      <c r="E4" s="0" t="n">
        <f aca="false">1.10558* 10^(-3)</f>
        <v>0.00110558</v>
      </c>
      <c r="F4" s="0" t="n">
        <v>910.162</v>
      </c>
      <c r="G4" s="0" t="n">
        <v>1.10558</v>
      </c>
      <c r="H4" s="0" t="n">
        <v>31.4556</v>
      </c>
      <c r="I4" s="0" t="n">
        <v>0.950889</v>
      </c>
      <c r="J4" s="0" t="n">
        <v>1465.68</v>
      </c>
      <c r="K4" s="0" t="n">
        <v>45.4335</v>
      </c>
      <c r="L4" s="0" t="n">
        <v>0.817779</v>
      </c>
    </row>
    <row r="5" customFormat="false" ht="12.8" hidden="false" customHeight="false" outlineLevel="0" collapsed="false">
      <c r="A5" s="0" t="s">
        <v>62</v>
      </c>
      <c r="B5" s="0" t="n">
        <f aca="false">4.2864* 10 ^7</f>
        <v>42864000</v>
      </c>
      <c r="C5" s="0" t="n">
        <f aca="false">6.27147* 10 ^7</f>
        <v>62714700</v>
      </c>
      <c r="D5" s="0" t="n">
        <v>0.0225187</v>
      </c>
      <c r="E5" s="0" t="n">
        <v>0.0018728</v>
      </c>
      <c r="F5" s="0" t="n">
        <v>891.5</v>
      </c>
      <c r="G5" s="0" t="n">
        <v>1.54713</v>
      </c>
      <c r="H5" s="0" t="n">
        <v>21.564</v>
      </c>
      <c r="I5" s="0" t="n">
        <v>0.702352</v>
      </c>
      <c r="J5" s="0" t="n">
        <v>403.613</v>
      </c>
      <c r="K5" s="0" t="n">
        <v>20.5428</v>
      </c>
      <c r="L5" s="0" t="n">
        <v>1.70095</v>
      </c>
    </row>
    <row r="6" customFormat="false" ht="13.8" hidden="false" customHeight="false" outlineLevel="0" collapsed="false">
      <c r="A6" s="0" t="s">
        <v>63</v>
      </c>
      <c r="B6" s="0" t="n">
        <f aca="false">3.98727* 10 ^7</f>
        <v>39872700</v>
      </c>
      <c r="C6" s="0" t="n">
        <f aca="false">5.87972* 10 ^7</f>
        <v>58797200</v>
      </c>
      <c r="D6" s="0" t="n">
        <f aca="false">0.0221823</f>
        <v>0.0221823</v>
      </c>
      <c r="E6" s="0" t="n">
        <v>0.00187529</v>
      </c>
      <c r="F6" s="0" t="n">
        <v>897.915</v>
      </c>
      <c r="G6" s="0" t="n">
        <v>1.09521</v>
      </c>
      <c r="H6" s="0" t="n">
        <v>24.664</v>
      </c>
      <c r="I6" s="0" t="n">
        <v>0.555488</v>
      </c>
      <c r="J6" s="0" t="n">
        <v>783.937</v>
      </c>
      <c r="K6" s="0" t="n">
        <v>28.4368</v>
      </c>
      <c r="L6" s="0" t="n">
        <v>1.86668</v>
      </c>
    </row>
    <row r="7" customFormat="false" ht="12.8" hidden="false" customHeight="false" outlineLevel="0" collapsed="false">
      <c r="A7" s="0" t="s">
        <v>64</v>
      </c>
      <c r="B7" s="0" t="n">
        <v>21.6685</v>
      </c>
      <c r="C7" s="0" t="n">
        <v>5.23797</v>
      </c>
      <c r="D7" s="0" t="n">
        <v>0.00265397</v>
      </c>
      <c r="E7" s="0" t="n">
        <v>0.00035134</v>
      </c>
      <c r="F7" s="0" t="n">
        <v>832.025</v>
      </c>
      <c r="G7" s="0" t="n">
        <v>3.1139</v>
      </c>
      <c r="H7" s="0" t="n">
        <v>42.1544</v>
      </c>
      <c r="I7" s="0" t="n">
        <v>1.89535</v>
      </c>
      <c r="J7" s="0" t="n">
        <v>681.874</v>
      </c>
      <c r="K7" s="0" t="n">
        <v>35.9512</v>
      </c>
      <c r="L7" s="0" t="n">
        <v>1.83914</v>
      </c>
    </row>
    <row r="8" customFormat="false" ht="13.8" hidden="false" customHeight="false" outlineLevel="0" collapsed="false">
      <c r="A8" s="0" t="s">
        <v>65</v>
      </c>
      <c r="B8" s="0" t="n">
        <v>25.837</v>
      </c>
      <c r="C8" s="0" t="n">
        <v>4.72354</v>
      </c>
      <c r="D8" s="0" t="n">
        <v>0.00301323</v>
      </c>
      <c r="E8" s="0" t="n">
        <v>0.000271023</v>
      </c>
      <c r="F8" s="0" t="n">
        <v>764.573</v>
      </c>
      <c r="G8" s="0" t="n">
        <v>2.48557</v>
      </c>
      <c r="H8" s="0" t="n">
        <v>39.7411</v>
      </c>
      <c r="I8" s="0" t="n">
        <v>1.74716</v>
      </c>
      <c r="J8" s="0" t="n">
        <v>725.127</v>
      </c>
      <c r="K8" s="0" t="n">
        <v>36.3912</v>
      </c>
      <c r="L8" s="0" t="n">
        <v>1.39098</v>
      </c>
    </row>
    <row r="9" customFormat="false" ht="12.8" hidden="false" customHeight="false" outlineLevel="0" collapsed="false">
      <c r="A9" s="0" t="s">
        <v>66</v>
      </c>
      <c r="B9" s="0" t="n">
        <v>38.2947</v>
      </c>
      <c r="C9" s="0" t="n">
        <v>3.16978</v>
      </c>
      <c r="D9" s="0" t="n">
        <v>0.00332823</v>
      </c>
      <c r="E9" s="0" t="n">
        <v>0.000155867</v>
      </c>
      <c r="F9" s="0" t="n">
        <v>639.412</v>
      </c>
      <c r="G9" s="0" t="n">
        <v>3.20789</v>
      </c>
      <c r="H9" s="0" t="n">
        <v>46.8458</v>
      </c>
      <c r="I9" s="0" t="n">
        <v>2.81976</v>
      </c>
      <c r="J9" s="0" t="n">
        <v>754.462</v>
      </c>
      <c r="K9" s="0" t="n">
        <v>43.9134</v>
      </c>
      <c r="L9" s="0" t="n">
        <v>1.1893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2017-11-26T01:19:26Z</dcterms:created>
  <dc:creator>Francisco Duque</dc:creator>
  <dc:description/>
  <dc:language>pt-PT</dc:language>
  <cp:lastModifiedBy/>
  <dcterms:modified xsi:type="dcterms:W3CDTF">2017-11-26T16:02:14Z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