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Determinação da Energy Range" sheetId="1" state="visible" r:id="rId2"/>
    <sheet name="Calibração - Semana 1" sheetId="2" state="visible" r:id="rId3"/>
    <sheet name="Estudo da Fonte Desconhecida" sheetId="3" state="visible" r:id="rId4"/>
    <sheet name="Calibração - Semana 2" sheetId="4" state="visible" r:id="rId5"/>
    <sheet name="dEdx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<sst xmlns="http://schemas.openxmlformats.org/spreadsheetml/2006/main" count="174" uniqueCount="99">
  <si>
    <t xml:space="preserve">Range</t>
  </si>
  <si>
    <t xml:space="preserve">N_t</t>
  </si>
  <si>
    <t xml:space="preserve">Erro N_t</t>
  </si>
  <si>
    <t xml:space="preserve">FWHM</t>
  </si>
  <si>
    <t xml:space="preserve">C</t>
  </si>
  <si>
    <t xml:space="preserve">Erro C</t>
  </si>
  <si>
    <t xml:space="preserve">V_0</t>
  </si>
  <si>
    <t xml:space="preserve">G</t>
  </si>
  <si>
    <t xml:space="preserve">3-8</t>
  </si>
  <si>
    <t xml:space="preserve">4-7</t>
  </si>
  <si>
    <t xml:space="preserve">3-5</t>
  </si>
  <si>
    <t xml:space="preserve">4-6</t>
  </si>
  <si>
    <t xml:space="preserve">5-7</t>
  </si>
  <si>
    <t xml:space="preserve">6-8</t>
  </si>
  <si>
    <t xml:space="preserve">taq</t>
  </si>
  <si>
    <t xml:space="preserve">150 s</t>
  </si>
  <si>
    <t xml:space="preserve">Tensão (V)</t>
  </si>
  <si>
    <t xml:space="preserve">4.6</t>
  </si>
  <si>
    <t xml:space="preserve">4.9</t>
  </si>
  <si>
    <t xml:space="preserve">5.2</t>
  </si>
  <si>
    <t xml:space="preserve">5.5</t>
  </si>
  <si>
    <t xml:space="preserve">5.8</t>
  </si>
  <si>
    <t xml:space="preserve">6.1</t>
  </si>
  <si>
    <t xml:space="preserve">Conversao</t>
  </si>
  <si>
    <t xml:space="preserve">Ponto Graduador</t>
  </si>
  <si>
    <t xml:space="preserve">K</t>
  </si>
  <si>
    <t xml:space="preserve">Erro K</t>
  </si>
  <si>
    <t xml:space="preserve">a'</t>
  </si>
  <si>
    <t xml:space="preserve">Erro a'</t>
  </si>
  <si>
    <t xml:space="preserve">b'</t>
  </si>
  <si>
    <t xml:space="preserve">Erro b'</t>
  </si>
  <si>
    <t xml:space="preserve">Centroide</t>
  </si>
  <si>
    <t xml:space="preserve">Erro Centroide</t>
  </si>
  <si>
    <t xml:space="preserve">Energia</t>
  </si>
  <si>
    <t xml:space="preserve">Calibracao Tensao-Canal</t>
  </si>
  <si>
    <t xml:space="preserve">a</t>
  </si>
  <si>
    <t xml:space="preserve">erro a</t>
  </si>
  <si>
    <t xml:space="preserve">b</t>
  </si>
  <si>
    <t xml:space="preserve">erro b</t>
  </si>
  <si>
    <t xml:space="preserve">df</t>
  </si>
  <si>
    <t xml:space="preserve">$\lambda$</t>
  </si>
  <si>
    <t xml:space="preserve">err</t>
  </si>
  <si>
    <t xml:space="preserve">$\mu$</t>
  </si>
  <si>
    <t xml:space="preserve">$\sigma$</t>
  </si>
  <si>
    <t xml:space="preserve">$\Delta E_{imp}$</t>
  </si>
  <si>
    <t xml:space="preserve">N</t>
  </si>
  <si>
    <t xml:space="preserve">Chi^2/Ndf</t>
  </si>
  <si>
    <t xml:space="preserve">small</t>
  </si>
  <si>
    <t xml:space="preserve">med</t>
  </si>
  <si>
    <t xml:space="preserve">big</t>
  </si>
  <si>
    <t xml:space="preserve">MultiDireita1</t>
  </si>
  <si>
    <t xml:space="preserve">-</t>
  </si>
  <si>
    <t xml:space="preserve">MultiDireita2</t>
  </si>
  <si>
    <t xml:space="preserve">Ntot</t>
  </si>
  <si>
    <t xml:space="preserve">Nfit</t>
  </si>
  <si>
    <t xml:space="preserve">Resolução</t>
  </si>
  <si>
    <t xml:space="preserve">Pico</t>
  </si>
  <si>
    <t xml:space="preserve">E (MeV)</t>
  </si>
  <si>
    <t xml:space="preserve">FWHM (MeV)</t>
  </si>
  <si>
    <t xml:space="preserve">Resolução (\%)</t>
  </si>
  <si>
    <t xml:space="preserve">NAO SE USA OS MULTI 1 E 2 NA RESOLUÇAO </t>
  </si>
  <si>
    <t xml:space="preserve">Média</t>
  </si>
  <si>
    <t xml:space="preserve">deltaE (MeV)</t>
  </si>
  <si>
    <t xml:space="preserve">Nt</t>
  </si>
  <si>
    <t xml:space="preserve">Err</t>
  </si>
  <si>
    <t xml:space="preserve">Ns</t>
  </si>
  <si>
    <t xml:space="preserve">Probabilidade </t>
  </si>
  <si>
    <t xml:space="preserve">Delta E</t>
  </si>
  <si>
    <t xml:space="preserve">sigma</t>
  </si>
  <si>
    <t xml:space="preserve">Pulso</t>
  </si>
  <si>
    <t xml:space="preserve">Canal</t>
  </si>
  <si>
    <t xml:space="preserve">Contagens</t>
  </si>
  <si>
    <t xml:space="preserve">sigma estatistico</t>
  </si>
  <si>
    <t xml:space="preserve">Centróide</t>
  </si>
  <si>
    <t xml:space="preserve">Prateleira</t>
  </si>
  <si>
    <t xml:space="preserve">d(mm)</t>
  </si>
  <si>
    <t xml:space="preserve">1/eficiencia</t>
  </si>
  <si>
    <t xml:space="preserve">t_aq (s)</t>
  </si>
  <si>
    <t xml:space="preserve">N_s</t>
  </si>
  <si>
    <t xml:space="preserve">Erro N_s</t>
  </si>
  <si>
    <t xml:space="preserve">Erro E</t>
  </si>
  <si>
    <t xml:space="preserve">E0 (Mev)</t>
  </si>
  <si>
    <t xml:space="preserve">Ajuste final (E=a*C+b)</t>
  </si>
  <si>
    <t xml:space="preserve">parametro</t>
  </si>
  <si>
    <t xml:space="preserve">valor</t>
  </si>
  <si>
    <t xml:space="preserve">erro</t>
  </si>
  <si>
    <t xml:space="preserve">ρ ar (mg/cm^3) (20ºC)</t>
  </si>
  <si>
    <t xml:space="preserve">Energia(MeV)</t>
  </si>
  <si>
    <t xml:space="preserve">Alcance</t>
  </si>
  <si>
    <t xml:space="preserve">dE/dx</t>
  </si>
  <si>
    <t xml:space="preserve">O</t>
  </si>
  <si>
    <t xml:space="preserve">0.2 O + 0.8 N</t>
  </si>
  <si>
    <t xml:space="preserve">Energia (keV)</t>
  </si>
  <si>
    <t xml:space="preserve">Delta E medido (Mev)</t>
  </si>
  <si>
    <t xml:space="preserve">Erro </t>
  </si>
  <si>
    <t xml:space="preserve">Delta E (Alcance)</t>
  </si>
  <si>
    <t xml:space="preserve">Delta E (médio)</t>
  </si>
  <si>
    <t xml:space="preserve">Delta E (por troços)</t>
  </si>
  <si>
    <t xml:space="preserve">NÃO TÊM ERRO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</si>
</sst>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0"/>
    <numFmt numFmtId="167" formatCode="0.00"/>
    <numFmt numFmtId="168" formatCode="#,##0.000"/>
    <numFmt numFmtId="169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FFFF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H7" headerRowCount="1" totalsRowCount="0" totalsRowShown="0">
  <autoFilter ref="A1:H7"/>
  <tableColumns count="8">
    <tableColumn id="1" name="Range"/>
    <tableColumn id="2" name="N_t"/>
    <tableColumn id="3" name="Erro N_t"/>
    <tableColumn id="4" name="FWHM"/>
    <tableColumn id="5" name="C"/>
    <tableColumn id="6" name="Erro C"/>
    <tableColumn id="7" name="V_0"/>
    <tableColumn id="8" name="G"/>
  </tableColumns>
</table>
</file>

<file path=xl/tables/table2.xml><?xml version="1.0" encoding="utf-8"?>
<table xmlns="http://schemas.openxmlformats.org/spreadsheetml/2006/main" id="2" name="Tabela24" displayName="Tabela24" ref="A1:F7" headerRowCount="1" totalsRowCount="0" totalsRowShown="0">
  <autoFilter ref="A1:F7"/>
  <tableColumns count="6">
    <tableColumn id="1" name="Tensão (V)"/>
    <tableColumn id="2" name="N_t"/>
    <tableColumn id="3" name="Erro N_t"/>
    <tableColumn id="4" name="FWHM"/>
    <tableColumn id="5" name="C"/>
    <tableColumn id="6" name="Erro C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4"/>
  <cols>
    <col collapsed="false" hidden="false" max="1" min="1" style="0" width="19.4251012145749"/>
    <col collapsed="false" hidden="false" max="2" min="2" style="0" width="15.0485829959514"/>
    <col collapsed="false" hidden="false" max="3" min="3" style="0" width="22.5668016194332"/>
    <col collapsed="false" hidden="false" max="4" min="4" style="0" width="20.1902834008097"/>
    <col collapsed="false" hidden="false" max="5" min="5" style="0" width="21.8016194331984"/>
    <col collapsed="false" hidden="false" max="6" min="6" style="0" width="18.9473684210526"/>
    <col collapsed="false" hidden="false" max="1025" min="7" style="0" width="15.6194331983806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4.4" hidden="false" customHeight="false" outlineLevel="0" collapsed="false">
      <c r="A2" s="2" t="s">
        <v>8</v>
      </c>
      <c r="B2" s="3" t="n">
        <v>87</v>
      </c>
      <c r="C2" s="3" t="n">
        <v>9</v>
      </c>
      <c r="D2" s="3" t="n">
        <v>3.93</v>
      </c>
      <c r="E2" s="4" t="n">
        <v>630.35</v>
      </c>
      <c r="F2" s="4" t="n">
        <f aca="false">D2/(2.355*SQRT(B2))</f>
        <v>0.17891304721497</v>
      </c>
      <c r="G2" s="3" t="n">
        <v>3</v>
      </c>
      <c r="H2" s="3" t="n">
        <v>2</v>
      </c>
    </row>
    <row r="3" customFormat="false" ht="14.4" hidden="false" customHeight="false" outlineLevel="0" collapsed="false">
      <c r="A3" s="2" t="s">
        <v>9</v>
      </c>
      <c r="B3" s="3" t="n">
        <v>84</v>
      </c>
      <c r="C3" s="3" t="n">
        <v>9</v>
      </c>
      <c r="D3" s="3" t="n">
        <v>5.16</v>
      </c>
      <c r="E3" s="4" t="n">
        <v>633.23</v>
      </c>
      <c r="F3" s="4" t="n">
        <f aca="false">D3/(2.355*SQRT(B3))</f>
        <v>0.23906673325217</v>
      </c>
      <c r="G3" s="3" t="n">
        <v>4</v>
      </c>
      <c r="H3" s="3" t="n">
        <v>3.33</v>
      </c>
    </row>
    <row r="4" customFormat="false" ht="14.4" hidden="false" customHeight="false" outlineLevel="0" collapsed="false">
      <c r="A4" s="2" t="s">
        <v>10</v>
      </c>
      <c r="B4" s="3" t="n">
        <v>1</v>
      </c>
      <c r="C4" s="3"/>
      <c r="D4" s="3"/>
      <c r="E4" s="4" t="n">
        <v>0</v>
      </c>
      <c r="F4" s="4" t="n">
        <f aca="false">D4/(2.355*SQRT(B4))</f>
        <v>0</v>
      </c>
      <c r="G4" s="3" t="n">
        <v>3</v>
      </c>
      <c r="H4" s="3" t="n">
        <v>5</v>
      </c>
    </row>
    <row r="5" customFormat="false" ht="14.4" hidden="false" customHeight="false" outlineLevel="0" collapsed="false">
      <c r="A5" s="2" t="s">
        <v>11</v>
      </c>
      <c r="B5" s="3" t="n">
        <v>91</v>
      </c>
      <c r="C5" s="3" t="n">
        <v>10</v>
      </c>
      <c r="D5" s="3" t="n">
        <v>1.57</v>
      </c>
      <c r="E5" s="4" t="n">
        <v>932</v>
      </c>
      <c r="F5" s="4" t="n">
        <f aca="false">D5/(2.355*SQRT(B5))</f>
        <v>0.0698856557814612</v>
      </c>
      <c r="G5" s="3" t="n">
        <v>4</v>
      </c>
      <c r="H5" s="3" t="n">
        <v>5</v>
      </c>
    </row>
    <row r="6" customFormat="false" ht="14.4" hidden="false" customHeight="false" outlineLevel="0" collapsed="false">
      <c r="A6" s="2" t="s">
        <v>12</v>
      </c>
      <c r="B6" s="3" t="n">
        <v>84</v>
      </c>
      <c r="C6" s="3" t="n">
        <v>9</v>
      </c>
      <c r="D6" s="3" t="n">
        <v>7.69</v>
      </c>
      <c r="E6" s="4" t="n">
        <v>347.42</v>
      </c>
      <c r="F6" s="4" t="n">
        <f aca="false">D6/(2.355*SQRT(B6))</f>
        <v>0.356283561765346</v>
      </c>
      <c r="G6" s="3" t="n">
        <v>5</v>
      </c>
      <c r="H6" s="3" t="n">
        <v>5</v>
      </c>
    </row>
    <row r="7" customFormat="false" ht="14.4" hidden="false" customHeight="false" outlineLevel="0" collapsed="false">
      <c r="A7" s="2" t="s">
        <v>13</v>
      </c>
      <c r="B7" s="3" t="n">
        <v>0</v>
      </c>
      <c r="C7" s="3" t="n">
        <v>0</v>
      </c>
      <c r="D7" s="3"/>
      <c r="E7" s="5" t="n">
        <v>0</v>
      </c>
      <c r="F7" s="4" t="e">
        <f aca="false">D7/(2.355*SQRT(B7))</f>
        <v>#DIV/0!</v>
      </c>
      <c r="G7" s="3" t="n">
        <v>6</v>
      </c>
      <c r="H7" s="3" t="n">
        <v>5</v>
      </c>
    </row>
    <row r="9" customFormat="false" ht="14.4" hidden="false" customHeight="false" outlineLevel="0" collapsed="false">
      <c r="A9" s="3" t="s">
        <v>14</v>
      </c>
    </row>
    <row r="10" customFormat="false" ht="14.4" hidden="false" customHeight="false" outlineLevel="0" collapsed="false">
      <c r="A10" s="6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RowHeight="14.4"/>
  <cols>
    <col collapsed="false" hidden="false" max="1" min="1" style="0" width="26.2793522267206"/>
    <col collapsed="false" hidden="false" max="2" min="2" style="0" width="21.8016194331984"/>
    <col collapsed="false" hidden="false" max="3" min="3" style="0" width="22.5668016194332"/>
    <col collapsed="false" hidden="false" max="4" min="4" style="0" width="20.1902834008097"/>
    <col collapsed="false" hidden="false" max="5" min="5" style="0" width="15.6194331983806"/>
    <col collapsed="false" hidden="false" max="6" min="6" style="0" width="20.8542510121457"/>
    <col collapsed="false" hidden="false" max="10" min="7" style="0" width="15.6194331983806"/>
    <col collapsed="false" hidden="false" max="11" min="11" style="0" width="21.8016194331984"/>
    <col collapsed="false" hidden="false" max="1025" min="12" style="0" width="15.6194331983806"/>
  </cols>
  <sheetData>
    <row r="1" customFormat="false" ht="14.4" hidden="false" customHeight="false" outlineLevel="0" collapsed="false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4.4" hidden="false" customHeight="false" outlineLevel="0" collapsed="false">
      <c r="A2" s="2" t="s">
        <v>17</v>
      </c>
      <c r="B2" s="3" t="n">
        <v>883</v>
      </c>
      <c r="C2" s="3" t="n">
        <v>30</v>
      </c>
      <c r="D2" s="3" t="n">
        <v>3.98</v>
      </c>
      <c r="E2" s="4" t="n">
        <v>49.4</v>
      </c>
      <c r="F2" s="4" t="n">
        <f aca="false">D2/(2.355*SQRT(B2))</f>
        <v>0.0568737426917524</v>
      </c>
    </row>
    <row r="3" customFormat="false" ht="14.4" hidden="false" customHeight="false" outlineLevel="0" collapsed="false">
      <c r="A3" s="2" t="s">
        <v>18</v>
      </c>
      <c r="B3" s="3" t="n">
        <v>882</v>
      </c>
      <c r="C3" s="3" t="n">
        <v>30</v>
      </c>
      <c r="D3" s="3" t="n">
        <v>4.96</v>
      </c>
      <c r="E3" s="4" t="n">
        <v>228.47</v>
      </c>
      <c r="F3" s="4" t="n">
        <f aca="false">D3/(2.355*SQRT(B3))</f>
        <v>0.070917998881514</v>
      </c>
    </row>
    <row r="4" customFormat="false" ht="14.4" hidden="false" customHeight="false" outlineLevel="0" collapsed="false">
      <c r="A4" s="2" t="s">
        <v>19</v>
      </c>
      <c r="B4" s="3" t="n">
        <v>883</v>
      </c>
      <c r="C4" s="3" t="n">
        <v>30</v>
      </c>
      <c r="D4" s="3" t="n">
        <v>4.16</v>
      </c>
      <c r="E4" s="4" t="n">
        <v>403.5</v>
      </c>
      <c r="F4" s="4" t="n">
        <f aca="false">D4/(2.355*SQRT(B4))</f>
        <v>0.0594459220094698</v>
      </c>
    </row>
    <row r="5" customFormat="false" ht="14.4" hidden="false" customHeight="false" outlineLevel="0" collapsed="false">
      <c r="A5" s="2" t="s">
        <v>20</v>
      </c>
      <c r="B5" s="3" t="n">
        <v>883</v>
      </c>
      <c r="C5" s="3" t="n">
        <v>30</v>
      </c>
      <c r="D5" s="3" t="n">
        <v>3.87</v>
      </c>
      <c r="E5" s="4" t="n">
        <v>573.56</v>
      </c>
      <c r="F5" s="4" t="n">
        <f aca="false">D5/(2.355*SQRT(B5))</f>
        <v>0.0553018553309251</v>
      </c>
    </row>
    <row r="6" customFormat="false" ht="14.4" hidden="false" customHeight="false" outlineLevel="0" collapsed="false">
      <c r="A6" s="2" t="s">
        <v>21</v>
      </c>
      <c r="B6" s="3" t="n">
        <v>883</v>
      </c>
      <c r="C6" s="3" t="n">
        <v>30</v>
      </c>
      <c r="D6" s="3" t="n">
        <v>4.41</v>
      </c>
      <c r="E6" s="4" t="n">
        <v>742.07</v>
      </c>
      <c r="F6" s="4" t="n">
        <f aca="false">D6/(2.355*SQRT(B6))</f>
        <v>0.0630183932840774</v>
      </c>
    </row>
    <row r="7" customFormat="false" ht="14.4" hidden="false" customHeight="false" outlineLevel="0" collapsed="false">
      <c r="A7" s="2" t="s">
        <v>22</v>
      </c>
      <c r="B7" s="3" t="n">
        <v>883</v>
      </c>
      <c r="C7" s="3" t="n">
        <v>30</v>
      </c>
      <c r="D7" s="3" t="n">
        <v>3.75</v>
      </c>
      <c r="E7" s="4" t="n">
        <v>918.28</v>
      </c>
      <c r="F7" s="4" t="n">
        <f aca="false">D7/(2.355*SQRT(B7))</f>
        <v>0.0535870691191134</v>
      </c>
    </row>
    <row r="9" customFormat="false" ht="14.4" hidden="false" customHeight="false" outlineLevel="0" collapsed="false">
      <c r="D9" s="7"/>
      <c r="H9" s="8" t="s">
        <v>23</v>
      </c>
      <c r="I9" s="8"/>
      <c r="J9" s="8"/>
      <c r="K9" s="8"/>
    </row>
    <row r="10" customFormat="false" ht="14.4" hidden="false" customHeight="false" outlineLevel="0" collapsed="false">
      <c r="A10" s="8" t="s">
        <v>24</v>
      </c>
      <c r="B10" s="8"/>
      <c r="C10" s="8"/>
      <c r="G10" s="7"/>
      <c r="H10" s="3" t="s">
        <v>25</v>
      </c>
      <c r="I10" s="3" t="s">
        <v>26</v>
      </c>
      <c r="J10" s="3" t="s">
        <v>27</v>
      </c>
      <c r="K10" s="3" t="s">
        <v>28</v>
      </c>
      <c r="L10" s="3" t="s">
        <v>29</v>
      </c>
      <c r="M10" s="3" t="s">
        <v>30</v>
      </c>
    </row>
    <row r="11" customFormat="false" ht="14.4" hidden="false" customHeight="false" outlineLevel="0" collapsed="false">
      <c r="A11" s="3" t="s">
        <v>3</v>
      </c>
      <c r="B11" s="3" t="s">
        <v>31</v>
      </c>
      <c r="C11" s="6" t="s">
        <v>32</v>
      </c>
      <c r="D11" s="3" t="s">
        <v>33</v>
      </c>
      <c r="H11" s="3" t="n">
        <f aca="false">D12/(A16*B12+C16)</f>
        <v>1.02869211570664</v>
      </c>
      <c r="I11" s="3" t="n">
        <f aca="false">SQRT(POWER(B12*H11*B16/(A16*B12+C16),2)+POWER(H11*D16/(A16*B12+C16),2)+POWER(A16*H11*C12/(A16*B12+C16),2))</f>
        <v>0.000124579213922169</v>
      </c>
      <c r="J11" s="3" t="n">
        <f aca="false">H11*A16</f>
        <v>0.00178240454196374</v>
      </c>
      <c r="K11" s="0" t="n">
        <f aca="false">SQRT((J11/H11*I11)^2+(J11/A16*B16)^2)</f>
        <v>2.56671275865819E-007</v>
      </c>
      <c r="L11" s="3" t="n">
        <f aca="false">H11*C16</f>
        <v>4.63763209139794</v>
      </c>
      <c r="M11" s="0" t="n">
        <f aca="false">(L11/H11*I11+L11/C16*D16)</f>
        <v>0.000643933347797567</v>
      </c>
    </row>
    <row r="12" customFormat="false" ht="14.4" hidden="false" customHeight="false" outlineLevel="0" collapsed="false">
      <c r="A12" s="9" t="n">
        <v>7.69</v>
      </c>
      <c r="B12" s="3" t="n">
        <v>374.42</v>
      </c>
      <c r="C12" s="10" t="n">
        <v>0.356283561765346</v>
      </c>
      <c r="D12" s="11" t="n">
        <v>5.305</v>
      </c>
      <c r="H12" s="7"/>
      <c r="M12" s="7"/>
    </row>
    <row r="14" customFormat="false" ht="14.4" hidden="false" customHeight="false" outlineLevel="0" collapsed="false">
      <c r="A14" s="8" t="s">
        <v>34</v>
      </c>
      <c r="B14" s="8"/>
      <c r="C14" s="8"/>
      <c r="D14" s="8"/>
    </row>
    <row r="15" customFormat="false" ht="14.4" hidden="false" customHeight="false" outlineLevel="0" collapsed="false">
      <c r="A15" s="3" t="s">
        <v>35</v>
      </c>
      <c r="B15" s="3" t="s">
        <v>36</v>
      </c>
      <c r="C15" s="3" t="s">
        <v>37</v>
      </c>
      <c r="D15" s="3" t="s">
        <v>38</v>
      </c>
    </row>
    <row r="16" customFormat="false" ht="14.4" hidden="false" customHeight="false" outlineLevel="0" collapsed="false">
      <c r="A16" s="3" t="n">
        <v>0.00173269</v>
      </c>
      <c r="B16" s="3" t="n">
        <v>1.35E-007</v>
      </c>
      <c r="C16" s="3" t="n">
        <v>4.50828</v>
      </c>
      <c r="D16" s="3" t="n">
        <v>8E-005</v>
      </c>
    </row>
  </sheetData>
  <mergeCells count="3">
    <mergeCell ref="H9:K9"/>
    <mergeCell ref="A10:C10"/>
    <mergeCell ref="A14:D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4.4"/>
  <cols>
    <col collapsed="false" hidden="false" max="1" min="1" style="0" width="23.5141700404858"/>
    <col collapsed="false" hidden="false" max="2" min="2" style="0" width="15.6194331983806"/>
    <col collapsed="false" hidden="false" max="3" min="3" style="0" width="10.0890688259109"/>
    <col collapsed="false" hidden="false" max="4" min="4" style="0" width="21.8016194331984"/>
    <col collapsed="false" hidden="false" max="7" min="5" style="0" width="10.9554655870445"/>
    <col collapsed="false" hidden="false" max="9" min="8" style="0" width="15.6194331983806"/>
    <col collapsed="false" hidden="false" max="10" min="10" style="0" width="12.2834008097166"/>
    <col collapsed="false" hidden="false" max="11" min="11" style="0" width="20.5668016194332"/>
    <col collapsed="false" hidden="false" max="14" min="14" style="0" width="27.8016194331984"/>
    <col collapsed="false" hidden="false" max="1025" min="15" style="0" width="15.6194331983806"/>
  </cols>
  <sheetData>
    <row r="1" customFormat="false" ht="13.8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  <c r="E1" s="0" t="s">
        <v>41</v>
      </c>
      <c r="F1" s="0" t="s">
        <v>43</v>
      </c>
      <c r="G1" s="0" t="s">
        <v>41</v>
      </c>
      <c r="H1" s="0" t="s">
        <v>44</v>
      </c>
      <c r="I1" s="0" t="s">
        <v>41</v>
      </c>
      <c r="J1" s="0" t="s">
        <v>45</v>
      </c>
      <c r="K1" s="0" t="s">
        <v>41</v>
      </c>
      <c r="L1" s="0" t="s">
        <v>46</v>
      </c>
    </row>
    <row r="2" customFormat="false" ht="13.8" hidden="false" customHeight="false" outlineLevel="0" collapsed="false">
      <c r="A2" s="0" t="s">
        <v>47</v>
      </c>
      <c r="B2" s="0" t="n">
        <v>0.259806</v>
      </c>
      <c r="C2" s="0" t="n">
        <v>0.103365</v>
      </c>
      <c r="D2" s="0" t="n">
        <v>426.069</v>
      </c>
      <c r="E2" s="0" t="n">
        <v>0.425788</v>
      </c>
      <c r="F2" s="0" t="n">
        <v>6.61776</v>
      </c>
      <c r="G2" s="0" t="n">
        <v>0.452714</v>
      </c>
      <c r="H2" s="0" t="n">
        <v>18.8101</v>
      </c>
      <c r="I2" s="0" t="n">
        <v>5.24891</v>
      </c>
      <c r="J2" s="0" t="n">
        <v>2279.39</v>
      </c>
      <c r="K2" s="0" t="n">
        <v>347.929</v>
      </c>
      <c r="L2" s="0" t="n">
        <v>0.811833</v>
      </c>
    </row>
    <row r="3" customFormat="false" ht="13.8" hidden="false" customHeight="false" outlineLevel="0" collapsed="false">
      <c r="A3" s="0" t="s">
        <v>48</v>
      </c>
      <c r="B3" s="0" t="n">
        <v>0.147226</v>
      </c>
      <c r="C3" s="0" t="n">
        <v>0.0180008</v>
      </c>
      <c r="D3" s="0" t="n">
        <v>456.87</v>
      </c>
      <c r="E3" s="0" t="n">
        <v>0.127022</v>
      </c>
      <c r="F3" s="0" t="n">
        <v>4.7933</v>
      </c>
      <c r="G3" s="0" t="n">
        <v>0.140684</v>
      </c>
      <c r="H3" s="0" t="n">
        <v>11.1889</v>
      </c>
      <c r="I3" s="0" t="n">
        <v>0.7007</v>
      </c>
      <c r="J3" s="0" t="n">
        <v>9988.6</v>
      </c>
      <c r="K3" s="0" t="n">
        <v>138.1</v>
      </c>
      <c r="L3" s="0" t="n">
        <v>0.669495</v>
      </c>
    </row>
    <row r="4" customFormat="false" ht="13.8" hidden="false" customHeight="false" outlineLevel="0" collapsed="false">
      <c r="A4" s="0" t="s">
        <v>49</v>
      </c>
      <c r="B4" s="0" t="n">
        <v>0.269085</v>
      </c>
      <c r="C4" s="0" t="n">
        <v>0.0276246</v>
      </c>
      <c r="D4" s="0" t="n">
        <v>481.322</v>
      </c>
      <c r="E4" s="0" t="n">
        <v>0.116233</v>
      </c>
      <c r="F4" s="0" t="n">
        <v>3.82073</v>
      </c>
      <c r="G4" s="0" t="n">
        <v>0.0502504</v>
      </c>
      <c r="H4" s="0" t="n">
        <v>6.71323</v>
      </c>
      <c r="I4" s="0" t="n">
        <v>0.322673</v>
      </c>
      <c r="J4" s="0" t="n">
        <v>50364.5</v>
      </c>
      <c r="K4" s="0" t="n">
        <v>235.943</v>
      </c>
      <c r="L4" s="0" t="n">
        <v>0.953005</v>
      </c>
    </row>
    <row r="5" customFormat="false" ht="13.8" hidden="false" customHeight="false" outlineLevel="0" collapsed="false">
      <c r="A5" s="0" t="s">
        <v>50</v>
      </c>
      <c r="B5" s="0" t="s">
        <v>51</v>
      </c>
      <c r="C5" s="0" t="s">
        <v>51</v>
      </c>
      <c r="D5" s="0" t="n">
        <v>497.884</v>
      </c>
      <c r="E5" s="0" t="n">
        <v>0.853364</v>
      </c>
      <c r="F5" s="0" t="n">
        <v>6.61435</v>
      </c>
      <c r="G5" s="0" t="n">
        <v>2.09741</v>
      </c>
      <c r="H5" s="0" t="s">
        <v>51</v>
      </c>
      <c r="I5" s="0" t="s">
        <v>51</v>
      </c>
      <c r="J5" s="0" t="n">
        <v>603.722</v>
      </c>
      <c r="K5" s="0" t="n">
        <v>162.158</v>
      </c>
      <c r="L5" s="0" t="n">
        <v>1.14247</v>
      </c>
    </row>
    <row r="6" customFormat="false" ht="13.8" hidden="false" customHeight="false" outlineLevel="0" collapsed="false">
      <c r="A6" s="0" t="s">
        <v>52</v>
      </c>
      <c r="B6" s="0" t="s">
        <v>51</v>
      </c>
      <c r="C6" s="0" t="s">
        <v>51</v>
      </c>
      <c r="D6" s="0" t="n">
        <v>513.2621</v>
      </c>
      <c r="E6" s="0" t="n">
        <v>0.39939</v>
      </c>
      <c r="F6" s="0" t="n">
        <v>4.16182</v>
      </c>
      <c r="G6" s="0" t="n">
        <v>0.840398</v>
      </c>
      <c r="H6" s="0" t="s">
        <v>51</v>
      </c>
      <c r="I6" s="0" t="s">
        <v>51</v>
      </c>
      <c r="J6" s="0" t="n">
        <v>222.958</v>
      </c>
      <c r="K6" s="0" t="n">
        <v>80.401</v>
      </c>
      <c r="L6" s="0" t="n">
        <v>1.14247</v>
      </c>
    </row>
    <row r="7" customFormat="false" ht="14.4" hidden="false" customHeight="false" outlineLevel="0" collapsed="false">
      <c r="A7" s="0" t="s">
        <v>53</v>
      </c>
      <c r="B7" s="0" t="s">
        <v>54</v>
      </c>
    </row>
    <row r="8" customFormat="false" ht="14.4" hidden="false" customHeight="false" outlineLevel="0" collapsed="false">
      <c r="A8" s="0" t="n">
        <f aca="false">1992+10140+50474+207</f>
        <v>62813</v>
      </c>
      <c r="B8" s="0" t="n">
        <f aca="false">J2+J3+J4+J5+J6</f>
        <v>63459.17</v>
      </c>
    </row>
    <row r="10" customFormat="false" ht="14.4" hidden="false" customHeight="false" outlineLevel="0" collapsed="false">
      <c r="A10" s="12" t="s">
        <v>55</v>
      </c>
      <c r="B10" s="12"/>
      <c r="C10" s="12"/>
      <c r="D10" s="12"/>
      <c r="E10" s="12"/>
      <c r="F10" s="12"/>
      <c r="G10" s="12"/>
    </row>
    <row r="11" customFormat="false" ht="14.4" hidden="false" customHeight="false" outlineLevel="0" collapsed="false">
      <c r="A11" s="13" t="s">
        <v>56</v>
      </c>
      <c r="B11" s="14" t="s">
        <v>57</v>
      </c>
      <c r="C11" s="14"/>
      <c r="D11" s="14" t="s">
        <v>41</v>
      </c>
      <c r="E11" s="14"/>
      <c r="F11" s="14"/>
      <c r="G11" s="14"/>
      <c r="H11" s="14" t="s">
        <v>3</v>
      </c>
      <c r="I11" s="14" t="s">
        <v>41</v>
      </c>
      <c r="J11" s="14"/>
      <c r="K11" s="14" t="s">
        <v>58</v>
      </c>
      <c r="L11" s="14" t="s">
        <v>41</v>
      </c>
      <c r="M11" s="14"/>
      <c r="N11" s="14" t="s">
        <v>59</v>
      </c>
      <c r="O11" s="14" t="s">
        <v>41</v>
      </c>
    </row>
    <row r="12" customFormat="false" ht="13.8" hidden="false" customHeight="false" outlineLevel="0" collapsed="false">
      <c r="A12" s="15" t="n">
        <v>1</v>
      </c>
      <c r="B12" s="3" t="n">
        <f aca="false">D2*'Calibração - Semana 1'!J$11+'Calibração - Semana 1'!L$11</f>
        <v>5.39705941218789</v>
      </c>
      <c r="C12" s="3"/>
      <c r="D12" s="3" t="n">
        <f aca="false">SQRT(('Calibração - Semana 1'!K$11*D2)^2+(E2*'Calibração - Semana 1'!J$11)^2+'Calibração - Semana 1'!M$11^2)</f>
        <v>0.00100128870667625</v>
      </c>
      <c r="E12" s="3"/>
      <c r="F12" s="3"/>
      <c r="G12" s="3"/>
      <c r="H12" s="3" t="n">
        <f aca="false">F2*2.355</f>
        <v>15.5848248</v>
      </c>
      <c r="I12" s="3" t="n">
        <f aca="false">G2*2.355</f>
        <v>1.06614147</v>
      </c>
      <c r="J12" s="3"/>
      <c r="K12" s="3" t="n">
        <f aca="false">H12*'Calibração - Semana 1'!J$11</f>
        <v>0.0277784625092291</v>
      </c>
      <c r="L12" s="3" t="n">
        <f aca="false">SQRT((H12*'Calibração - Semana 1'!K$11)^2+('Calibração - Semana 1'!J$11*I12)^2)</f>
        <v>0.00190029960874333</v>
      </c>
      <c r="M12" s="3"/>
      <c r="N12" s="3" t="n">
        <f aca="false">K12/B12*100</f>
        <v>0.514696251934869</v>
      </c>
      <c r="O12" s="3" t="n">
        <f aca="false">SQRT((L12/B12)^2+(K12*D12/(B12)^2)^2)*100</f>
        <v>0.0352100366486862</v>
      </c>
    </row>
    <row r="13" customFormat="false" ht="13.8" hidden="false" customHeight="false" outlineLevel="0" collapsed="false">
      <c r="A13" s="15" t="n">
        <v>2</v>
      </c>
      <c r="B13" s="3" t="n">
        <f aca="false">D3*'Calibração - Semana 1'!J$11+'Calibração - Semana 1'!L$11</f>
        <v>5.45195925448491</v>
      </c>
      <c r="C13" s="3"/>
      <c r="D13" s="3" t="n">
        <f aca="false">SQRT(('Calibração - Semana 1'!K$11*D3)^2+(E3*'Calibração - Semana 1'!J$11)^2+'Calibração - Semana 1'!M$11^2)</f>
        <v>0.000692575172854797</v>
      </c>
      <c r="E13" s="3"/>
      <c r="F13" s="3"/>
      <c r="G13" s="3"/>
      <c r="H13" s="3" t="n">
        <f aca="false">F3*2.355</f>
        <v>11.2882215</v>
      </c>
      <c r="I13" s="3" t="n">
        <f aca="false">G3*2.355</f>
        <v>0.33131082</v>
      </c>
      <c r="J13" s="3"/>
      <c r="K13" s="3" t="n">
        <f aca="false">H13*'Calibração - Semana 1'!J$11</f>
        <v>0.0201201772722927</v>
      </c>
      <c r="L13" s="3" t="n">
        <f aca="false">SQRT((H13*'Calibração - Semana 1'!K$11)^2+('Calibração - Semana 1'!J$11*I13)^2)</f>
        <v>0.00059053701810224</v>
      </c>
      <c r="M13" s="3"/>
      <c r="N13" s="3" t="n">
        <f aca="false">K13/B13*100</f>
        <v>0.369044894378868</v>
      </c>
      <c r="O13" s="3" t="n">
        <f aca="false">SQRT((L13/B13)^2+(K13*D13/(B13)^2)^2)*100</f>
        <v>0.0108317491319565</v>
      </c>
    </row>
    <row r="14" customFormat="false" ht="13.8" hidden="false" customHeight="false" outlineLevel="0" collapsed="false">
      <c r="A14" s="15" t="n">
        <v>3</v>
      </c>
      <c r="B14" s="3" t="n">
        <f aca="false">D4*'Calibração - Semana 1'!J$11+'Calibração - Semana 1'!L$11</f>
        <v>5.49554261034501</v>
      </c>
      <c r="C14" s="3"/>
      <c r="D14" s="3" t="n">
        <f aca="false">SQRT(('Calibração - Semana 1'!K$11*D4)^2+(E4*'Calibração - Semana 1'!J$11)^2+'Calibração - Semana 1'!M$11^2)</f>
        <v>0.000687629134694718</v>
      </c>
      <c r="E14" s="3"/>
      <c r="F14" s="3"/>
      <c r="G14" s="3"/>
      <c r="H14" s="3" t="n">
        <f aca="false">F4*2.355</f>
        <v>8.99781915</v>
      </c>
      <c r="I14" s="3" t="n">
        <f aca="false">G4*2.355</f>
        <v>0.118339692</v>
      </c>
      <c r="J14" s="3"/>
      <c r="K14" s="3" t="n">
        <f aca="false">H14*'Calibração - Semana 1'!J$11</f>
        <v>0.0160377537207283</v>
      </c>
      <c r="L14" s="3" t="n">
        <f aca="false">SQRT((H14*'Calibração - Semana 1'!K$11)^2+('Calibração - Semana 1'!J$11*I14)^2)</f>
        <v>0.000210941847491947</v>
      </c>
      <c r="M14" s="3"/>
      <c r="N14" s="3" t="n">
        <f aca="false">K14/B14*100</f>
        <v>0.291832032937717</v>
      </c>
      <c r="O14" s="3" t="n">
        <f aca="false">SQRT((L14/B14)^2+(K14*D14/(B14)^2)^2)*100</f>
        <v>0.00383859078821556</v>
      </c>
    </row>
    <row r="15" customFormat="false" ht="13.8" hidden="false" customHeight="false" outlineLevel="0" collapsed="false">
      <c r="A15" s="0" t="s">
        <v>50</v>
      </c>
      <c r="B15" s="3" t="n">
        <f aca="false">D5*'Calibração - Semana 1'!J$11+'Calibração - Semana 1'!L$11</f>
        <v>5.52506279436901</v>
      </c>
      <c r="C15" s="3"/>
      <c r="D15" s="3" t="n">
        <f aca="false">SQRT(('Calibração - Semana 1'!K$11*D5)^2+(E5*'Calibração - Semana 1'!J$11)^2+'Calibração - Semana 1'!M$11^2)</f>
        <v>0.00165666634230195</v>
      </c>
      <c r="E15" s="3"/>
      <c r="F15" s="3"/>
      <c r="G15" s="3"/>
      <c r="H15" s="3" t="n">
        <f aca="false">F5*2.355</f>
        <v>15.57679425</v>
      </c>
      <c r="I15" s="3" t="n">
        <f aca="false">G5*2.355</f>
        <v>4.93940055</v>
      </c>
      <c r="J15" s="3"/>
      <c r="K15" s="3" t="n">
        <f aca="false">H15*'Calibração - Semana 1'!J$11</f>
        <v>0.0277641488204347</v>
      </c>
      <c r="L15" s="3" t="n">
        <f aca="false">SQRT((H15*'Calibração - Semana 1'!K$11)^2+('Calibração - Semana 1'!J$11*I15)^2)</f>
        <v>0.00880401088271906</v>
      </c>
      <c r="M15" s="3"/>
      <c r="N15" s="3" t="n">
        <f aca="false">K15/B15*100</f>
        <v>0.502512819378833</v>
      </c>
      <c r="O15" s="3" t="n">
        <f aca="false">SQRT((L15/B15)^2+(K15*D15/(B15)^2)^2)*100</f>
        <v>0.159346873445122</v>
      </c>
    </row>
    <row r="16" customFormat="false" ht="13.8" hidden="false" customHeight="false" outlineLevel="0" collapsed="false">
      <c r="A16" s="0" t="s">
        <v>52</v>
      </c>
      <c r="B16" s="3" t="n">
        <f aca="false">D6*'Calibração - Semana 1'!J$11+'Calibração - Semana 1'!L$11</f>
        <v>5.55247278965578</v>
      </c>
      <c r="C16" s="3"/>
      <c r="D16" s="3" t="n">
        <f aca="false">SQRT(('Calibração - Semana 1'!K$11*D6)^2+(E6*'Calibração - Semana 1'!J$11)^2+'Calibração - Semana 1'!M$11^2)</f>
        <v>0.000968901885435788</v>
      </c>
      <c r="E16" s="3"/>
      <c r="F16" s="3"/>
      <c r="G16" s="3"/>
      <c r="H16" s="3" t="n">
        <f aca="false">F6*2.355</f>
        <v>9.8010861</v>
      </c>
      <c r="I16" s="3" t="n">
        <f aca="false">G6*2.355</f>
        <v>1.97913729</v>
      </c>
      <c r="J16" s="3"/>
      <c r="K16" s="3" t="n">
        <f aca="false">H16*'Calibração - Semana 1'!J$11</f>
        <v>0.0174695003808177</v>
      </c>
      <c r="L16" s="3" t="n">
        <f aca="false">SQRT((H16*'Calibração - Semana 1'!K$11)^2+('Calibração - Semana 1'!J$11*I16)^2)</f>
        <v>0.0035276241918622</v>
      </c>
      <c r="M16" s="3"/>
      <c r="N16" s="3" t="n">
        <f aca="false">K16/B16*100</f>
        <v>0.314625591922994</v>
      </c>
      <c r="O16" s="3" t="n">
        <f aca="false">SQRT((L16/B16)^2+(K16*D16/(B16)^2)^2)*100</f>
        <v>0.0635325132179728</v>
      </c>
    </row>
    <row r="18" customFormat="false" ht="14.4" hidden="false" customHeight="false" outlineLevel="0" collapsed="false">
      <c r="B18" s="8" t="s">
        <v>60</v>
      </c>
      <c r="C18" s="8"/>
      <c r="D18" s="8"/>
      <c r="E18" s="8"/>
      <c r="F18" s="8"/>
      <c r="G18" s="8"/>
      <c r="H18" s="8"/>
    </row>
    <row r="20" customFormat="false" ht="13.8" hidden="false" customHeight="false" outlineLevel="0" collapsed="false">
      <c r="A20" s="0" t="s">
        <v>61</v>
      </c>
      <c r="B20" s="6" t="s">
        <v>62</v>
      </c>
    </row>
    <row r="21" customFormat="false" ht="13.8" hidden="false" customHeight="false" outlineLevel="0" collapsed="false">
      <c r="A21" s="0" t="n">
        <f aca="false">ROUND(SUM(B12:B14)/3,3)</f>
        <v>5.448</v>
      </c>
      <c r="B21" s="0" t="n">
        <f aca="false">B12-A$21</f>
        <v>-0.0509405878121152</v>
      </c>
    </row>
    <row r="22" customFormat="false" ht="13.8" hidden="false" customHeight="false" outlineLevel="0" collapsed="false">
      <c r="B22" s="0" t="n">
        <f aca="false">B13-A$21</f>
        <v>0.00395925448490964</v>
      </c>
    </row>
    <row r="23" customFormat="false" ht="14.4" hidden="false" customHeight="false" outlineLevel="0" collapsed="false">
      <c r="B23" s="0" t="n">
        <f aca="false">B14-A$21</f>
        <v>0.0475426103450074</v>
      </c>
    </row>
    <row r="25" customFormat="false" ht="14.4" hidden="false" customHeight="false" outlineLevel="0" collapsed="false">
      <c r="A25" s="3" t="s">
        <v>56</v>
      </c>
      <c r="B25" s="3" t="s">
        <v>63</v>
      </c>
      <c r="C25" s="3" t="s">
        <v>64</v>
      </c>
      <c r="D25" s="3" t="s">
        <v>65</v>
      </c>
      <c r="E25" s="3" t="s">
        <v>41</v>
      </c>
      <c r="F25" s="3" t="s">
        <v>3</v>
      </c>
      <c r="G25" s="3" t="s">
        <v>4</v>
      </c>
      <c r="H25" s="3" t="s">
        <v>41</v>
      </c>
      <c r="I25" s="3" t="s">
        <v>66</v>
      </c>
      <c r="J25" s="3" t="s">
        <v>57</v>
      </c>
      <c r="K25" s="3" t="s">
        <v>41</v>
      </c>
      <c r="L25" s="3" t="s">
        <v>67</v>
      </c>
    </row>
    <row r="26" customFormat="false" ht="14.4" hidden="false" customHeight="false" outlineLevel="0" collapsed="false">
      <c r="A26" s="3" t="n">
        <v>1</v>
      </c>
      <c r="B26" s="3" t="n">
        <v>1992</v>
      </c>
      <c r="C26" s="3" t="n">
        <v>45</v>
      </c>
      <c r="D26" s="3" t="n">
        <v>723</v>
      </c>
      <c r="E26" s="3" t="n">
        <v>88</v>
      </c>
      <c r="F26" s="3" t="n">
        <v>10.91</v>
      </c>
      <c r="G26" s="3" t="n">
        <v>425.56</v>
      </c>
      <c r="H26" s="5" t="n">
        <f aca="false">F26/(2.355*SQRT(D26))</f>
        <v>0.172291832612826</v>
      </c>
      <c r="I26" s="3" t="n">
        <f aca="false">B26/(SUM($B$26:$B$29))*100</f>
        <v>3.17131803925939</v>
      </c>
      <c r="J26" s="3" t="n">
        <f aca="false">$L$31*G26+$N$31</f>
        <v>5.39615216827603</v>
      </c>
      <c r="K26" s="3" t="n">
        <f aca="false">SQRT(POWER($L$31*H26,2)+POWER($M$31*G26,2)+POWER($O31,2))</f>
        <v>0.000721725505446106</v>
      </c>
      <c r="L26" s="3" t="n">
        <f aca="false">$L$31*F26/2.355</f>
        <v>0.00825733908824816</v>
      </c>
    </row>
    <row r="27" customFormat="false" ht="14.4" hidden="false" customHeight="false" outlineLevel="0" collapsed="false">
      <c r="A27" s="3" t="n">
        <v>2</v>
      </c>
      <c r="B27" s="3" t="n">
        <v>10140</v>
      </c>
      <c r="C27" s="3" t="n">
        <v>101</v>
      </c>
      <c r="D27" s="3" t="n">
        <v>4571</v>
      </c>
      <c r="E27" s="3" t="n">
        <v>191</v>
      </c>
      <c r="F27" s="3" t="n">
        <v>9.69</v>
      </c>
      <c r="G27" s="3" t="n">
        <v>456.48</v>
      </c>
      <c r="H27" s="5" t="n">
        <f aca="false">F27/(2.355*SQRT(D27))</f>
        <v>0.0608593423371097</v>
      </c>
      <c r="I27" s="3" t="n">
        <f aca="false">B27/(SUM($B$26:$B$29))*100</f>
        <v>16.1431550793626</v>
      </c>
      <c r="J27" s="3" t="n">
        <f aca="false">$L$31*G27+$N$31</f>
        <v>5.45126411671355</v>
      </c>
      <c r="K27" s="3" t="n">
        <f aca="false">SQRT(POWER($L$31*H27,2)+POWER($M$31*G27,2)+POWER($O32,2))</f>
        <v>0.000159670736644496</v>
      </c>
      <c r="L27" s="3" t="n">
        <f aca="false">$L$31*F27/2.355</f>
        <v>0.00733397028094634</v>
      </c>
    </row>
    <row r="28" customFormat="false" ht="14.4" hidden="false" customHeight="false" outlineLevel="0" collapsed="false">
      <c r="A28" s="3" t="n">
        <v>3</v>
      </c>
      <c r="B28" s="3" t="n">
        <v>50474</v>
      </c>
      <c r="C28" s="3" t="n">
        <v>225</v>
      </c>
      <c r="D28" s="3" t="n">
        <v>44604</v>
      </c>
      <c r="E28" s="3" t="n">
        <v>283</v>
      </c>
      <c r="F28" s="3" t="n">
        <v>10.43</v>
      </c>
      <c r="G28" s="3" t="n">
        <v>480.69</v>
      </c>
      <c r="H28" s="5" t="n">
        <f aca="false">F28/(2.355*SQRT(D28))</f>
        <v>0.0209703893236165</v>
      </c>
      <c r="I28" s="3" t="n">
        <f aca="false">B28/(SUM($B$26:$B$29))*100</f>
        <v>80.3559772658526</v>
      </c>
      <c r="J28" s="3" t="n">
        <f aca="false">$L$31*G28+$N$31</f>
        <v>5.49441613067449</v>
      </c>
      <c r="K28" s="3" t="n">
        <f aca="false">SQRT(POWER($L$31*H28,2)+POWER($M$31*G28,2)+POWER($L33,2))</f>
        <v>0.000128916830779765</v>
      </c>
      <c r="L28" s="3" t="n">
        <f aca="false">$L$31*F28/2.355</f>
        <v>0.00789404644275236</v>
      </c>
    </row>
    <row r="29" customFormat="false" ht="14.4" hidden="false" customHeight="false" outlineLevel="0" collapsed="false">
      <c r="A29" s="3" t="n">
        <v>4</v>
      </c>
      <c r="B29" s="3" t="n">
        <v>207</v>
      </c>
      <c r="C29" s="3" t="n">
        <v>14</v>
      </c>
      <c r="D29" s="3" t="n">
        <v>58</v>
      </c>
      <c r="E29" s="3" t="n">
        <v>24</v>
      </c>
      <c r="F29" s="3" t="n">
        <v>3.28</v>
      </c>
      <c r="G29" s="3" t="n">
        <v>514.91</v>
      </c>
      <c r="H29" s="5" t="n">
        <f aca="false">F29/(2.355*SQRT(D29))</f>
        <v>0.18288114640335</v>
      </c>
      <c r="I29" s="3" t="n">
        <f aca="false">B29/(SUM($B$26:$B$29))*100</f>
        <v>0.329549615525449</v>
      </c>
      <c r="J29" s="3" t="n">
        <f aca="false">$L$31*G29+$N$31</f>
        <v>5.55541001410049</v>
      </c>
      <c r="K29" s="3" t="n">
        <f aca="false">SQRT(POWER($L$31*H29,2)+POWER($M$31*G29,2)+POWER($L34,2))</f>
        <v>0.000351741684869734</v>
      </c>
      <c r="L29" s="3" t="n">
        <f aca="false">$L$31*F29/2.355</f>
        <v>0.00248249974422126</v>
      </c>
    </row>
    <row r="31" customFormat="false" ht="14.4" hidden="false" customHeight="false" outlineLevel="0" collapsed="false">
      <c r="J31" s="3"/>
      <c r="L31" s="0" t="n">
        <v>0.00178240454196374</v>
      </c>
      <c r="M31" s="0" t="n">
        <v>2.56671275865819E-007</v>
      </c>
      <c r="N31" s="3" t="n">
        <v>4.63763209139794</v>
      </c>
      <c r="O31" s="0" t="n">
        <v>0.000643933347797567</v>
      </c>
    </row>
    <row r="33" customFormat="false" ht="14.4" hidden="false" customHeight="false" outlineLevel="0" collapsed="false">
      <c r="A33" s="3" t="s">
        <v>56</v>
      </c>
      <c r="B33" s="3" t="s">
        <v>63</v>
      </c>
      <c r="C33" s="3" t="s">
        <v>64</v>
      </c>
      <c r="D33" s="3" t="s">
        <v>4</v>
      </c>
      <c r="E33" s="3" t="s">
        <v>41</v>
      </c>
      <c r="F33" s="3" t="s">
        <v>68</v>
      </c>
      <c r="G33" s="3" t="s">
        <v>41</v>
      </c>
      <c r="H33" s="3" t="s">
        <v>66</v>
      </c>
      <c r="I33" s="3" t="s">
        <v>57</v>
      </c>
      <c r="J33" s="3" t="s">
        <v>41</v>
      </c>
      <c r="K33" s="3" t="s">
        <v>67</v>
      </c>
    </row>
    <row r="34" customFormat="false" ht="13.8" hidden="false" customHeight="false" outlineLevel="0" collapsed="false">
      <c r="A34" s="3" t="n">
        <v>1</v>
      </c>
      <c r="B34" s="3" t="n">
        <f aca="false">J2</f>
        <v>2279.39</v>
      </c>
      <c r="C34" s="3" t="n">
        <f aca="false">K2</f>
        <v>347.929</v>
      </c>
      <c r="D34" s="3" t="n">
        <f aca="false">D2</f>
        <v>426.069</v>
      </c>
      <c r="E34" s="3" t="n">
        <f aca="false">E2</f>
        <v>0.425788</v>
      </c>
      <c r="F34" s="3" t="n">
        <f aca="false">F2</f>
        <v>6.61776</v>
      </c>
      <c r="G34" s="3" t="n">
        <f aca="false">G2</f>
        <v>0.452714</v>
      </c>
      <c r="H34" s="3" t="n">
        <f aca="false">B34/(SUM($B$34:$B$38))*100</f>
        <v>3.59190011467216</v>
      </c>
      <c r="I34" s="3" t="n">
        <f aca="false">$L$31*D34+$N$31</f>
        <v>5.39705941218789</v>
      </c>
      <c r="J34" s="3" t="n">
        <f aca="false">SQRT(POWER($L$31*E34,2)+POWER($M$31*D34,2)+POWER($N39,2))</f>
        <v>0.000766765229853062</v>
      </c>
      <c r="K34" s="3" t="n">
        <f aca="false">$L$31*F34</f>
        <v>0.011795525481626</v>
      </c>
    </row>
    <row r="35" customFormat="false" ht="13.8" hidden="false" customHeight="false" outlineLevel="0" collapsed="false">
      <c r="A35" s="3" t="n">
        <v>2</v>
      </c>
      <c r="B35" s="3" t="n">
        <f aca="false">J3</f>
        <v>9988.6</v>
      </c>
      <c r="C35" s="3" t="n">
        <f aca="false">K3</f>
        <v>138.1</v>
      </c>
      <c r="D35" s="3" t="n">
        <f aca="false">D3</f>
        <v>456.87</v>
      </c>
      <c r="E35" s="3" t="n">
        <f aca="false">E3</f>
        <v>0.127022</v>
      </c>
      <c r="F35" s="3" t="n">
        <f aca="false">F3</f>
        <v>4.7933</v>
      </c>
      <c r="G35" s="3" t="n">
        <f aca="false">G3</f>
        <v>0.140684</v>
      </c>
      <c r="H35" s="3" t="n">
        <f aca="false">B35/(SUM($B$34:$B$38))*100</f>
        <v>15.7401995645389</v>
      </c>
      <c r="I35" s="3" t="n">
        <f aca="false">$L$31*D35+$N$31</f>
        <v>5.45195925448491</v>
      </c>
      <c r="J35" s="3" t="n">
        <f aca="false">SQRT(POWER($L$31*E35,2)+POWER($M$31*D35,2)+POWER($N40,2))</f>
        <v>0.000254971005506644</v>
      </c>
      <c r="K35" s="3" t="n">
        <f aca="false">$L$31*F35</f>
        <v>0.0085435996909948</v>
      </c>
    </row>
    <row r="36" customFormat="false" ht="13.8" hidden="false" customHeight="false" outlineLevel="0" collapsed="false">
      <c r="A36" s="3" t="n">
        <v>3</v>
      </c>
      <c r="B36" s="3" t="n">
        <f aca="false">J4</f>
        <v>50364.5</v>
      </c>
      <c r="C36" s="3" t="n">
        <f aca="false">K4</f>
        <v>235.943</v>
      </c>
      <c r="D36" s="3" t="n">
        <f aca="false">D4</f>
        <v>481.322</v>
      </c>
      <c r="E36" s="3" t="n">
        <f aca="false">E4</f>
        <v>0.116233</v>
      </c>
      <c r="F36" s="3" t="n">
        <f aca="false">F4</f>
        <v>3.82073</v>
      </c>
      <c r="G36" s="3" t="n">
        <f aca="false">G4</f>
        <v>0.0502504</v>
      </c>
      <c r="H36" s="3" t="n">
        <f aca="false">B36/(SUM($B$34:$B$38))*100</f>
        <v>79.365204429872</v>
      </c>
      <c r="I36" s="3" t="n">
        <f aca="false">$L$31*D36+$N$31</f>
        <v>5.49554261034501</v>
      </c>
      <c r="J36" s="3" t="n">
        <f aca="false">SQRT(POWER($L$31*E36,2)+POWER($M$31*D36,2)+POWER($N41,2))</f>
        <v>0.000241212915233045</v>
      </c>
      <c r="K36" s="3" t="n">
        <f aca="false">$L$31*F36</f>
        <v>0.00681008650561712</v>
      </c>
    </row>
    <row r="37" customFormat="false" ht="13.8" hidden="false" customHeight="false" outlineLevel="0" collapsed="false">
      <c r="A37" s="3" t="n">
        <v>4</v>
      </c>
      <c r="B37" s="3" t="n">
        <f aca="false">J5</f>
        <v>603.722</v>
      </c>
      <c r="C37" s="3" t="n">
        <f aca="false">K5</f>
        <v>162.158</v>
      </c>
      <c r="D37" s="3" t="n">
        <f aca="false">D5</f>
        <v>497.884</v>
      </c>
      <c r="E37" s="3" t="n">
        <f aca="false">E5</f>
        <v>0.853364</v>
      </c>
      <c r="F37" s="3" t="n">
        <f aca="false">F5</f>
        <v>6.61435</v>
      </c>
      <c r="G37" s="3" t="n">
        <f aca="false">G5</f>
        <v>2.09741</v>
      </c>
      <c r="H37" s="3" t="n">
        <f aca="false">B37/(SUM($B$34:$B$38))*100</f>
        <v>0.951355020874052</v>
      </c>
      <c r="I37" s="3" t="n">
        <f aca="false">$L$31*D37+$N$31</f>
        <v>5.52506279436902</v>
      </c>
      <c r="J37" s="3" t="n">
        <f aca="false">SQRT(POWER($L$31*E37,2)+POWER($M$31*D37,2)+POWER($N42,2))</f>
        <v>0.00152639877270337</v>
      </c>
      <c r="K37" s="3" t="n">
        <f aca="false">$L$31*F37</f>
        <v>0.0117894474821379</v>
      </c>
    </row>
    <row r="38" customFormat="false" ht="13.8" hidden="false" customHeight="false" outlineLevel="0" collapsed="false">
      <c r="A38" s="3" t="n">
        <v>5</v>
      </c>
      <c r="B38" s="3" t="n">
        <f aca="false">J6</f>
        <v>222.958</v>
      </c>
      <c r="C38" s="3" t="n">
        <f aca="false">K6</f>
        <v>80.401</v>
      </c>
      <c r="D38" s="3" t="n">
        <f aca="false">D6</f>
        <v>513.2621</v>
      </c>
      <c r="E38" s="3" t="n">
        <f aca="false">E6</f>
        <v>0.39939</v>
      </c>
      <c r="F38" s="3" t="n">
        <f aca="false">F6</f>
        <v>4.16182</v>
      </c>
      <c r="G38" s="3" t="n">
        <f aca="false">G6</f>
        <v>0.840398</v>
      </c>
      <c r="H38" s="3" t="n">
        <f aca="false">B38/(SUM($B$34:$B$38))*100</f>
        <v>0.351340870042895</v>
      </c>
      <c r="I38" s="3" t="n">
        <f aca="false">$L$31*D38+$N$31</f>
        <v>5.55247278965579</v>
      </c>
      <c r="J38" s="3" t="n">
        <f aca="false">SQRT(POWER($L$31*E38,2)+POWER($M$31*D38,2)+POWER($N43,2))</f>
        <v>0.000723961813354298</v>
      </c>
      <c r="K38" s="3" t="n">
        <f aca="false">$L$31*F38</f>
        <v>0.00741804687083553</v>
      </c>
    </row>
  </sheetData>
  <mergeCells count="2">
    <mergeCell ref="A10:D10"/>
    <mergeCell ref="B18:H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RowHeight="14.4"/>
  <cols>
    <col collapsed="false" hidden="false" max="1" min="1" style="0" width="19.331983805668"/>
    <col collapsed="false" hidden="false" max="2" min="2" style="0" width="15.6194331983806"/>
    <col collapsed="false" hidden="false" max="3" min="3" style="0" width="23.5141700404858"/>
    <col collapsed="false" hidden="false" max="4" min="4" style="0" width="26.6599190283401"/>
    <col collapsed="false" hidden="false" max="5" min="5" style="0" width="15.6194331983806"/>
    <col collapsed="false" hidden="false" max="6" min="6" style="0" width="23.5141700404858"/>
    <col collapsed="false" hidden="false" max="1025" min="7" style="0" width="15.6194331983806"/>
  </cols>
  <sheetData>
    <row r="1" customFormat="false" ht="14.4" hidden="false" customHeight="false" outlineLevel="0" collapsed="false">
      <c r="A1" s="3" t="s">
        <v>69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32</v>
      </c>
    </row>
    <row r="2" customFormat="false" ht="14.4" hidden="false" customHeight="false" outlineLevel="0" collapsed="false">
      <c r="A2" s="16" t="n">
        <v>0.5</v>
      </c>
      <c r="B2" s="17" t="n">
        <v>65</v>
      </c>
      <c r="C2" s="3" t="n">
        <v>37</v>
      </c>
      <c r="D2" s="18" t="n">
        <f aca="false">SQRT((POWER((B2-E2),2)*C2+POWER((B3-E2),2)*C3+POWER((B4-E2),2)*C4+POWER((B5-E2),2)*C5)/SUM(C2:C5))</f>
        <v>0.522911250025837</v>
      </c>
      <c r="E2" s="18" t="n">
        <f aca="false">(B2*C2+B3*C3+B4*C4+B5*C5)/(SUM(C2:C5))</f>
        <v>66.2400455062571</v>
      </c>
      <c r="F2" s="18" t="n">
        <f aca="false">D2/SQRT(SUM(C2:C5))</f>
        <v>0.0176373587174972</v>
      </c>
    </row>
    <row r="3" customFormat="false" ht="14.4" hidden="false" customHeight="false" outlineLevel="0" collapsed="false">
      <c r="A3" s="16"/>
      <c r="B3" s="3" t="n">
        <v>66</v>
      </c>
      <c r="C3" s="3" t="n">
        <v>597</v>
      </c>
      <c r="D3" s="18"/>
      <c r="E3" s="18"/>
      <c r="F3" s="18"/>
    </row>
    <row r="4" customFormat="false" ht="14.4" hidden="false" customHeight="false" outlineLevel="0" collapsed="false">
      <c r="A4" s="16"/>
      <c r="B4" s="3" t="n">
        <v>67</v>
      </c>
      <c r="C4" s="3" t="n">
        <v>242</v>
      </c>
      <c r="D4" s="18"/>
      <c r="E4" s="18"/>
      <c r="F4" s="18"/>
    </row>
    <row r="5" customFormat="false" ht="14.4" hidden="false" customHeight="false" outlineLevel="0" collapsed="false">
      <c r="A5" s="16"/>
      <c r="B5" s="3" t="n">
        <v>68</v>
      </c>
      <c r="C5" s="3" t="n">
        <v>3</v>
      </c>
      <c r="D5" s="18"/>
      <c r="E5" s="18"/>
      <c r="F5" s="18"/>
    </row>
    <row r="6" customFormat="false" ht="14.4" hidden="false" customHeight="false" outlineLevel="0" collapsed="false">
      <c r="A6" s="16" t="n">
        <v>1.5</v>
      </c>
      <c r="B6" s="3" t="n">
        <v>197</v>
      </c>
      <c r="C6" s="3" t="n">
        <v>121</v>
      </c>
      <c r="D6" s="18" t="n">
        <f aca="false">SQRT((POWER((B6-E6),2)*C6+POWER((B7-E6),2)*C7+POWER((B8-E6),2)*C8+POWER((B9-E6),2)*C9)/SUM(C6:C9))</f>
        <v>0.637220042619541</v>
      </c>
      <c r="E6" s="19" t="n">
        <f aca="false">(B6*C6+B7*C7+B8*C8+B9*C9)/(SUM(C6:C9))</f>
        <v>198.1</v>
      </c>
      <c r="F6" s="18" t="n">
        <f aca="false">D6/SQRT(SUM(C6:C9))</f>
        <v>0.0223896300598591</v>
      </c>
    </row>
    <row r="7" customFormat="false" ht="14.4" hidden="false" customHeight="false" outlineLevel="0" collapsed="false">
      <c r="A7" s="16"/>
      <c r="B7" s="3" t="n">
        <v>198</v>
      </c>
      <c r="C7" s="3" t="n">
        <v>494</v>
      </c>
      <c r="D7" s="18"/>
      <c r="E7" s="19"/>
      <c r="F7" s="18"/>
    </row>
    <row r="8" customFormat="false" ht="14.4" hidden="false" customHeight="false" outlineLevel="0" collapsed="false">
      <c r="A8" s="16"/>
      <c r="B8" s="3" t="n">
        <v>199</v>
      </c>
      <c r="C8" s="3" t="n">
        <v>188</v>
      </c>
      <c r="D8" s="18"/>
      <c r="E8" s="19"/>
      <c r="F8" s="18"/>
    </row>
    <row r="9" customFormat="false" ht="14.4" hidden="false" customHeight="false" outlineLevel="0" collapsed="false">
      <c r="A9" s="16"/>
      <c r="B9" s="3" t="n">
        <v>200</v>
      </c>
      <c r="C9" s="3" t="n">
        <v>7</v>
      </c>
      <c r="D9" s="18"/>
      <c r="E9" s="19"/>
      <c r="F9" s="18"/>
    </row>
    <row r="10" customFormat="false" ht="14.4" hidden="false" customHeight="false" outlineLevel="0" collapsed="false">
      <c r="A10" s="20" t="n">
        <v>2.5</v>
      </c>
      <c r="B10" s="3" t="n">
        <v>330</v>
      </c>
      <c r="C10" s="3" t="n">
        <v>154</v>
      </c>
      <c r="D10" s="18" t="n">
        <f aca="false">SQRT((POWER((B10-E10),2)*C10+POWER((B11-E10),2)*C11+POWER(B12-E10,2)*C12)/SUM(C10:C12))</f>
        <v>0.491286418539453</v>
      </c>
      <c r="E10" s="18" t="n">
        <f aca="false">(B10*C10+B11*C11+B12*C12)/(SUM(C10:C12))</f>
        <v>330.901136363636</v>
      </c>
      <c r="F10" s="21" t="n">
        <f aca="false">D10/SQRT(SUM(C10:C12))</f>
        <v>0.0165612617904679</v>
      </c>
    </row>
    <row r="11" customFormat="false" ht="14.4" hidden="false" customHeight="false" outlineLevel="0" collapsed="false">
      <c r="A11" s="20"/>
      <c r="B11" s="3" t="n">
        <v>331</v>
      </c>
      <c r="C11" s="3" t="n">
        <v>659</v>
      </c>
      <c r="D11" s="18"/>
      <c r="E11" s="18"/>
      <c r="F11" s="21"/>
    </row>
    <row r="12" customFormat="false" ht="14.4" hidden="false" customHeight="false" outlineLevel="0" collapsed="false">
      <c r="A12" s="20"/>
      <c r="B12" s="3" t="n">
        <v>332</v>
      </c>
      <c r="C12" s="3" t="n">
        <v>67</v>
      </c>
      <c r="D12" s="18"/>
      <c r="E12" s="18"/>
      <c r="F12" s="21"/>
    </row>
    <row r="13" customFormat="false" ht="14.4" hidden="false" customHeight="false" outlineLevel="0" collapsed="false">
      <c r="A13" s="16" t="n">
        <v>3.5</v>
      </c>
      <c r="B13" s="3" t="n">
        <v>463</v>
      </c>
      <c r="C13" s="3" t="n">
        <v>14</v>
      </c>
      <c r="D13" s="18" t="n">
        <f aca="false">SQRT((POWER((B13-E13),2)*C13+POWER((B14-E13),2)*C14+POWER(B15-E13,2)*C15+POWER(B16-E13,2)*C16)/SUM(C13:C16))</f>
        <v>0.510989762314357</v>
      </c>
      <c r="E13" s="18" t="n">
        <f aca="false">(B13*C13+B14*C14+B15*C15+B16*C16)/(SUM(C13:C16))</f>
        <v>464.334090909091</v>
      </c>
      <c r="F13" s="18" t="n">
        <f aca="false">D13/SQRT(SUM(C13:C16))</f>
        <v>0.0172254613736232</v>
      </c>
    </row>
    <row r="14" customFormat="false" ht="14.4" hidden="false" customHeight="false" outlineLevel="0" collapsed="false">
      <c r="A14" s="16"/>
      <c r="B14" s="3" t="n">
        <v>464</v>
      </c>
      <c r="C14" s="3" t="n">
        <v>561</v>
      </c>
      <c r="D14" s="18"/>
      <c r="E14" s="18"/>
      <c r="F14" s="18"/>
    </row>
    <row r="15" customFormat="false" ht="14.4" hidden="false" customHeight="false" outlineLevel="0" collapsed="false">
      <c r="A15" s="16"/>
      <c r="B15" s="3" t="n">
        <v>465</v>
      </c>
      <c r="C15" s="3" t="n">
        <v>302</v>
      </c>
      <c r="D15" s="18"/>
      <c r="E15" s="18"/>
      <c r="F15" s="18"/>
    </row>
    <row r="16" customFormat="false" ht="14.4" hidden="false" customHeight="false" outlineLevel="0" collapsed="false">
      <c r="A16" s="16"/>
      <c r="B16" s="3" t="n">
        <v>466</v>
      </c>
      <c r="C16" s="3" t="n">
        <v>3</v>
      </c>
      <c r="D16" s="18"/>
      <c r="E16" s="18"/>
      <c r="F16" s="18"/>
    </row>
    <row r="17" customFormat="false" ht="14.4" hidden="false" customHeight="false" outlineLevel="0" collapsed="false">
      <c r="A17" s="16" t="n">
        <v>4.5</v>
      </c>
      <c r="B17" s="3" t="n">
        <v>598</v>
      </c>
      <c r="C17" s="3" t="n">
        <v>86</v>
      </c>
      <c r="D17" s="18" t="n">
        <f aca="false">SQRT((POWER((B17-E17),2)*C17+POWER((B18-E17),2)*C18+POWER(B19-E17,2)*C19)/SUM(C17:C19))</f>
        <v>0.481466630423956</v>
      </c>
      <c r="E17" s="18" t="n">
        <f aca="false">(B17*C17+B18*C18+B19*C19)/(SUM(C17:C19))</f>
        <v>599.037542662116</v>
      </c>
      <c r="F17" s="18" t="n">
        <f aca="false">D17/SQRT(SUM(C17:C19))</f>
        <v>0.0162394663929536</v>
      </c>
    </row>
    <row r="18" customFormat="false" ht="14.4" hidden="false" customHeight="false" outlineLevel="0" collapsed="false">
      <c r="A18" s="16"/>
      <c r="B18" s="3" t="n">
        <v>599</v>
      </c>
      <c r="C18" s="3" t="n">
        <v>674</v>
      </c>
      <c r="D18" s="18"/>
      <c r="E18" s="18"/>
      <c r="F18" s="18"/>
    </row>
    <row r="19" customFormat="false" ht="14.4" hidden="false" customHeight="false" outlineLevel="0" collapsed="false">
      <c r="A19" s="16"/>
      <c r="B19" s="3" t="n">
        <v>600</v>
      </c>
      <c r="C19" s="3" t="n">
        <v>119</v>
      </c>
      <c r="D19" s="18"/>
      <c r="E19" s="18"/>
      <c r="F19" s="18"/>
    </row>
    <row r="20" customFormat="false" ht="14.4" hidden="false" customHeight="false" outlineLevel="0" collapsed="false">
      <c r="A20" s="16" t="n">
        <v>5.5</v>
      </c>
      <c r="B20" s="3" t="n">
        <v>733</v>
      </c>
      <c r="C20" s="3" t="n">
        <v>1</v>
      </c>
      <c r="D20" s="18" t="n">
        <f aca="false">SQRT((POWER((B20-E20),2)*C20+POWER((B21-E20),2)*C21+POWER(B22-E20,2)*C22+POWER(B23-E20,2)*C23)/SUM(C20:C23))</f>
        <v>0.519723335094089</v>
      </c>
      <c r="E20" s="18" t="n">
        <f aca="false">(B20*C20+B21*C21+B22*C22+B23*C23)/(SUM(C20:C23))</f>
        <v>734.823863636364</v>
      </c>
      <c r="F20" s="18" t="n">
        <f aca="false">D20/SQRT(SUM(C20:C23))</f>
        <v>0.0175198700519686</v>
      </c>
    </row>
    <row r="21" customFormat="false" ht="14.4" hidden="false" customHeight="false" outlineLevel="0" collapsed="false">
      <c r="A21" s="16"/>
      <c r="B21" s="3" t="n">
        <v>734</v>
      </c>
      <c r="C21" s="3" t="n">
        <v>207</v>
      </c>
      <c r="D21" s="18"/>
      <c r="E21" s="18"/>
      <c r="F21" s="18"/>
    </row>
    <row r="22" customFormat="false" ht="14.4" hidden="false" customHeight="false" outlineLevel="0" collapsed="false">
      <c r="A22" s="16"/>
      <c r="B22" s="3" t="n">
        <v>735</v>
      </c>
      <c r="C22" s="3" t="n">
        <v>618</v>
      </c>
      <c r="D22" s="18"/>
      <c r="E22" s="18"/>
      <c r="F22" s="18"/>
    </row>
    <row r="23" customFormat="false" ht="14.4" hidden="false" customHeight="false" outlineLevel="0" collapsed="false">
      <c r="A23" s="16"/>
      <c r="B23" s="3" t="n">
        <v>736</v>
      </c>
      <c r="C23" s="3" t="n">
        <v>54</v>
      </c>
      <c r="D23" s="18"/>
      <c r="E23" s="18"/>
      <c r="F23" s="18"/>
    </row>
    <row r="24" customFormat="false" ht="14.4" hidden="false" customHeight="false" outlineLevel="0" collapsed="false">
      <c r="A24" s="16" t="n">
        <v>6.5</v>
      </c>
      <c r="B24" s="3" t="n">
        <v>869</v>
      </c>
      <c r="C24" s="3" t="n">
        <v>2</v>
      </c>
      <c r="D24" s="21" t="n">
        <f aca="false">SQRT((POWER((B24-E24),2)*C24+POWER((B25-E24),2)*C25+POWER(B26-E24,2)*C26+POWER(B27-E24,2)*C27)/SUM(C24:C27))</f>
        <v>0.514780252804715</v>
      </c>
      <c r="E24" s="18" t="n">
        <f aca="false">(B24*C24+B25*C25+B26*C26+B27*C27)/(SUM(C24:C27))</f>
        <v>870.698863636364</v>
      </c>
      <c r="F24" s="18" t="n">
        <f aca="false">D24/SQRT(SUM(C24:C27))</f>
        <v>0.0173532387819866</v>
      </c>
    </row>
    <row r="25" customFormat="false" ht="14.4" hidden="false" customHeight="false" outlineLevel="0" collapsed="false">
      <c r="A25" s="16"/>
      <c r="B25" s="3" t="n">
        <v>870</v>
      </c>
      <c r="C25" s="3" t="n">
        <v>283</v>
      </c>
      <c r="D25" s="21"/>
      <c r="E25" s="18"/>
      <c r="F25" s="18"/>
    </row>
    <row r="26" customFormat="false" ht="14.4" hidden="false" customHeight="false" outlineLevel="0" collapsed="false">
      <c r="A26" s="16"/>
      <c r="B26" s="3" t="n">
        <v>871</v>
      </c>
      <c r="C26" s="3" t="n">
        <v>573</v>
      </c>
      <c r="D26" s="21"/>
      <c r="E26" s="18"/>
      <c r="F26" s="18"/>
    </row>
    <row r="27" customFormat="false" ht="14.4" hidden="false" customHeight="false" outlineLevel="0" collapsed="false">
      <c r="A27" s="16"/>
      <c r="B27" s="3" t="n">
        <v>872</v>
      </c>
      <c r="C27" s="3" t="n">
        <v>22</v>
      </c>
      <c r="D27" s="21"/>
      <c r="E27" s="18"/>
      <c r="F27" s="18"/>
    </row>
    <row r="30" customFormat="false" ht="14.4" hidden="false" customHeight="false" outlineLevel="0" collapsed="false">
      <c r="D30" s="7"/>
      <c r="H30" s="8" t="s">
        <v>23</v>
      </c>
      <c r="I30" s="8"/>
      <c r="J30" s="8"/>
      <c r="K30" s="8"/>
    </row>
    <row r="31" customFormat="false" ht="14.4" hidden="false" customHeight="false" outlineLevel="0" collapsed="false">
      <c r="A31" s="8" t="s">
        <v>24</v>
      </c>
      <c r="B31" s="8"/>
      <c r="C31" s="8"/>
      <c r="G31" s="7"/>
      <c r="H31" s="3" t="s">
        <v>25</v>
      </c>
      <c r="I31" s="3" t="s">
        <v>26</v>
      </c>
      <c r="J31" s="3" t="s">
        <v>27</v>
      </c>
      <c r="K31" s="3" t="s">
        <v>28</v>
      </c>
      <c r="L31" s="3" t="s">
        <v>29</v>
      </c>
      <c r="M31" s="3" t="s">
        <v>30</v>
      </c>
    </row>
    <row r="32" customFormat="false" ht="14.4" hidden="false" customHeight="false" outlineLevel="0" collapsed="false">
      <c r="A32" s="3" t="s">
        <v>3</v>
      </c>
      <c r="B32" s="3" t="s">
        <v>31</v>
      </c>
      <c r="C32" s="6" t="s">
        <v>32</v>
      </c>
      <c r="D32" s="3" t="s">
        <v>33</v>
      </c>
      <c r="H32" s="3" t="n">
        <f aca="false">D33/(A37*B33+C37)*1000</f>
        <v>1.02443611974055</v>
      </c>
      <c r="I32" s="3" t="n">
        <f aca="false">SQRT(POWER(B33*H32*B37/(A37*B33+C37),2)+POWER(H32*D37/(A37*B33+C37),2)+POWER(A37*H32*C33/(A37*B33+C37),2))</f>
        <v>0.000227927495967897</v>
      </c>
      <c r="J32" s="3" t="n">
        <f aca="false">H32*A37</f>
        <v>7.63866694940058</v>
      </c>
      <c r="K32" s="0" t="n">
        <f aca="false">SQRT((J32/H32*I32)^2+(J32/A37*B37)^2)</f>
        <v>0.0017106419073529</v>
      </c>
      <c r="L32" s="3" t="n">
        <f aca="false">H32*C37</f>
        <v>24.0839912014015</v>
      </c>
      <c r="M32" s="0" t="n">
        <f aca="false">(L32/H32*I32+L32/C37*D37)</f>
        <v>0.111699133162892</v>
      </c>
    </row>
    <row r="33" customFormat="false" ht="14.4" hidden="false" customHeight="false" outlineLevel="0" collapsed="false">
      <c r="A33" s="9" t="n">
        <v>3.2</v>
      </c>
      <c r="B33" s="3" t="n">
        <v>691.34</v>
      </c>
      <c r="C33" s="10" t="n">
        <f aca="false">A33/(2.355*SQRT(79))</f>
        <v>0.15287818611309</v>
      </c>
      <c r="D33" s="11" t="n">
        <v>5.305</v>
      </c>
      <c r="H33" s="7"/>
    </row>
    <row r="35" customFormat="false" ht="14.4" hidden="false" customHeight="false" outlineLevel="0" collapsed="false">
      <c r="A35" s="8" t="s">
        <v>34</v>
      </c>
      <c r="B35" s="8"/>
      <c r="C35" s="8"/>
      <c r="D35" s="8"/>
    </row>
    <row r="36" customFormat="false" ht="14.4" hidden="false" customHeight="false" outlineLevel="0" collapsed="false">
      <c r="A36" s="3" t="s">
        <v>35</v>
      </c>
      <c r="B36" s="3" t="s">
        <v>36</v>
      </c>
      <c r="C36" s="3" t="s">
        <v>37</v>
      </c>
      <c r="D36" s="3" t="s">
        <v>38</v>
      </c>
    </row>
    <row r="37" customFormat="false" ht="14.4" hidden="false" customHeight="false" outlineLevel="0" collapsed="false">
      <c r="A37" s="22" t="n">
        <v>7.45646</v>
      </c>
      <c r="B37" s="3" t="n">
        <v>0.00019</v>
      </c>
      <c r="C37" s="3" t="n">
        <v>23.50951</v>
      </c>
      <c r="D37" s="3" t="n">
        <v>0.1038041</v>
      </c>
    </row>
  </sheetData>
  <mergeCells count="31">
    <mergeCell ref="A2:A5"/>
    <mergeCell ref="D2:D5"/>
    <mergeCell ref="E2:E5"/>
    <mergeCell ref="F2:F5"/>
    <mergeCell ref="A6:A9"/>
    <mergeCell ref="D6:D9"/>
    <mergeCell ref="E6:E9"/>
    <mergeCell ref="F6:F9"/>
    <mergeCell ref="A10:A12"/>
    <mergeCell ref="D10:D12"/>
    <mergeCell ref="E10:E12"/>
    <mergeCell ref="F10:F12"/>
    <mergeCell ref="A13:A16"/>
    <mergeCell ref="D13:D16"/>
    <mergeCell ref="E13:E16"/>
    <mergeCell ref="F13:F16"/>
    <mergeCell ref="A17:A19"/>
    <mergeCell ref="D17:D19"/>
    <mergeCell ref="E17:E19"/>
    <mergeCell ref="F17:F19"/>
    <mergeCell ref="A20:A23"/>
    <mergeCell ref="D20:D23"/>
    <mergeCell ref="E20:E23"/>
    <mergeCell ref="F20:F23"/>
    <mergeCell ref="A24:A27"/>
    <mergeCell ref="D24:D27"/>
    <mergeCell ref="E24:E27"/>
    <mergeCell ref="F24:F27"/>
    <mergeCell ref="H30:K30"/>
    <mergeCell ref="A31:C31"/>
    <mergeCell ref="A35:D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M8" activeCellId="0" sqref="M8"/>
    </sheetView>
  </sheetViews>
  <sheetFormatPr defaultRowHeight="12.8"/>
  <cols>
    <col collapsed="false" hidden="false" max="1" min="1" style="0" width="10.3198380566802"/>
    <col collapsed="false" hidden="false" max="3" min="2" style="0" width="9.1417004048583"/>
    <col collapsed="false" hidden="false" max="4" min="4" style="0" width="12.1457489878543"/>
    <col collapsed="false" hidden="false" max="6" min="5" style="0" width="9.1417004048583"/>
    <col collapsed="false" hidden="false" max="7" min="7" style="0" width="12.1457489878543"/>
    <col collapsed="false" hidden="false" max="12" min="8" style="0" width="9.1417004048583"/>
    <col collapsed="false" hidden="false" max="13" min="13" style="0" width="16.4696356275304"/>
    <col collapsed="false" hidden="false" max="14" min="14" style="0" width="9.1417004048583"/>
    <col collapsed="false" hidden="false" max="15" min="15" style="0" width="18.8744939271255"/>
    <col collapsed="false" hidden="false" max="16" min="16" style="0" width="9.1417004048583"/>
    <col collapsed="false" hidden="false" max="17" min="17" style="0" width="15.2186234817814"/>
    <col collapsed="false" hidden="false" max="18" min="18" style="0" width="13.9676113360324"/>
    <col collapsed="false" hidden="false" max="19" min="19" style="0" width="16.9514170040486"/>
    <col collapsed="false" hidden="false" max="1025" min="20" style="0" width="9.1417004048583"/>
  </cols>
  <sheetData>
    <row r="1" customFormat="false" ht="13.8" hidden="false" customHeight="false" outlineLevel="0" collapsed="false">
      <c r="A1" s="14" t="s">
        <v>74</v>
      </c>
      <c r="B1" s="14" t="s">
        <v>75</v>
      </c>
      <c r="C1" s="14" t="s">
        <v>76</v>
      </c>
      <c r="D1" s="14" t="s">
        <v>77</v>
      </c>
      <c r="E1" s="14" t="s">
        <v>1</v>
      </c>
      <c r="F1" s="14" t="s">
        <v>2</v>
      </c>
      <c r="G1" s="14" t="s">
        <v>78</v>
      </c>
      <c r="H1" s="14" t="s">
        <v>79</v>
      </c>
      <c r="I1" s="14" t="s">
        <v>3</v>
      </c>
      <c r="J1" s="14" t="s">
        <v>4</v>
      </c>
      <c r="K1" s="14" t="s">
        <v>5</v>
      </c>
      <c r="L1" s="14" t="s">
        <v>33</v>
      </c>
      <c r="M1" s="14" t="s">
        <v>80</v>
      </c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3.8" hidden="false" customHeight="false" outlineLevel="0" collapsed="false">
      <c r="A2" s="3" t="n">
        <v>2</v>
      </c>
      <c r="B2" s="3" t="n">
        <v>9.5</v>
      </c>
      <c r="C2" s="3"/>
      <c r="D2" s="3" t="n">
        <v>150</v>
      </c>
      <c r="E2" s="3" t="n">
        <v>260</v>
      </c>
      <c r="F2" s="3" t="n">
        <v>16</v>
      </c>
      <c r="G2" s="3" t="n">
        <v>252</v>
      </c>
      <c r="H2" s="3" t="n">
        <v>18</v>
      </c>
      <c r="I2" s="3" t="n">
        <v>10.37</v>
      </c>
      <c r="J2" s="3" t="n">
        <v>558.32</v>
      </c>
      <c r="K2" s="5" t="n">
        <f aca="false">I2/(2.355*SQRT(G2))</f>
        <v>0.277387939497925</v>
      </c>
      <c r="L2" s="3"/>
      <c r="M2" s="3"/>
      <c r="N2" s="3"/>
      <c r="O2" s="23" t="s">
        <v>81</v>
      </c>
      <c r="P2" s="24" t="n">
        <v>5.305</v>
      </c>
      <c r="S2" s="3"/>
      <c r="T2" s="3"/>
      <c r="U2" s="3"/>
      <c r="V2" s="3"/>
      <c r="W2" s="3"/>
    </row>
    <row r="3" customFormat="false" ht="13.8" hidden="false" customHeight="false" outlineLevel="0" collapsed="false">
      <c r="A3" s="3" t="n">
        <v>3</v>
      </c>
      <c r="B3" s="3" t="n">
        <v>13.5</v>
      </c>
      <c r="C3" s="3"/>
      <c r="D3" s="3" t="n">
        <v>364</v>
      </c>
      <c r="E3" s="3" t="n">
        <v>306</v>
      </c>
      <c r="F3" s="3" t="n">
        <v>17</v>
      </c>
      <c r="G3" s="3" t="n">
        <v>284</v>
      </c>
      <c r="H3" s="3" t="n">
        <v>21</v>
      </c>
      <c r="I3" s="3" t="n">
        <v>10.69</v>
      </c>
      <c r="J3" s="3" t="n">
        <v>503.78</v>
      </c>
      <c r="K3" s="5" t="n">
        <f aca="false">I3/(2.355*SQRT(G3))</f>
        <v>0.269356601403233</v>
      </c>
      <c r="L3" s="3"/>
      <c r="M3" s="3"/>
      <c r="N3" s="3"/>
      <c r="O3" s="3"/>
      <c r="S3" s="3"/>
      <c r="T3" s="3"/>
      <c r="U3" s="3"/>
      <c r="V3" s="3"/>
      <c r="W3" s="3"/>
    </row>
    <row r="4" customFormat="false" ht="13.8" hidden="false" customHeight="false" outlineLevel="0" collapsed="false">
      <c r="A4" s="3" t="n">
        <v>4</v>
      </c>
      <c r="B4" s="3" t="n">
        <v>17.5</v>
      </c>
      <c r="C4" s="3"/>
      <c r="D4" s="3" t="n">
        <v>509</v>
      </c>
      <c r="E4" s="3" t="n">
        <v>305</v>
      </c>
      <c r="F4" s="3" t="n">
        <v>17</v>
      </c>
      <c r="G4" s="3" t="n">
        <v>294</v>
      </c>
      <c r="H4" s="3" t="n">
        <v>19</v>
      </c>
      <c r="I4" s="3" t="n">
        <v>13.19</v>
      </c>
      <c r="J4" s="3" t="n">
        <v>445.72</v>
      </c>
      <c r="K4" s="5" t="n">
        <f aca="false">I4/(2.355*SQRT(G4))</f>
        <v>0.32664816203933</v>
      </c>
      <c r="L4" s="3"/>
      <c r="M4" s="3"/>
      <c r="N4" s="3"/>
      <c r="O4" s="25" t="s">
        <v>82</v>
      </c>
      <c r="P4" s="25"/>
      <c r="Q4" s="25"/>
      <c r="S4" s="3"/>
      <c r="T4" s="3"/>
      <c r="U4" s="3"/>
      <c r="V4" s="3"/>
      <c r="W4" s="3"/>
    </row>
    <row r="5" customFormat="false" ht="13.8" hidden="false" customHeight="false" outlineLevel="0" collapsed="false">
      <c r="A5" s="3" t="n">
        <v>5</v>
      </c>
      <c r="B5" s="3" t="n">
        <v>21.5</v>
      </c>
      <c r="C5" s="3"/>
      <c r="D5" s="3" t="n">
        <v>768</v>
      </c>
      <c r="E5" s="3" t="n">
        <v>287</v>
      </c>
      <c r="F5" s="3" t="n">
        <v>17</v>
      </c>
      <c r="G5" s="3" t="n">
        <v>287</v>
      </c>
      <c r="H5" s="3" t="n">
        <v>17</v>
      </c>
      <c r="I5" s="3" t="n">
        <v>11.33</v>
      </c>
      <c r="J5" s="3" t="n">
        <v>382.09</v>
      </c>
      <c r="K5" s="5" t="n">
        <f aca="false">I5/(2.355*SQRT(G5))</f>
        <v>0.283986731975534</v>
      </c>
      <c r="L5" s="3"/>
      <c r="M5" s="3"/>
      <c r="N5" s="3"/>
      <c r="O5" s="26" t="s">
        <v>83</v>
      </c>
      <c r="P5" s="8" t="s">
        <v>84</v>
      </c>
      <c r="Q5" s="27" t="s">
        <v>85</v>
      </c>
      <c r="S5" s="3"/>
      <c r="T5" s="3"/>
      <c r="U5" s="3"/>
      <c r="V5" s="3"/>
      <c r="W5" s="3"/>
    </row>
    <row r="6" customFormat="false" ht="13.8" hidden="false" customHeight="false" outlineLevel="0" collapsed="false">
      <c r="A6" s="3" t="n">
        <v>6</v>
      </c>
      <c r="B6" s="3" t="n">
        <v>25.5</v>
      </c>
      <c r="C6" s="3"/>
      <c r="D6" s="3" t="n">
        <v>1081</v>
      </c>
      <c r="E6" s="3" t="n">
        <v>313</v>
      </c>
      <c r="F6" s="3" t="n">
        <v>18</v>
      </c>
      <c r="G6" s="3"/>
      <c r="H6" s="3"/>
      <c r="I6" s="3" t="n">
        <v>15.23</v>
      </c>
      <c r="J6" s="3" t="n">
        <v>310.23</v>
      </c>
      <c r="K6" s="5"/>
      <c r="L6" s="3"/>
      <c r="M6" s="3"/>
      <c r="N6" s="3"/>
      <c r="O6" s="26" t="s">
        <v>35</v>
      </c>
      <c r="P6" s="8" t="n">
        <v>7.63866696415143</v>
      </c>
      <c r="Q6" s="27" t="n">
        <v>0.00171064190739567</v>
      </c>
      <c r="R6" s="3"/>
      <c r="S6" s="3"/>
      <c r="T6" s="3"/>
      <c r="U6" s="3"/>
      <c r="V6" s="3"/>
      <c r="W6" s="3"/>
    </row>
    <row r="7" customFormat="false" ht="13.8" hidden="false" customHeight="false" outlineLevel="0" collapsed="false">
      <c r="A7" s="3" t="n">
        <v>7</v>
      </c>
      <c r="B7" s="3" t="n">
        <v>29.5</v>
      </c>
      <c r="C7" s="3"/>
      <c r="D7" s="3" t="n">
        <v>1147</v>
      </c>
      <c r="E7" s="3" t="n">
        <v>229</v>
      </c>
      <c r="F7" s="3" t="n">
        <v>15</v>
      </c>
      <c r="G7" s="3" t="n">
        <v>212</v>
      </c>
      <c r="H7" s="3" t="n">
        <v>19</v>
      </c>
      <c r="I7" s="3" t="n">
        <v>10.53</v>
      </c>
      <c r="J7" s="3" t="n">
        <v>224.46</v>
      </c>
      <c r="K7" s="5" t="n">
        <f aca="false">I7/(2.355*SQRT(G7))</f>
        <v>0.307092725770636</v>
      </c>
      <c r="L7" s="3"/>
      <c r="M7" s="3"/>
      <c r="N7" s="3"/>
      <c r="O7" s="28" t="s">
        <v>37</v>
      </c>
      <c r="P7" s="29" t="n">
        <v>24.0839810035483</v>
      </c>
      <c r="Q7" s="30" t="n">
        <v>0.106475487025031</v>
      </c>
      <c r="R7" s="3"/>
      <c r="S7" s="3"/>
      <c r="T7" s="3"/>
      <c r="U7" s="3"/>
      <c r="V7" s="3"/>
      <c r="W7" s="3"/>
    </row>
    <row r="8" customFormat="false" ht="13.8" hidden="false" customHeight="false" outlineLevel="0" collapsed="false">
      <c r="A8" s="3" t="n">
        <v>8</v>
      </c>
      <c r="B8" s="3" t="n">
        <v>33.5</v>
      </c>
      <c r="C8" s="3"/>
      <c r="D8" s="3" t="n">
        <v>1865</v>
      </c>
      <c r="E8" s="3" t="n">
        <v>300</v>
      </c>
      <c r="F8" s="3" t="n">
        <v>17</v>
      </c>
      <c r="G8" s="3" t="n">
        <v>277</v>
      </c>
      <c r="H8" s="3" t="n">
        <v>24</v>
      </c>
      <c r="I8" s="3" t="n">
        <v>22.46</v>
      </c>
      <c r="J8" s="3" t="n">
        <v>115.44</v>
      </c>
      <c r="K8" s="5" t="n">
        <f aca="false">I8/(2.355*SQRT(G8))</f>
        <v>0.57303210667144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3.8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1" t="s">
        <v>86</v>
      </c>
      <c r="P9" s="31"/>
      <c r="Q9" s="3"/>
      <c r="R9" s="3"/>
      <c r="S9" s="3"/>
      <c r="T9" s="3"/>
      <c r="U9" s="3"/>
      <c r="V9" s="3"/>
      <c r="W9" s="3"/>
    </row>
    <row r="10" customFormat="false" ht="13.8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2" t="n">
        <v>1.2041</v>
      </c>
      <c r="P10" s="32"/>
      <c r="Q10" s="3"/>
      <c r="R10" s="3"/>
      <c r="S10" s="3"/>
      <c r="T10" s="3"/>
      <c r="U10" s="3"/>
      <c r="V10" s="3"/>
      <c r="W10" s="3"/>
    </row>
    <row r="11" customFormat="false" ht="13.8" hidden="false" customHeight="false" outlineLevel="0" collapsed="false">
      <c r="A11" s="33" t="s">
        <v>87</v>
      </c>
      <c r="B11" s="13" t="s">
        <v>88</v>
      </c>
      <c r="C11" s="13"/>
      <c r="D11" s="13"/>
      <c r="E11" s="34" t="s">
        <v>89</v>
      </c>
      <c r="F11" s="34"/>
      <c r="G11" s="3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3.8" hidden="false" customHeight="false" outlineLevel="0" collapsed="false">
      <c r="A12" s="33"/>
      <c r="B12" s="8" t="s">
        <v>90</v>
      </c>
      <c r="C12" s="8" t="s">
        <v>45</v>
      </c>
      <c r="D12" s="35" t="s">
        <v>91</v>
      </c>
      <c r="E12" s="3" t="s">
        <v>90</v>
      </c>
      <c r="F12" s="3" t="s">
        <v>45</v>
      </c>
      <c r="G12" s="36" t="s">
        <v>91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3.8" hidden="false" customHeight="false" outlineLevel="0" collapsed="false">
      <c r="A13" s="35" t="n">
        <v>0.05</v>
      </c>
      <c r="B13" s="8" t="n">
        <v>0.132</v>
      </c>
      <c r="C13" s="8" t="n">
        <v>0.123</v>
      </c>
      <c r="D13" s="35" t="n">
        <f aca="false">0.2*B13+0.8*C13</f>
        <v>0.1248</v>
      </c>
      <c r="E13" s="3" t="n">
        <v>0.53</v>
      </c>
      <c r="F13" s="3" t="n">
        <v>0.564</v>
      </c>
      <c r="G13" s="3" t="n">
        <f aca="false">0.2*E13+0.8*F13</f>
        <v>0.5572</v>
      </c>
      <c r="H13" s="3"/>
      <c r="I13" s="3"/>
      <c r="J13" s="37" t="s">
        <v>74</v>
      </c>
      <c r="K13" s="38" t="s">
        <v>4</v>
      </c>
      <c r="L13" s="38" t="s">
        <v>5</v>
      </c>
      <c r="M13" s="38" t="s">
        <v>92</v>
      </c>
      <c r="N13" s="38" t="s">
        <v>80</v>
      </c>
      <c r="O13" s="38" t="s">
        <v>93</v>
      </c>
      <c r="P13" s="38" t="s">
        <v>94</v>
      </c>
      <c r="Q13" s="39" t="s">
        <v>95</v>
      </c>
      <c r="R13" s="39" t="s">
        <v>96</v>
      </c>
      <c r="S13" s="40" t="s">
        <v>97</v>
      </c>
      <c r="T13" s="3"/>
      <c r="U13" s="3"/>
      <c r="V13" s="3"/>
      <c r="W13" s="3"/>
    </row>
    <row r="14" customFormat="false" ht="13.8" hidden="false" customHeight="false" outlineLevel="0" collapsed="false">
      <c r="A14" s="35" t="n">
        <v>0.08</v>
      </c>
      <c r="B14" s="8" t="n">
        <v>0.181</v>
      </c>
      <c r="C14" s="8" t="n">
        <v>0.17</v>
      </c>
      <c r="D14" s="35" t="n">
        <f aca="false">0.2*B14+0.8*C14</f>
        <v>0.1722</v>
      </c>
      <c r="E14" s="3" t="n">
        <v>0.644</v>
      </c>
      <c r="F14" s="3" t="n">
        <v>0.684</v>
      </c>
      <c r="G14" s="3" t="n">
        <f aca="false">0.2*E14+0.8*F14</f>
        <v>0.676</v>
      </c>
      <c r="H14" s="3"/>
      <c r="I14" s="3"/>
      <c r="J14" s="26" t="n">
        <v>2</v>
      </c>
      <c r="K14" s="8" t="n">
        <v>558.32</v>
      </c>
      <c r="L14" s="8" t="n">
        <v>0.277387939497925</v>
      </c>
      <c r="M14" s="8" t="n">
        <f aca="false">K14*$P$6+$P$7</f>
        <v>4288.90452042858</v>
      </c>
      <c r="N14" s="8" t="n">
        <f aca="false">$Q$6*K14+L14*$P$6+$Q$7</f>
        <v>3.18043516645902</v>
      </c>
      <c r="O14" s="8" t="n">
        <f aca="false">$P$2-M14/1000</f>
        <v>1.01609547957142</v>
      </c>
      <c r="P14" s="8" t="n">
        <f aca="false">N14/1000</f>
        <v>0.00318043516645902</v>
      </c>
      <c r="Q14" s="41" t="n">
        <v>0.922731</v>
      </c>
      <c r="R14" s="41" t="n">
        <v>0.935472</v>
      </c>
      <c r="S14" s="42" t="n">
        <v>0.920353</v>
      </c>
      <c r="T14" s="3"/>
      <c r="U14" s="3"/>
      <c r="V14" s="3"/>
      <c r="W14" s="3"/>
    </row>
    <row r="15" customFormat="false" ht="13.8" hidden="false" customHeight="false" outlineLevel="0" collapsed="false">
      <c r="A15" s="35" t="n">
        <v>0.128</v>
      </c>
      <c r="B15" s="8" t="n">
        <v>0.247</v>
      </c>
      <c r="C15" s="8" t="n">
        <v>0.232</v>
      </c>
      <c r="D15" s="35" t="n">
        <f aca="false">0.2*B15+0.8*C15</f>
        <v>0.235</v>
      </c>
      <c r="E15" s="3" t="n">
        <v>0.777</v>
      </c>
      <c r="F15" s="3" t="n">
        <v>0.817</v>
      </c>
      <c r="G15" s="3" t="n">
        <f aca="false">0.2*E15+0.8*F15</f>
        <v>0.809</v>
      </c>
      <c r="H15" s="3"/>
      <c r="I15" s="3"/>
      <c r="J15" s="26" t="n">
        <v>3</v>
      </c>
      <c r="K15" s="8" t="n">
        <v>503.78</v>
      </c>
      <c r="L15" s="8" t="n">
        <v>0.269356601403233</v>
      </c>
      <c r="M15" s="8" t="n">
        <f aca="false">K15*$P$6+$P$7</f>
        <v>3872.29162420376</v>
      </c>
      <c r="N15" s="8" t="n">
        <f aca="false">$Q$6*K15+L15*$P$6+$Q$7</f>
        <v>3.0257880398478</v>
      </c>
      <c r="O15" s="8" t="n">
        <f aca="false">$P$2-M15/1000</f>
        <v>1.43270837579624</v>
      </c>
      <c r="P15" s="8" t="n">
        <f aca="false">N15/1000</f>
        <v>0.0030257880398478</v>
      </c>
      <c r="Q15" s="41" t="n">
        <v>1.36114</v>
      </c>
      <c r="R15" s="41" t="n">
        <v>1.39409</v>
      </c>
      <c r="S15" s="42" t="n">
        <v>1.35758</v>
      </c>
      <c r="T15" s="3"/>
      <c r="U15" s="3"/>
      <c r="V15" s="3"/>
      <c r="W15" s="3"/>
    </row>
    <row r="16" customFormat="false" ht="13.8" hidden="false" customHeight="false" outlineLevel="0" collapsed="false">
      <c r="A16" s="35" t="n">
        <v>0.201</v>
      </c>
      <c r="B16" s="8" t="n">
        <v>0.33</v>
      </c>
      <c r="C16" s="8" t="n">
        <v>0.312</v>
      </c>
      <c r="D16" s="35" t="n">
        <f aca="false">0.2*B16+0.8*C16</f>
        <v>0.3156</v>
      </c>
      <c r="E16" s="3" t="n">
        <v>0.93</v>
      </c>
      <c r="F16" s="3" t="n">
        <v>0.956</v>
      </c>
      <c r="G16" s="3" t="n">
        <f aca="false">0.2*E16+0.8*F16</f>
        <v>0.9508</v>
      </c>
      <c r="H16" s="3"/>
      <c r="I16" s="3"/>
      <c r="J16" s="26" t="n">
        <v>4</v>
      </c>
      <c r="K16" s="8" t="n">
        <v>445.72</v>
      </c>
      <c r="L16" s="8" t="n">
        <v>0.32664816203933</v>
      </c>
      <c r="M16" s="8" t="n">
        <f aca="false">K16*$P$6+$P$7</f>
        <v>3428.79062026512</v>
      </c>
      <c r="N16" s="8" t="n">
        <f aca="false">$Q$6*K16+L16*$P$6+$Q$7</f>
        <v>3.36409932226004</v>
      </c>
      <c r="O16" s="8" t="n">
        <f aca="false">$P$2-M16/1000</f>
        <v>1.87620937973488</v>
      </c>
      <c r="P16" s="8" t="n">
        <f aca="false">N16/1000</f>
        <v>0.00336409932226004</v>
      </c>
      <c r="Q16" s="41" t="n">
        <v>1.84399</v>
      </c>
      <c r="R16" s="41" t="n">
        <v>1.92133</v>
      </c>
      <c r="S16" s="42" t="n">
        <v>1.84083</v>
      </c>
      <c r="T16" s="3"/>
      <c r="U16" s="3"/>
      <c r="V16" s="3"/>
      <c r="W16" s="3"/>
    </row>
    <row r="17" customFormat="false" ht="13.8" hidden="false" customHeight="false" outlineLevel="0" collapsed="false">
      <c r="A17" s="35" t="n">
        <v>0.4</v>
      </c>
      <c r="B17" s="8" t="n">
        <v>0.513</v>
      </c>
      <c r="C17" s="8" t="n">
        <v>0.49</v>
      </c>
      <c r="D17" s="35" t="n">
        <f aca="false">0.2*B17+0.8*C17</f>
        <v>0.4946</v>
      </c>
      <c r="E17" s="3" t="n">
        <v>1.262</v>
      </c>
      <c r="F17" s="3" t="n">
        <v>1.303</v>
      </c>
      <c r="G17" s="3" t="n">
        <f aca="false">0.2*E17+0.8*F17</f>
        <v>1.2948</v>
      </c>
      <c r="H17" s="3"/>
      <c r="I17" s="3"/>
      <c r="J17" s="26" t="n">
        <v>5</v>
      </c>
      <c r="K17" s="8" t="n">
        <v>382.09</v>
      </c>
      <c r="L17" s="8" t="n">
        <v>0.283986731975534</v>
      </c>
      <c r="M17" s="8" t="n">
        <f aca="false">K17*$P$6+$P$7</f>
        <v>2942.74224133617</v>
      </c>
      <c r="N17" s="8" t="n">
        <f aca="false">$Q$6*K17+L17*$P$6+$Q$7</f>
        <v>2.92937472122068</v>
      </c>
      <c r="O17" s="8" t="n">
        <f aca="false">$P$2-M17/1000</f>
        <v>2.36225775866383</v>
      </c>
      <c r="P17" s="8" t="n">
        <f aca="false">N17/1000</f>
        <v>0.00292937472122068</v>
      </c>
      <c r="Q17" s="41" t="n">
        <v>2.39442</v>
      </c>
      <c r="R17" s="41" t="n">
        <v>2.55829</v>
      </c>
      <c r="S17" s="42" t="n">
        <v>2.39209</v>
      </c>
      <c r="T17" s="3"/>
      <c r="U17" s="3"/>
      <c r="V17" s="3"/>
      <c r="W17" s="3"/>
    </row>
    <row r="18" customFormat="false" ht="13.8" hidden="false" customHeight="false" outlineLevel="0" collapsed="false">
      <c r="A18" s="35" t="n">
        <v>0.5</v>
      </c>
      <c r="B18" s="8" t="n">
        <v>0.588</v>
      </c>
      <c r="C18" s="8" t="n">
        <v>0.563</v>
      </c>
      <c r="D18" s="35" t="n">
        <f aca="false">0.2*B18+0.8*C18</f>
        <v>0.568</v>
      </c>
      <c r="E18" s="3" t="n">
        <v>1.389</v>
      </c>
      <c r="F18" s="3" t="n">
        <v>1.442</v>
      </c>
      <c r="G18" s="3" t="n">
        <f aca="false">0.2*E18+0.8*F18</f>
        <v>1.4314</v>
      </c>
      <c r="H18" s="3"/>
      <c r="I18" s="3"/>
      <c r="J18" s="26" t="n">
        <v>6</v>
      </c>
      <c r="K18" s="8" t="n">
        <v>310.23</v>
      </c>
      <c r="L18" s="8" t="n">
        <v>0.283986731975534</v>
      </c>
      <c r="M18" s="8" t="n">
        <f aca="false">K18*$P$6+$P$7</f>
        <v>2393.82763329225</v>
      </c>
      <c r="N18" s="8" t="n">
        <f aca="false">$Q$6*K18+L18*$P$6+$Q$7</f>
        <v>2.80644799375523</v>
      </c>
      <c r="O18" s="8" t="n">
        <f aca="false">$P$2-M18/1000</f>
        <v>2.91117236670775</v>
      </c>
      <c r="P18" s="8" t="n">
        <f aca="false">N18/1000</f>
        <v>0.00280644799375523</v>
      </c>
      <c r="Q18" s="41" t="n">
        <v>3.04923</v>
      </c>
      <c r="R18" s="41" t="n">
        <v>3.37167</v>
      </c>
      <c r="S18" s="42" t="n">
        <v>3.04835</v>
      </c>
      <c r="T18" s="3"/>
      <c r="U18" s="3"/>
      <c r="V18" s="3"/>
      <c r="W18" s="3"/>
    </row>
    <row r="19" customFormat="false" ht="13.8" hidden="false" customHeight="false" outlineLevel="0" collapsed="false">
      <c r="A19" s="35" t="n">
        <v>0.64</v>
      </c>
      <c r="B19" s="8" t="n">
        <v>0.684</v>
      </c>
      <c r="C19" s="8" t="n">
        <v>0.654</v>
      </c>
      <c r="D19" s="35" t="n">
        <f aca="false">0.2*B19+0.8*C19</f>
        <v>0.66</v>
      </c>
      <c r="E19" s="3" t="n">
        <v>1.546</v>
      </c>
      <c r="F19" s="3" t="n">
        <v>1.604</v>
      </c>
      <c r="G19" s="3" t="n">
        <f aca="false">0.2*E19+0.8*F19</f>
        <v>1.5924</v>
      </c>
      <c r="H19" s="3"/>
      <c r="I19" s="3"/>
      <c r="J19" s="26" t="n">
        <v>7</v>
      </c>
      <c r="K19" s="8" t="n">
        <v>224.46</v>
      </c>
      <c r="L19" s="8" t="n">
        <v>0.307092725770636</v>
      </c>
      <c r="M19" s="8" t="n">
        <f aca="false">K19*$P$6+$P$7</f>
        <v>1738.65916777698</v>
      </c>
      <c r="N19" s="8" t="n">
        <f aca="false">$Q$6*K19+L19*$P$6+$Q$7</f>
        <v>2.83622522883443</v>
      </c>
      <c r="O19" s="8" t="n">
        <f aca="false">$P$2-M19/1000</f>
        <v>3.56634083222302</v>
      </c>
      <c r="P19" s="8" t="n">
        <f aca="false">N19/1000</f>
        <v>0.00283622522883443</v>
      </c>
      <c r="Q19" s="41" t="n">
        <v>3.84866</v>
      </c>
      <c r="R19" s="41" t="n">
        <v>4.38251</v>
      </c>
      <c r="S19" s="42" t="n">
        <v>3.8504</v>
      </c>
      <c r="T19" s="3"/>
      <c r="U19" s="3"/>
      <c r="V19" s="3"/>
      <c r="W19" s="3"/>
    </row>
    <row r="20" customFormat="false" ht="13.8" hidden="false" customHeight="false" outlineLevel="0" collapsed="false">
      <c r="A20" s="35" t="n">
        <v>0.8</v>
      </c>
      <c r="B20" s="8" t="n">
        <v>0.783</v>
      </c>
      <c r="C20" s="8" t="n">
        <v>0.75</v>
      </c>
      <c r="D20" s="35" t="n">
        <f aca="false">0.2*B20+0.8*C20</f>
        <v>0.7566</v>
      </c>
      <c r="E20" s="3" t="n">
        <v>1.665</v>
      </c>
      <c r="F20" s="3" t="n">
        <v>1.734</v>
      </c>
      <c r="G20" s="3" t="n">
        <f aca="false">0.2*E20+0.8*F20</f>
        <v>1.7202</v>
      </c>
      <c r="H20" s="3"/>
      <c r="I20" s="3"/>
      <c r="J20" s="28" t="n">
        <v>8</v>
      </c>
      <c r="K20" s="29" t="n">
        <v>115.44</v>
      </c>
      <c r="L20" s="29" t="n">
        <v>0.573032106671441</v>
      </c>
      <c r="M20" s="29" t="n">
        <f aca="false">K20*$P$6+$P$7</f>
        <v>905.89169534519</v>
      </c>
      <c r="N20" s="29" t="n">
        <f aca="false">$Q$6*K20+L20*$P$6+$Q$7</f>
        <v>4.68115341144402</v>
      </c>
      <c r="O20" s="29" t="n">
        <f aca="false">$P$2-M20/1000</f>
        <v>4.39910830465481</v>
      </c>
      <c r="P20" s="29" t="n">
        <f aca="false">N20/1000</f>
        <v>0.00468115341144402</v>
      </c>
      <c r="Q20" s="43" t="n">
        <v>4.69504</v>
      </c>
      <c r="R20" s="43" t="n">
        <v>5.08737</v>
      </c>
      <c r="S20" s="44" t="n">
        <v>4.69917</v>
      </c>
      <c r="T20" s="3"/>
      <c r="U20" s="3"/>
      <c r="V20" s="3"/>
      <c r="W20" s="3"/>
    </row>
    <row r="21" customFormat="false" ht="13.8" hidden="false" customHeight="false" outlineLevel="0" collapsed="false">
      <c r="A21" s="35" t="n">
        <v>1</v>
      </c>
      <c r="B21" s="8" t="n">
        <v>0.9</v>
      </c>
      <c r="C21" s="8" t="n">
        <v>0.863</v>
      </c>
      <c r="D21" s="35" t="n">
        <f aca="false">0.2*B21+0.8*C21</f>
        <v>0.8704</v>
      </c>
      <c r="E21" s="3" t="n">
        <v>1.748</v>
      </c>
      <c r="F21" s="3" t="n">
        <v>1.816</v>
      </c>
      <c r="G21" s="3" t="n">
        <f aca="false">0.2*E21+0.8*F21</f>
        <v>1.8024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3.8" hidden="false" customHeight="false" outlineLevel="0" collapsed="false">
      <c r="A22" s="35" t="n">
        <v>1.6</v>
      </c>
      <c r="B22" s="8" t="n">
        <v>1.246</v>
      </c>
      <c r="C22" s="8" t="n">
        <v>1.193</v>
      </c>
      <c r="D22" s="35" t="n">
        <f aca="false">0.2*B22+0.8*C22</f>
        <v>1.2036</v>
      </c>
      <c r="E22" s="3" t="n">
        <v>1.688</v>
      </c>
      <c r="F22" s="3" t="n">
        <v>1.776</v>
      </c>
      <c r="G22" s="3" t="n">
        <f aca="false">0.2*E22+0.8*F22</f>
        <v>1.7584</v>
      </c>
      <c r="H22" s="3"/>
      <c r="I22" s="3"/>
      <c r="J22" s="3"/>
      <c r="K22" s="3"/>
      <c r="L22" s="3"/>
      <c r="M22" s="3"/>
      <c r="N22" s="3"/>
      <c r="O22" s="3"/>
      <c r="P22" s="3"/>
      <c r="Q22" s="45" t="s">
        <v>98</v>
      </c>
      <c r="R22" s="45"/>
      <c r="S22" s="45"/>
      <c r="T22" s="3"/>
      <c r="U22" s="3"/>
      <c r="V22" s="3"/>
      <c r="W22" s="3"/>
    </row>
    <row r="23" customFormat="false" ht="13.8" hidden="false" customHeight="false" outlineLevel="0" collapsed="false">
      <c r="A23" s="35" t="n">
        <v>2</v>
      </c>
      <c r="B23" s="8" t="n">
        <v>1.493</v>
      </c>
      <c r="C23" s="8" t="n">
        <v>1.428</v>
      </c>
      <c r="D23" s="35" t="n">
        <f aca="false">0.2*B23+0.8*C23</f>
        <v>1.441</v>
      </c>
      <c r="E23" s="3" t="n">
        <v>1.561</v>
      </c>
      <c r="F23" s="3" t="n">
        <v>1.64</v>
      </c>
      <c r="G23" s="3" t="n">
        <f aca="false">0.2*E23+0.8*F23</f>
        <v>1.6242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3.8" hidden="false" customHeight="false" outlineLevel="0" collapsed="false">
      <c r="A24" s="35" t="n">
        <v>2.401</v>
      </c>
      <c r="B24" s="8" t="n">
        <v>1.765</v>
      </c>
      <c r="C24" s="8" t="n">
        <v>1.687</v>
      </c>
      <c r="D24" s="35" t="n">
        <f aca="false">0.2*B24+0.8*C24</f>
        <v>1.7026</v>
      </c>
      <c r="E24" s="3" t="n">
        <v>1.385</v>
      </c>
      <c r="F24" s="3" t="n">
        <v>1.458</v>
      </c>
      <c r="G24" s="3" t="n">
        <f aca="false">0.2*E24+0.8*F24</f>
        <v>1.4434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3.8" hidden="false" customHeight="false" outlineLevel="0" collapsed="false">
      <c r="A25" s="35" t="n">
        <v>2.8</v>
      </c>
      <c r="B25" s="8" t="n">
        <v>2.073</v>
      </c>
      <c r="C25" s="8" t="n">
        <v>1.979</v>
      </c>
      <c r="D25" s="35" t="n">
        <f aca="false">0.2*B25+0.8*C25</f>
        <v>1.9978</v>
      </c>
      <c r="E25" s="3" t="n">
        <v>1.227</v>
      </c>
      <c r="F25" s="3" t="n">
        <v>1.292</v>
      </c>
      <c r="G25" s="3" t="n">
        <f aca="false">0.2*E25+0.8*F25</f>
        <v>1.279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3.8" hidden="false" customHeight="false" outlineLevel="0" collapsed="false">
      <c r="A26" s="35" t="n">
        <v>3.2</v>
      </c>
      <c r="B26" s="8" t="n">
        <v>2.418</v>
      </c>
      <c r="C26" s="8" t="n">
        <v>2.308</v>
      </c>
      <c r="D26" s="35" t="n">
        <f aca="false">0.2*B26+0.8*C26</f>
        <v>2.33</v>
      </c>
      <c r="E26" s="3" t="n">
        <v>1.098</v>
      </c>
      <c r="F26" s="3" t="n">
        <v>1.152</v>
      </c>
      <c r="G26" s="3" t="n">
        <f aca="false">0.2*E26+0.8*F26</f>
        <v>1.1412</v>
      </c>
      <c r="H26" s="3"/>
      <c r="I26" s="3"/>
      <c r="J26" s="3"/>
      <c r="K26" s="3"/>
      <c r="L26" s="3"/>
      <c r="M26" s="3"/>
      <c r="N26" s="3"/>
      <c r="O26" s="3"/>
      <c r="P26" s="3"/>
      <c r="R26" s="3"/>
      <c r="S26" s="3"/>
      <c r="T26" s="3"/>
      <c r="U26" s="3"/>
      <c r="V26" s="3"/>
      <c r="W26" s="3"/>
    </row>
    <row r="27" customFormat="false" ht="13.8" hidden="false" customHeight="false" outlineLevel="0" collapsed="false">
      <c r="A27" s="35" t="n">
        <v>4</v>
      </c>
      <c r="B27" s="8" t="n">
        <v>3.227</v>
      </c>
      <c r="C27" s="8" t="n">
        <v>3.079</v>
      </c>
      <c r="D27" s="35" t="n">
        <f aca="false">0.2*B27+0.8*C27</f>
        <v>3.1086</v>
      </c>
      <c r="E27" s="3" t="n">
        <v>0.9</v>
      </c>
      <c r="F27" s="3" t="n">
        <v>0.949</v>
      </c>
      <c r="G27" s="3" t="n">
        <f aca="false">0.2*E27+0.8*F27</f>
        <v>0.9392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3.8" hidden="false" customHeight="false" outlineLevel="0" collapsed="false">
      <c r="A28" s="35" t="n">
        <v>5</v>
      </c>
      <c r="B28" s="8" t="n">
        <v>4.444</v>
      </c>
      <c r="C28" s="8" t="n">
        <v>4.236</v>
      </c>
      <c r="D28" s="35" t="n">
        <f aca="false">0.2*B28+0.8*C28</f>
        <v>4.2776</v>
      </c>
      <c r="E28" s="3" t="n">
        <v>0.756</v>
      </c>
      <c r="F28" s="3" t="n">
        <v>0.792</v>
      </c>
      <c r="G28" s="3" t="n">
        <f aca="false">0.2*E28+0.8*F28</f>
        <v>0.7848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3.8" hidden="false" customHeight="false" outlineLevel="0" collapsed="false">
      <c r="A29" s="35" t="n">
        <v>6.4</v>
      </c>
      <c r="B29" s="8" t="n">
        <v>6.487</v>
      </c>
      <c r="C29" s="8" t="n">
        <v>6.189</v>
      </c>
      <c r="D29" s="35" t="n">
        <f aca="false">0.2*B29+0.8*C29</f>
        <v>6.2486</v>
      </c>
      <c r="E29" s="3" t="n">
        <v>0.626</v>
      </c>
      <c r="F29" s="3" t="n">
        <v>0.655</v>
      </c>
      <c r="G29" s="3" t="n">
        <f aca="false">0.2*E29+0.8*F29</f>
        <v>0.6492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3.8" hidden="false" customHeight="false" outlineLevel="0" collapsed="false">
      <c r="A30" s="35" t="n">
        <v>8</v>
      </c>
      <c r="B30" s="8" t="n">
        <v>9.277</v>
      </c>
      <c r="C30" s="8" t="n">
        <v>8.851</v>
      </c>
      <c r="D30" s="35" t="n">
        <f aca="false">0.2*B30+0.8*C30</f>
        <v>8.9362</v>
      </c>
      <c r="E30" s="3" t="n">
        <v>0.53</v>
      </c>
      <c r="F30" s="3" t="n">
        <v>0.556</v>
      </c>
      <c r="G30" s="3" t="n">
        <f aca="false">0.2*E30+0.8*F30</f>
        <v>0.5508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</sheetData>
  <mergeCells count="7">
    <mergeCell ref="O4:Q4"/>
    <mergeCell ref="O9:P9"/>
    <mergeCell ref="O10:P10"/>
    <mergeCell ref="A11:A12"/>
    <mergeCell ref="B11:D11"/>
    <mergeCell ref="E11:G11"/>
    <mergeCell ref="Q22:S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2018-01-06T00:19:16Z</dcterms:created>
  <dc:creator>Francisco Duque</dc:creator>
  <dc:description/>
  <dc:language>pt-PT</dc:language>
  <cp:lastModifiedBy/>
  <dcterms:modified xsi:type="dcterms:W3CDTF">2018-01-14T17:06:04Z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