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Calibracao" sheetId="1" state="visible" r:id="rId2"/>
    <sheet name="Talio" sheetId="2" state="visible" r:id="rId3"/>
    <sheet name="Bismuto" sheetId="3" state="visible" r:id="rId4"/>
    <sheet name="Auger" sheetId="4" state="visible" r:id="rId5"/>
    <sheet name="Resolução Energi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<sst xmlns="http://schemas.openxmlformats.org/spreadsheetml/2006/main" count="112" uniqueCount="65">
  <si>
    <t xml:space="preserve">Pulso</t>
  </si>
  <si>
    <t xml:space="preserve">Canal</t>
  </si>
  <si>
    <t xml:space="preserve">Contagens</t>
  </si>
  <si>
    <t xml:space="preserve">sigma estatistico</t>
  </si>
  <si>
    <t xml:space="preserve">Centróide</t>
  </si>
  <si>
    <t xml:space="preserve">Erro Centroide</t>
  </si>
  <si>
    <t xml:space="preserve">Ponto Graduador</t>
  </si>
  <si>
    <t xml:space="preserve">Conversao</t>
  </si>
  <si>
    <t xml:space="preserve">FWHM</t>
  </si>
  <si>
    <t xml:space="preserve">Centroide</t>
  </si>
  <si>
    <t xml:space="preserve">Energia</t>
  </si>
  <si>
    <t xml:space="preserve">K</t>
  </si>
  <si>
    <t xml:space="preserve">Erro K</t>
  </si>
  <si>
    <t xml:space="preserve">a'</t>
  </si>
  <si>
    <t xml:space="preserve">b'</t>
  </si>
  <si>
    <t xml:space="preserve">Calibracao Tensao-Canal</t>
  </si>
  <si>
    <t xml:space="preserve">a</t>
  </si>
  <si>
    <t xml:space="preserve">erro a</t>
  </si>
  <si>
    <t xml:space="preserve">b</t>
  </si>
  <si>
    <t xml:space="preserve">erro b</t>
  </si>
  <si>
    <t xml:space="preserve">Raw</t>
  </si>
  <si>
    <t xml:space="preserve">Ruído</t>
  </si>
  <si>
    <t xml:space="preserve">Sinal</t>
  </si>
  <si>
    <t xml:space="preserve">Pico</t>
  </si>
  <si>
    <t xml:space="preserve">Canal </t>
  </si>
  <si>
    <t xml:space="preserve">N</t>
  </si>
  <si>
    <t xml:space="preserve">b </t>
  </si>
  <si>
    <t xml:space="preserve">Erro centróide</t>
  </si>
  <si>
    <t xml:space="preserve">sigma</t>
  </si>
  <si>
    <t xml:space="preserve">erro sigma</t>
  </si>
  <si>
    <t xml:space="preserve">Ns</t>
  </si>
  <si>
    <t xml:space="preserve">erro Ns</t>
  </si>
  <si>
    <t xml:space="preserve">delta E</t>
  </si>
  <si>
    <t xml:space="preserve">erro</t>
  </si>
  <si>
    <t xml:space="preserve">K(menos energético)</t>
  </si>
  <si>
    <t xml:space="preserve">centróide</t>
  </si>
  <si>
    <t xml:space="preserve">E</t>
  </si>
  <si>
    <t xml:space="preserve">Eteor</t>
  </si>
  <si>
    <t xml:space="preserve">Desv.</t>
  </si>
  <si>
    <t xml:space="preserve">Desv #sig</t>
  </si>
  <si>
    <t xml:space="preserve">Sigma Ns</t>
  </si>
  <si>
    <t xml:space="preserve">NL/NK</t>
  </si>
  <si>
    <t xml:space="preserve">L+M(menos energético)</t>
  </si>
  <si>
    <t xml:space="preserve">-</t>
  </si>
  <si>
    <t xml:space="preserve">L</t>
  </si>
  <si>
    <t xml:space="preserve">M</t>
  </si>
  <si>
    <t xml:space="preserve">Gamma</t>
  </si>
  <si>
    <t xml:space="preserve">EeK</t>
  </si>
  <si>
    <t xml:space="preserve">EeL</t>
  </si>
  <si>
    <t xml:space="preserve">EeM</t>
  </si>
  <si>
    <t xml:space="preserve">K(mais energético)</t>
  </si>
  <si>
    <t xml:space="preserve">L(mais energético)</t>
  </si>
  <si>
    <t xml:space="preserve">Fonte</t>
  </si>
  <si>
    <t xml:space="preserve">E (KeV)</t>
  </si>
  <si>
    <t xml:space="preserve">err</t>
  </si>
  <si>
    <t xml:space="preserve">FWHM (KeV)</t>
  </si>
  <si>
    <t xml:space="preserve">Resolução (\%)</t>
  </si>
  <si>
    <t xml:space="preserve">$^{137}Cs$</t>
  </si>
  <si>
    <t xml:space="preserve">Conversão K</t>
  </si>
  <si>
    <t xml:space="preserve">$^{207}Bi$</t>
  </si>
  <si>
    <t xml:space="preserve">Conversão K 570 keV</t>
  </si>
  <si>
    <t xml:space="preserve">Conversão L+M 570 keV</t>
  </si>
  <si>
    <t xml:space="preserve">Conversão K 1634 keV</t>
  </si>
  <si>
    <t xml:space="preserve">Conversão L+M 1634 keV</t>
  </si>
  <si>
    <t xml:space="preserve">C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</si>
</sst>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"/>
    <numFmt numFmtId="166" formatCode="0.0000"/>
    <numFmt numFmtId="167" formatCode="0"/>
    <numFmt numFmtId="168" formatCode="0.00"/>
    <numFmt numFmtId="169" formatCode="0.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F24" activeCellId="0" sqref="F24"/>
    </sheetView>
  </sheetViews>
  <sheetFormatPr defaultRowHeight="14.5"/>
  <cols>
    <col collapsed="false" hidden="false" max="2" min="1" style="0" width="9.33198380566802"/>
    <col collapsed="false" hidden="false" max="3" min="3" style="0" width="13.9028340080972"/>
    <col collapsed="false" hidden="false" max="4" min="4" style="0" width="17.6194331983806"/>
    <col collapsed="false" hidden="false" max="5" min="5" style="0" width="17.0445344129555"/>
    <col collapsed="false" hidden="false" max="6" min="6" style="0" width="15.8016194331984"/>
    <col collapsed="false" hidden="false" max="1025" min="7" style="0" width="9.33198380566802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5" hidden="false" customHeight="false" outlineLevel="0" collapsed="false">
      <c r="A2" s="2" t="n">
        <v>0.1</v>
      </c>
      <c r="B2" s="1" t="n">
        <v>20</v>
      </c>
      <c r="C2" s="1" t="n">
        <v>38</v>
      </c>
      <c r="D2" s="3" t="n">
        <f aca="false">SQRT((POWER((B2-E2),2)*C2+POWER((B3-E2),2)*C3+POWER((B4-E2),2)*C4+POWER((B5-E2),2)*C5)/SUM(C2:C5))</f>
        <v>0.643601054955829</v>
      </c>
      <c r="E2" s="3" t="n">
        <f aca="false">(B2*C2+B3*C3+B4*C4+B5*C5)/(SUM(C2:C5))</f>
        <v>21.4716748768473</v>
      </c>
      <c r="F2" s="3" t="n">
        <f aca="false">D2/SQRT(SUM(C2:C5))</f>
        <v>0.0225859692578288</v>
      </c>
    </row>
    <row r="3" customFormat="false" ht="14.5" hidden="false" customHeight="false" outlineLevel="0" collapsed="false">
      <c r="A3" s="2"/>
      <c r="B3" s="1" t="n">
        <v>21</v>
      </c>
      <c r="C3" s="1" t="n">
        <v>382</v>
      </c>
      <c r="D3" s="3"/>
      <c r="E3" s="3"/>
      <c r="F3" s="3"/>
    </row>
    <row r="4" customFormat="false" ht="14.5" hidden="false" customHeight="false" outlineLevel="0" collapsed="false">
      <c r="A4" s="2"/>
      <c r="B4" s="1" t="n">
        <v>22</v>
      </c>
      <c r="C4" s="1" t="n">
        <v>363</v>
      </c>
      <c r="D4" s="3"/>
      <c r="E4" s="3"/>
      <c r="F4" s="3"/>
    </row>
    <row r="5" customFormat="false" ht="14.5" hidden="false" customHeight="false" outlineLevel="0" collapsed="false">
      <c r="A5" s="2"/>
      <c r="B5" s="1" t="n">
        <v>23</v>
      </c>
      <c r="C5" s="1" t="n">
        <v>29</v>
      </c>
      <c r="D5" s="3"/>
      <c r="E5" s="3"/>
      <c r="F5" s="3"/>
    </row>
    <row r="6" customFormat="false" ht="14.5" hidden="false" customHeight="false" outlineLevel="0" collapsed="false">
      <c r="A6" s="2" t="n">
        <v>0.3</v>
      </c>
      <c r="B6" s="1" t="n">
        <v>64</v>
      </c>
      <c r="C6" s="1" t="n">
        <v>121</v>
      </c>
      <c r="D6" s="3" t="n">
        <f aca="false">SQRT((POWER((B6-E6),2)*C6+POWER((B7-E6),2)*C7+POWER((B8-E6),2)*C8)/SUM(C6:C8))</f>
        <v>0.614691160163934</v>
      </c>
      <c r="E6" s="4" t="n">
        <f aca="false">(B6*C6+B7*C7+B8*C8)/(SUM(C6:C8))</f>
        <v>65.0834371108344</v>
      </c>
      <c r="F6" s="3" t="n">
        <f aca="false">D6/SQRT(SUM(C6:C8))</f>
        <v>0.0216919799810089</v>
      </c>
    </row>
    <row r="7" customFormat="false" ht="14.5" hidden="false" customHeight="false" outlineLevel="0" collapsed="false">
      <c r="A7" s="2"/>
      <c r="B7" s="1" t="n">
        <v>65</v>
      </c>
      <c r="C7" s="1" t="n">
        <v>494</v>
      </c>
      <c r="D7" s="3"/>
      <c r="E7" s="4"/>
      <c r="F7" s="3"/>
    </row>
    <row r="8" customFormat="false" ht="14.5" hidden="false" customHeight="false" outlineLevel="0" collapsed="false">
      <c r="A8" s="2"/>
      <c r="B8" s="1" t="n">
        <v>66</v>
      </c>
      <c r="C8" s="1" t="n">
        <v>188</v>
      </c>
      <c r="D8" s="3"/>
      <c r="E8" s="4"/>
      <c r="F8" s="3"/>
    </row>
    <row r="9" customFormat="false" ht="14.5" hidden="false" customHeight="false" outlineLevel="0" collapsed="false">
      <c r="A9" s="5" t="n">
        <v>0.5</v>
      </c>
      <c r="B9" s="1" t="n">
        <v>110</v>
      </c>
      <c r="C9" s="1" t="n">
        <v>132</v>
      </c>
      <c r="D9" s="3" t="n">
        <f aca="false">SQRT((POWER((B9-E9),2)*C9+POWER((B10-E9),2)*C10+POWER(B11-E9,2)*C11)/SUM(C9:C11))</f>
        <v>0.629954836613439</v>
      </c>
      <c r="E9" s="3" t="n">
        <f aca="false">(B9*C9+B10*C10+B11*C11)/(SUM(C9:C11))</f>
        <v>111.073474470735</v>
      </c>
      <c r="F9" s="3" t="n">
        <f aca="false">D9/SQRT(SUM(C9:C11))</f>
        <v>0.0222306234257771</v>
      </c>
    </row>
    <row r="10" customFormat="false" ht="14.5" hidden="false" customHeight="false" outlineLevel="0" collapsed="false">
      <c r="A10" s="5"/>
      <c r="B10" s="1" t="n">
        <v>111</v>
      </c>
      <c r="C10" s="1" t="n">
        <v>480</v>
      </c>
      <c r="D10" s="3"/>
      <c r="E10" s="3"/>
      <c r="F10" s="3"/>
    </row>
    <row r="11" customFormat="false" ht="14.5" hidden="false" customHeight="false" outlineLevel="0" collapsed="false">
      <c r="A11" s="5"/>
      <c r="B11" s="1" t="n">
        <v>112</v>
      </c>
      <c r="C11" s="1" t="n">
        <v>191</v>
      </c>
      <c r="D11" s="3"/>
      <c r="E11" s="3"/>
      <c r="F11" s="3"/>
    </row>
    <row r="12" customFormat="false" ht="14.5" hidden="false" customHeight="false" outlineLevel="0" collapsed="false">
      <c r="A12" s="2" t="n">
        <v>0.7</v>
      </c>
      <c r="B12" s="1" t="n">
        <v>152</v>
      </c>
      <c r="C12" s="1" t="n">
        <v>187</v>
      </c>
      <c r="D12" s="3" t="n">
        <f aca="false">SQRT((POWER((B12-E12),2)*C12+POWER((B13-E12),2)*C13+POWER(B14-E12,2)*C14)/SUM(C12:C14))</f>
        <v>0.637025407153245</v>
      </c>
      <c r="E12" s="3" t="n">
        <f aca="false">(B12*C12+B13*C13+B14*C14)/(SUM(C12:C14))</f>
        <v>152.941176470588</v>
      </c>
      <c r="F12" s="3" t="n">
        <f aca="false">D12/SQRT(SUM(C12:C15))</f>
        <v>0.0208329584971023</v>
      </c>
    </row>
    <row r="13" customFormat="false" ht="14.5" hidden="false" customHeight="false" outlineLevel="0" collapsed="false">
      <c r="A13" s="2"/>
      <c r="B13" s="1" t="n">
        <v>153</v>
      </c>
      <c r="C13" s="1" t="n">
        <v>472</v>
      </c>
      <c r="D13" s="3"/>
      <c r="E13" s="3"/>
      <c r="F13" s="3"/>
    </row>
    <row r="14" customFormat="false" ht="14.5" hidden="false" customHeight="false" outlineLevel="0" collapsed="false">
      <c r="A14" s="2"/>
      <c r="B14" s="1" t="n">
        <v>154</v>
      </c>
      <c r="C14" s="1" t="n">
        <v>140</v>
      </c>
      <c r="D14" s="3"/>
      <c r="E14" s="3"/>
      <c r="F14" s="3"/>
    </row>
    <row r="15" customFormat="false" ht="14.5" hidden="false" customHeight="false" outlineLevel="0" collapsed="false">
      <c r="A15" s="2" t="n">
        <v>0.9</v>
      </c>
      <c r="B15" s="1" t="n">
        <v>197</v>
      </c>
      <c r="C15" s="1" t="n">
        <v>136</v>
      </c>
      <c r="D15" s="3" t="n">
        <f aca="false">SQRT((POWER((B15-E15),2)*C15+POWER((B16-E15),2)*C16+POWER(B17-E15,2)*C17)/SUM(C15:C17))</f>
        <v>0.599456314725176</v>
      </c>
      <c r="E15" s="3" t="n">
        <f aca="false">(B15*C15+B16*C16+B17*C17)/(SUM(C15:C17))</f>
        <v>198.005208333333</v>
      </c>
      <c r="F15" s="3" t="n">
        <f aca="false">D15/SQRT(SUM(C15:C17))</f>
        <v>0.0216310165421251</v>
      </c>
    </row>
    <row r="16" customFormat="false" ht="14.5" hidden="false" customHeight="false" outlineLevel="0" collapsed="false">
      <c r="A16" s="2"/>
      <c r="B16" s="1" t="n">
        <v>198</v>
      </c>
      <c r="C16" s="1" t="n">
        <v>492</v>
      </c>
      <c r="D16" s="3"/>
      <c r="E16" s="3"/>
      <c r="F16" s="3"/>
    </row>
    <row r="17" customFormat="false" ht="14.5" hidden="false" customHeight="false" outlineLevel="0" collapsed="false">
      <c r="A17" s="2"/>
      <c r="B17" s="1" t="n">
        <v>199</v>
      </c>
      <c r="C17" s="1" t="n">
        <v>140</v>
      </c>
      <c r="D17" s="3"/>
      <c r="E17" s="3"/>
      <c r="F17" s="3"/>
    </row>
    <row r="18" customFormat="false" ht="14.5" hidden="false" customHeight="false" outlineLevel="0" collapsed="false">
      <c r="A18" s="2" t="n">
        <v>1.1</v>
      </c>
      <c r="B18" s="1" t="n">
        <v>241</v>
      </c>
      <c r="C18" s="1" t="n">
        <v>154</v>
      </c>
      <c r="D18" s="3" t="n">
        <f aca="false">SQRT((POWER((B18-E18),2)*C18+POWER((B19-E18),2)*C19+POWER(B20-E18,2)*C20)/SUM(C18:C20))</f>
        <v>0.629565927055776</v>
      </c>
      <c r="E18" s="3" t="n">
        <f aca="false">(B18*C18+B19*C19+B20*C20)/(SUM(C18:C20))</f>
        <v>242.01246882793</v>
      </c>
      <c r="F18" s="3" t="n">
        <f aca="false">D18/SQRT(SUM(C18:C20))</f>
        <v>0.0222307457251945</v>
      </c>
    </row>
    <row r="19" customFormat="false" ht="14.5" hidden="false" customHeight="false" outlineLevel="0" collapsed="false">
      <c r="A19" s="2"/>
      <c r="B19" s="1" t="n">
        <v>242</v>
      </c>
      <c r="C19" s="1" t="n">
        <v>484</v>
      </c>
      <c r="D19" s="3"/>
      <c r="E19" s="3"/>
      <c r="F19" s="3"/>
    </row>
    <row r="20" customFormat="false" ht="14.5" hidden="false" customHeight="false" outlineLevel="0" collapsed="false">
      <c r="A20" s="2"/>
      <c r="B20" s="1" t="n">
        <v>243</v>
      </c>
      <c r="C20" s="1" t="n">
        <v>164</v>
      </c>
      <c r="D20" s="3"/>
      <c r="E20" s="3"/>
      <c r="F20" s="3"/>
    </row>
    <row r="22" customFormat="false" ht="14.5" hidden="false" customHeight="false" outlineLevel="0" collapsed="false">
      <c r="A22" s="6" t="s">
        <v>6</v>
      </c>
      <c r="B22" s="6"/>
      <c r="C22" s="6"/>
      <c r="H22" s="6" t="s">
        <v>7</v>
      </c>
      <c r="I22" s="6"/>
      <c r="J22" s="6"/>
      <c r="K22" s="6"/>
    </row>
    <row r="23" customFormat="false" ht="14.5" hidden="false" customHeight="false" outlineLevel="0" collapsed="false">
      <c r="A23" s="1" t="s">
        <v>8</v>
      </c>
      <c r="B23" s="1" t="s">
        <v>9</v>
      </c>
      <c r="C23" s="7" t="s">
        <v>5</v>
      </c>
      <c r="D23" s="1" t="s">
        <v>10</v>
      </c>
      <c r="H23" s="1" t="s">
        <v>11</v>
      </c>
      <c r="I23" s="1" t="s">
        <v>12</v>
      </c>
      <c r="J23" s="1" t="s">
        <v>13</v>
      </c>
      <c r="K23" s="1" t="s">
        <v>14</v>
      </c>
    </row>
    <row r="24" customFormat="false" ht="14.5" hidden="false" customHeight="false" outlineLevel="0" collapsed="false">
      <c r="A24" s="1" t="n">
        <v>5.88</v>
      </c>
      <c r="B24" s="1" t="n">
        <v>116.19</v>
      </c>
      <c r="C24" s="7" t="n">
        <v>0.044</v>
      </c>
      <c r="D24" s="1" t="n">
        <v>620</v>
      </c>
      <c r="F24" s="0" t="n">
        <f aca="false">J24*B24+K24</f>
        <v>620</v>
      </c>
      <c r="H24" s="1" t="n">
        <f aca="false">D24/(A28*B24+C28)</f>
        <v>1.17100224550446</v>
      </c>
      <c r="I24" s="1" t="n">
        <f aca="false">SQRT(POWER((B24*D24*B28/POWER(A28*B24+C28,2)),2)+POWER((D24*D28/POWER(A28*B24+C28,2)),2)+POWER((A28*D24*C24/POWER(A28*B24+C28,2)),2))</f>
        <v>0.000498495375370358</v>
      </c>
      <c r="J24" s="1" t="n">
        <f aca="false">H24*A28</f>
        <v>5.31131488493459</v>
      </c>
      <c r="K24" s="1" t="n">
        <f aca="false">H24*C28</f>
        <v>2.87832351944997</v>
      </c>
    </row>
    <row r="26" customFormat="false" ht="14.5" hidden="false" customHeight="false" outlineLevel="0" collapsed="false">
      <c r="A26" s="6" t="s">
        <v>15</v>
      </c>
      <c r="B26" s="6"/>
      <c r="C26" s="6"/>
      <c r="D26" s="6"/>
    </row>
    <row r="27" customFormat="false" ht="14.5" hidden="false" customHeight="false" outlineLevel="0" collapsed="false">
      <c r="A27" s="1" t="s">
        <v>16</v>
      </c>
      <c r="B27" s="1" t="s">
        <v>17</v>
      </c>
      <c r="C27" s="1" t="s">
        <v>18</v>
      </c>
      <c r="D27" s="1" t="s">
        <v>19</v>
      </c>
    </row>
    <row r="28" customFormat="false" ht="14.5" hidden="false" customHeight="false" outlineLevel="0" collapsed="false">
      <c r="A28" s="1" t="n">
        <v>4.5357</v>
      </c>
      <c r="B28" s="1" t="n">
        <v>0.00055</v>
      </c>
      <c r="C28" s="1" t="n">
        <v>2.458</v>
      </c>
      <c r="D28" s="1" t="n">
        <v>0.083</v>
      </c>
    </row>
  </sheetData>
  <mergeCells count="27">
    <mergeCell ref="A2:A5"/>
    <mergeCell ref="D2:D5"/>
    <mergeCell ref="E2:E5"/>
    <mergeCell ref="F2:F5"/>
    <mergeCell ref="A6:A8"/>
    <mergeCell ref="D6:D8"/>
    <mergeCell ref="E6:E8"/>
    <mergeCell ref="F6:F8"/>
    <mergeCell ref="A9:A11"/>
    <mergeCell ref="D9:D11"/>
    <mergeCell ref="E9:E11"/>
    <mergeCell ref="F9:F11"/>
    <mergeCell ref="A12:A14"/>
    <mergeCell ref="D12:D14"/>
    <mergeCell ref="E12:E14"/>
    <mergeCell ref="F12:F14"/>
    <mergeCell ref="A15:A17"/>
    <mergeCell ref="D15:D17"/>
    <mergeCell ref="E15:E17"/>
    <mergeCell ref="F15:F17"/>
    <mergeCell ref="A18:A20"/>
    <mergeCell ref="D18:D20"/>
    <mergeCell ref="E18:E20"/>
    <mergeCell ref="F18:F20"/>
    <mergeCell ref="A22:C22"/>
    <mergeCell ref="H22:K22"/>
    <mergeCell ref="A26:D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41" activeCellId="0" sqref="D41"/>
    </sheetView>
  </sheetViews>
  <sheetFormatPr defaultRowHeight="14.5"/>
  <cols>
    <col collapsed="false" hidden="false" max="1" min="1" style="0" width="5.81376518218624"/>
    <col collapsed="false" hidden="false" max="2" min="2" style="0" width="10.2834008097166"/>
    <col collapsed="false" hidden="false" max="1025" min="3" style="0" width="9.33198380566802"/>
  </cols>
  <sheetData>
    <row r="1" customFormat="false" ht="14.5" hidden="false" customHeight="false" outlineLevel="0" collapsed="false">
      <c r="A1" s="1" t="s">
        <v>1</v>
      </c>
      <c r="B1" s="1" t="s">
        <v>2</v>
      </c>
    </row>
    <row r="2" customFormat="false" ht="14.5" hidden="false" customHeight="false" outlineLevel="0" collapsed="false">
      <c r="A2" s="1" t="n">
        <v>60</v>
      </c>
      <c r="B2" s="1" t="n">
        <v>596</v>
      </c>
    </row>
    <row r="3" customFormat="false" ht="14.5" hidden="false" customHeight="false" outlineLevel="0" collapsed="false">
      <c r="A3" s="1" t="n">
        <v>62</v>
      </c>
      <c r="B3" s="1" t="n">
        <v>573</v>
      </c>
    </row>
    <row r="4" customFormat="false" ht="14.5" hidden="false" customHeight="false" outlineLevel="0" collapsed="false">
      <c r="A4" s="1" t="n">
        <v>64</v>
      </c>
      <c r="B4" s="1" t="n">
        <v>610</v>
      </c>
    </row>
    <row r="5" customFormat="false" ht="14.5" hidden="false" customHeight="false" outlineLevel="0" collapsed="false">
      <c r="A5" s="1" t="n">
        <v>66</v>
      </c>
      <c r="B5" s="1" t="n">
        <v>578</v>
      </c>
    </row>
    <row r="6" customFormat="false" ht="14.5" hidden="false" customHeight="false" outlineLevel="0" collapsed="false">
      <c r="A6" s="1" t="n">
        <v>68</v>
      </c>
      <c r="B6" s="1" t="n">
        <v>567</v>
      </c>
    </row>
    <row r="7" customFormat="false" ht="14.5" hidden="false" customHeight="false" outlineLevel="0" collapsed="false">
      <c r="A7" s="1" t="n">
        <v>70</v>
      </c>
      <c r="B7" s="1" t="n">
        <v>538</v>
      </c>
    </row>
    <row r="8" customFormat="false" ht="14.5" hidden="false" customHeight="false" outlineLevel="0" collapsed="false">
      <c r="A8" s="1" t="n">
        <v>72</v>
      </c>
      <c r="B8" s="1" t="n">
        <v>548</v>
      </c>
    </row>
    <row r="9" customFormat="false" ht="14.5" hidden="false" customHeight="false" outlineLevel="0" collapsed="false">
      <c r="A9" s="1" t="n">
        <v>74</v>
      </c>
      <c r="B9" s="1" t="n">
        <v>515</v>
      </c>
    </row>
    <row r="10" customFormat="false" ht="14.5" hidden="false" customHeight="false" outlineLevel="0" collapsed="false">
      <c r="A10" s="1" t="n">
        <v>76</v>
      </c>
      <c r="B10" s="1" t="n">
        <v>483</v>
      </c>
    </row>
    <row r="11" customFormat="false" ht="14.5" hidden="false" customHeight="false" outlineLevel="0" collapsed="false">
      <c r="A11" s="1" t="n">
        <v>78</v>
      </c>
      <c r="B11" s="1" t="n">
        <v>402</v>
      </c>
    </row>
    <row r="12" customFormat="false" ht="14.5" hidden="false" customHeight="false" outlineLevel="0" collapsed="false">
      <c r="A12" s="1" t="n">
        <v>80</v>
      </c>
      <c r="B12" s="1" t="n">
        <v>440</v>
      </c>
    </row>
    <row r="13" customFormat="false" ht="14.5" hidden="false" customHeight="false" outlineLevel="0" collapsed="false">
      <c r="A13" s="1" t="n">
        <v>82</v>
      </c>
      <c r="B13" s="1" t="n">
        <v>426</v>
      </c>
    </row>
    <row r="14" customFormat="false" ht="14.5" hidden="false" customHeight="false" outlineLevel="0" collapsed="false">
      <c r="A14" s="1" t="n">
        <v>84</v>
      </c>
      <c r="B14" s="1" t="n">
        <v>428</v>
      </c>
    </row>
    <row r="15" customFormat="false" ht="14.5" hidden="false" customHeight="false" outlineLevel="0" collapsed="false">
      <c r="A15" s="1" t="n">
        <v>86</v>
      </c>
      <c r="B15" s="1" t="n">
        <v>351</v>
      </c>
    </row>
    <row r="16" customFormat="false" ht="14.5" hidden="false" customHeight="false" outlineLevel="0" collapsed="false">
      <c r="A16" s="1" t="n">
        <v>88</v>
      </c>
      <c r="B16" s="1" t="n">
        <v>320</v>
      </c>
    </row>
    <row r="17" customFormat="false" ht="14.5" hidden="false" customHeight="false" outlineLevel="0" collapsed="false">
      <c r="A17" s="1" t="n">
        <v>90</v>
      </c>
      <c r="B17" s="1" t="n">
        <v>333</v>
      </c>
    </row>
    <row r="18" customFormat="false" ht="14.5" hidden="false" customHeight="false" outlineLevel="0" collapsed="false">
      <c r="A18" s="1" t="n">
        <v>92</v>
      </c>
      <c r="B18" s="1" t="n">
        <v>375</v>
      </c>
    </row>
    <row r="19" customFormat="false" ht="14.5" hidden="false" customHeight="false" outlineLevel="0" collapsed="false">
      <c r="A19" s="1" t="n">
        <v>94</v>
      </c>
      <c r="B19" s="1" t="n">
        <v>351</v>
      </c>
    </row>
    <row r="20" customFormat="false" ht="14.5" hidden="false" customHeight="false" outlineLevel="0" collapsed="false">
      <c r="A20" s="1" t="n">
        <v>96</v>
      </c>
      <c r="B20" s="1" t="n">
        <v>266</v>
      </c>
    </row>
    <row r="21" customFormat="false" ht="14.5" hidden="false" customHeight="false" outlineLevel="0" collapsed="false">
      <c r="A21" s="1" t="n">
        <v>988</v>
      </c>
      <c r="B21" s="1" t="n">
        <v>236</v>
      </c>
    </row>
    <row r="22" customFormat="false" ht="14.5" hidden="false" customHeight="false" outlineLevel="0" collapsed="false">
      <c r="A22" s="1" t="n">
        <v>100</v>
      </c>
      <c r="B22" s="1" t="n">
        <v>218</v>
      </c>
    </row>
    <row r="23" customFormat="false" ht="14.5" hidden="false" customHeight="false" outlineLevel="0" collapsed="false">
      <c r="A23" s="1" t="n">
        <v>102</v>
      </c>
      <c r="B23" s="1" t="n">
        <v>208</v>
      </c>
    </row>
    <row r="24" customFormat="false" ht="14.5" hidden="false" customHeight="false" outlineLevel="0" collapsed="false">
      <c r="A24" s="1" t="n">
        <v>104</v>
      </c>
      <c r="B24" s="1" t="n">
        <v>172</v>
      </c>
    </row>
    <row r="25" customFormat="false" ht="14.5" hidden="false" customHeight="false" outlineLevel="0" collapsed="false">
      <c r="A25" s="1" t="n">
        <v>106</v>
      </c>
      <c r="B25" s="1" t="n">
        <v>152</v>
      </c>
    </row>
    <row r="26" customFormat="false" ht="14.5" hidden="false" customHeight="false" outlineLevel="0" collapsed="false">
      <c r="A26" s="1" t="n">
        <v>108</v>
      </c>
      <c r="B26" s="1" t="n">
        <v>142</v>
      </c>
    </row>
    <row r="27" customFormat="false" ht="14.5" hidden="false" customHeight="false" outlineLevel="0" collapsed="false">
      <c r="A27" s="1" t="n">
        <v>110</v>
      </c>
      <c r="B27" s="1" t="n">
        <v>112</v>
      </c>
    </row>
    <row r="28" customFormat="false" ht="14.5" hidden="false" customHeight="false" outlineLevel="0" collapsed="false">
      <c r="A28" s="1" t="n">
        <v>112</v>
      </c>
      <c r="B28" s="1" t="n">
        <v>97</v>
      </c>
    </row>
    <row r="29" customFormat="false" ht="14.5" hidden="false" customHeight="false" outlineLevel="0" collapsed="false">
      <c r="A29" s="1" t="n">
        <v>114</v>
      </c>
      <c r="B29" s="1" t="n">
        <v>77</v>
      </c>
    </row>
    <row r="30" customFormat="false" ht="14.5" hidden="false" customHeight="false" outlineLevel="0" collapsed="false">
      <c r="A30" s="1" t="n">
        <v>116</v>
      </c>
      <c r="B30" s="1" t="n">
        <v>84</v>
      </c>
    </row>
    <row r="31" customFormat="false" ht="14.5" hidden="false" customHeight="false" outlineLevel="0" collapsed="false">
      <c r="A31" s="1" t="n">
        <v>118</v>
      </c>
      <c r="B31" s="1" t="n">
        <v>68</v>
      </c>
    </row>
    <row r="32" customFormat="false" ht="14.5" hidden="false" customHeight="false" outlineLevel="0" collapsed="false">
      <c r="A32" s="1" t="n">
        <v>120</v>
      </c>
      <c r="B32" s="1" t="n">
        <v>48</v>
      </c>
    </row>
    <row r="33" customFormat="false" ht="14.5" hidden="false" customHeight="false" outlineLevel="0" collapsed="false">
      <c r="A33" s="1" t="n">
        <v>122</v>
      </c>
      <c r="B33" s="1" t="n">
        <v>51</v>
      </c>
    </row>
    <row r="34" customFormat="false" ht="14.5" hidden="false" customHeight="false" outlineLevel="0" collapsed="false">
      <c r="A34" s="1" t="n">
        <v>124</v>
      </c>
      <c r="B34" s="1" t="n">
        <v>40</v>
      </c>
    </row>
    <row r="35" customFormat="false" ht="14.5" hidden="false" customHeight="false" outlineLevel="0" collapsed="false">
      <c r="A35" s="1" t="n">
        <v>126</v>
      </c>
      <c r="B35" s="1" t="n">
        <v>30</v>
      </c>
    </row>
    <row r="36" customFormat="false" ht="14.5" hidden="false" customHeight="false" outlineLevel="0" collapsed="false">
      <c r="A36" s="1" t="n">
        <v>128</v>
      </c>
      <c r="B36" s="1" t="n">
        <v>33</v>
      </c>
    </row>
    <row r="37" customFormat="false" ht="14.5" hidden="false" customHeight="false" outlineLevel="0" collapsed="false">
      <c r="A37" s="1" t="n">
        <v>130</v>
      </c>
      <c r="B37" s="1" t="n">
        <v>14</v>
      </c>
    </row>
    <row r="39" customFormat="false" ht="14.5" hidden="false" customHeight="false" outlineLevel="0" collapsed="false">
      <c r="A39" s="6" t="s">
        <v>7</v>
      </c>
      <c r="B39" s="6"/>
      <c r="C39" s="6"/>
      <c r="D39" s="6"/>
    </row>
    <row r="40" customFormat="false" ht="14.5" hidden="false" customHeight="false" outlineLevel="0" collapsed="false">
      <c r="A40" s="1" t="s">
        <v>11</v>
      </c>
      <c r="B40" s="1" t="s">
        <v>12</v>
      </c>
      <c r="C40" s="1" t="s">
        <v>13</v>
      </c>
      <c r="D40" s="1" t="s">
        <v>14</v>
      </c>
    </row>
    <row r="41" customFormat="false" ht="14.5" hidden="false" customHeight="false" outlineLevel="0" collapsed="false">
      <c r="A41" s="1" t="e">
        <f aca="false">#REF!/(#REF!*#REF!+#REF!)</f>
        <v>#REF!</v>
      </c>
      <c r="B41" s="1" t="e">
        <f aca="false">SQRT(POWER((#REF!*#REF!*#REF!/POWER(#REF!*#REF!+#REF!,2)),2)+POWER((#REF!*#REF!/POWER(#REF!*#REF!+#REF!,2)),2)+POWER((#REF!*#REF!*#REF!/POWER(#REF!*#REF!+#REF!,2)),2))</f>
        <v>#REF!</v>
      </c>
      <c r="C41" s="1" t="e">
        <f aca="false">A41*#REF!</f>
        <v>#REF!</v>
      </c>
      <c r="D41" s="1" t="e">
        <f aca="false">A41*#REF!</f>
        <v>#REF!</v>
      </c>
    </row>
  </sheetData>
  <mergeCells count="1">
    <mergeCell ref="A39:D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8"/>
  <sheetViews>
    <sheetView windowProtection="false"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H49" activeCellId="0" sqref="H49"/>
    </sheetView>
  </sheetViews>
  <sheetFormatPr defaultRowHeight="14.5"/>
  <cols>
    <col collapsed="false" hidden="false" max="1" min="1" style="0" width="21.995951417004"/>
    <col collapsed="false" hidden="false" max="3" min="2" style="0" width="9.33198380566802"/>
    <col collapsed="false" hidden="false" max="4" min="4" style="0" width="11.5182186234818"/>
    <col collapsed="false" hidden="false" max="5" min="5" style="0" width="10.2834008097166"/>
    <col collapsed="false" hidden="false" max="7" min="6" style="0" width="9.33198380566802"/>
    <col collapsed="false" hidden="false" max="8" min="8" style="0" width="12.0890688259109"/>
    <col collapsed="false" hidden="false" max="9" min="9" style="0" width="13.5263157894737"/>
    <col collapsed="false" hidden="false" max="10" min="10" style="0" width="9.33198380566802"/>
    <col collapsed="false" hidden="false" max="11" min="11" style="0" width="12.0890688259109"/>
    <col collapsed="false" hidden="false" max="12" min="12" style="0" width="9.99595141700405"/>
    <col collapsed="false" hidden="false" max="17" min="13" style="0" width="9.33198380566802"/>
    <col collapsed="false" hidden="false" max="18" min="18" style="0" width="13.8056680161943"/>
    <col collapsed="false" hidden="false" max="25" min="19" style="0" width="9.33198380566802"/>
    <col collapsed="false" hidden="false" max="26" min="26" style="0" width="11.331983805668"/>
    <col collapsed="false" hidden="false" max="1025" min="27" style="0" width="9.33198380566802"/>
  </cols>
  <sheetData>
    <row r="1" customFormat="false" ht="14.5" hidden="false" customHeight="false" outlineLevel="0" collapsed="false">
      <c r="A1" s="6" t="s">
        <v>20</v>
      </c>
      <c r="B1" s="6"/>
      <c r="C1" s="6"/>
      <c r="D1" s="6" t="s">
        <v>21</v>
      </c>
      <c r="E1" s="6"/>
      <c r="F1" s="6"/>
      <c r="G1" s="6"/>
      <c r="H1" s="6" t="s">
        <v>22</v>
      </c>
      <c r="I1" s="6"/>
      <c r="J1" s="6"/>
      <c r="K1" s="6"/>
      <c r="L1" s="6"/>
      <c r="M1" s="6"/>
      <c r="P1" s="6" t="s">
        <v>6</v>
      </c>
      <c r="Q1" s="6"/>
      <c r="R1" s="6"/>
      <c r="W1" s="6" t="s">
        <v>7</v>
      </c>
      <c r="X1" s="6"/>
      <c r="Y1" s="6"/>
      <c r="Z1" s="6"/>
      <c r="AA1" s="6"/>
      <c r="AB1" s="6"/>
    </row>
    <row r="2" customFormat="false" ht="14.5" hidden="false" customHeight="false" outlineLevel="0" collapsed="false">
      <c r="A2" s="1" t="s">
        <v>23</v>
      </c>
      <c r="B2" s="1" t="s">
        <v>24</v>
      </c>
      <c r="C2" s="1" t="s">
        <v>25</v>
      </c>
      <c r="D2" s="0" t="s">
        <v>16</v>
      </c>
      <c r="E2" s="0" t="s">
        <v>17</v>
      </c>
      <c r="F2" s="0" t="s">
        <v>26</v>
      </c>
      <c r="G2" s="0" t="s">
        <v>19</v>
      </c>
      <c r="H2" s="0" t="s">
        <v>4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P2" s="1" t="s">
        <v>8</v>
      </c>
      <c r="Q2" s="1" t="s">
        <v>9</v>
      </c>
      <c r="R2" s="7" t="s">
        <v>5</v>
      </c>
      <c r="S2" s="1" t="s">
        <v>10</v>
      </c>
      <c r="T2" s="0" t="s">
        <v>32</v>
      </c>
      <c r="W2" s="1" t="s">
        <v>11</v>
      </c>
      <c r="X2" s="1" t="s">
        <v>12</v>
      </c>
      <c r="Y2" s="1" t="s">
        <v>13</v>
      </c>
      <c r="Z2" s="0" t="s">
        <v>33</v>
      </c>
      <c r="AA2" s="1" t="s">
        <v>14</v>
      </c>
      <c r="AB2" s="0" t="s">
        <v>33</v>
      </c>
    </row>
    <row r="3" customFormat="false" ht="14.5" hidden="false" customHeight="false" outlineLevel="0" collapsed="false">
      <c r="A3" s="6" t="s">
        <v>34</v>
      </c>
      <c r="B3" s="1" t="n">
        <v>100</v>
      </c>
      <c r="C3" s="1" t="n">
        <v>893</v>
      </c>
      <c r="D3" s="3" t="n">
        <v>3739.75</v>
      </c>
      <c r="E3" s="3" t="n">
        <v>293.383</v>
      </c>
      <c r="F3" s="3" t="n">
        <v>-28.5169</v>
      </c>
      <c r="G3" s="3" t="n">
        <v>2.7662</v>
      </c>
      <c r="H3" s="8" t="n">
        <v>104.224</v>
      </c>
      <c r="I3" s="8" t="n">
        <v>0.0104009</v>
      </c>
      <c r="J3" s="8" t="n">
        <v>0.726573</v>
      </c>
      <c r="K3" s="8" t="n">
        <v>0.00918394</v>
      </c>
      <c r="L3" s="9" t="n">
        <v>8637.7</v>
      </c>
      <c r="M3" s="9" t="n">
        <v>118.205</v>
      </c>
      <c r="P3" s="1" t="n">
        <v>5.88</v>
      </c>
      <c r="Q3" s="1" t="n">
        <v>116.19</v>
      </c>
      <c r="R3" s="7" t="n">
        <v>0.044</v>
      </c>
      <c r="S3" s="1" t="n">
        <v>620</v>
      </c>
      <c r="T3" s="0" t="n">
        <v>92</v>
      </c>
      <c r="W3" s="1" t="n">
        <f aca="false">(S3-T3)/(P7*Q3+R7)</f>
        <v>0.997240621977994</v>
      </c>
      <c r="X3" s="1" t="n">
        <f aca="false">(S3-T3)/(P7*Q3+R7)^2*SQRT(S7^2+(P7*R3)^2 +(Q3*Q7)^2 )</f>
        <v>0.000424525093863789</v>
      </c>
      <c r="Y3" s="1" t="n">
        <f aca="false">W3*P7</f>
        <v>4.52318428910559</v>
      </c>
      <c r="Z3" s="0" t="n">
        <f aca="false">SQRT((W3*Q7)^2+(X3*P7)^2)</f>
        <v>0.00200211244716869</v>
      </c>
      <c r="AA3" s="1" t="n">
        <f aca="false">W3*R7</f>
        <v>2.45121744882191</v>
      </c>
      <c r="AB3" s="0" t="n">
        <f aca="false">SQRT((R7*X3)^2+(W3*S7)^2)</f>
        <v>0.0827775488868491</v>
      </c>
    </row>
    <row r="4" customFormat="false" ht="14.5" hidden="false" customHeight="false" outlineLevel="0" collapsed="false">
      <c r="A4" s="6"/>
      <c r="B4" s="1" t="n">
        <v>101</v>
      </c>
      <c r="C4" s="1" t="n">
        <v>835</v>
      </c>
      <c r="D4" s="3"/>
      <c r="E4" s="3"/>
      <c r="F4" s="3"/>
      <c r="G4" s="3"/>
      <c r="H4" s="8"/>
      <c r="I4" s="8"/>
      <c r="J4" s="8"/>
      <c r="K4" s="8"/>
      <c r="L4" s="9"/>
      <c r="M4" s="9"/>
    </row>
    <row r="5" customFormat="false" ht="14.5" hidden="false" customHeight="false" outlineLevel="0" collapsed="false">
      <c r="A5" s="6"/>
      <c r="B5" s="1" t="n">
        <v>102</v>
      </c>
      <c r="C5" s="1" t="n">
        <v>959</v>
      </c>
      <c r="D5" s="3"/>
      <c r="E5" s="3"/>
      <c r="F5" s="3"/>
      <c r="G5" s="3"/>
      <c r="H5" s="8"/>
      <c r="I5" s="8"/>
      <c r="J5" s="8"/>
      <c r="K5" s="8"/>
      <c r="L5" s="9"/>
      <c r="M5" s="9"/>
      <c r="P5" s="6" t="s">
        <v>15</v>
      </c>
      <c r="Q5" s="6"/>
      <c r="R5" s="6"/>
      <c r="S5" s="6"/>
    </row>
    <row r="6" customFormat="false" ht="14.5" hidden="false" customHeight="false" outlineLevel="0" collapsed="false">
      <c r="A6" s="6"/>
      <c r="B6" s="1" t="n">
        <v>103</v>
      </c>
      <c r="C6" s="1" t="n">
        <v>1971</v>
      </c>
      <c r="D6" s="3"/>
      <c r="E6" s="3"/>
      <c r="F6" s="3"/>
      <c r="G6" s="3"/>
      <c r="H6" s="8"/>
      <c r="I6" s="8"/>
      <c r="J6" s="8"/>
      <c r="K6" s="8"/>
      <c r="L6" s="9"/>
      <c r="M6" s="9"/>
      <c r="P6" s="1" t="s">
        <v>16</v>
      </c>
      <c r="Q6" s="1" t="s">
        <v>17</v>
      </c>
      <c r="R6" s="1" t="s">
        <v>18</v>
      </c>
      <c r="S6" s="1" t="s">
        <v>19</v>
      </c>
    </row>
    <row r="7" customFormat="false" ht="14.5" hidden="false" customHeight="false" outlineLevel="0" collapsed="false">
      <c r="A7" s="6"/>
      <c r="B7" s="1" t="n">
        <v>104</v>
      </c>
      <c r="C7" s="1" t="n">
        <v>5228</v>
      </c>
      <c r="D7" s="3"/>
      <c r="E7" s="3"/>
      <c r="F7" s="3"/>
      <c r="G7" s="3"/>
      <c r="H7" s="8"/>
      <c r="I7" s="8"/>
      <c r="J7" s="8"/>
      <c r="K7" s="8"/>
      <c r="L7" s="9"/>
      <c r="M7" s="9"/>
      <c r="P7" s="1" t="n">
        <v>4.5357</v>
      </c>
      <c r="Q7" s="1" t="n">
        <v>0.00055</v>
      </c>
      <c r="R7" s="1" t="n">
        <v>2.458</v>
      </c>
      <c r="S7" s="1" t="n">
        <v>0.083</v>
      </c>
    </row>
    <row r="8" customFormat="false" ht="14.5" hidden="false" customHeight="false" outlineLevel="0" collapsed="false">
      <c r="A8" s="6"/>
      <c r="B8" s="1" t="n">
        <v>105</v>
      </c>
      <c r="C8" s="1" t="n">
        <v>3514</v>
      </c>
      <c r="D8" s="3"/>
      <c r="E8" s="3"/>
      <c r="F8" s="3"/>
      <c r="G8" s="3"/>
      <c r="H8" s="8"/>
      <c r="I8" s="8"/>
      <c r="J8" s="8"/>
      <c r="K8" s="8"/>
      <c r="L8" s="9"/>
      <c r="M8" s="9"/>
    </row>
    <row r="9" customFormat="false" ht="14.5" hidden="false" customHeight="false" outlineLevel="0" collapsed="false">
      <c r="A9" s="6"/>
      <c r="B9" s="1" t="n">
        <v>106</v>
      </c>
      <c r="C9" s="1" t="n">
        <v>872</v>
      </c>
      <c r="D9" s="3"/>
      <c r="E9" s="3"/>
      <c r="F9" s="3"/>
      <c r="G9" s="3"/>
      <c r="H9" s="8"/>
      <c r="I9" s="8"/>
      <c r="J9" s="8"/>
      <c r="K9" s="8"/>
      <c r="L9" s="9"/>
      <c r="M9" s="9"/>
      <c r="P9" s="0" t="s">
        <v>35</v>
      </c>
      <c r="Q9" s="0" t="s">
        <v>33</v>
      </c>
      <c r="R9" s="0" t="s">
        <v>36</v>
      </c>
      <c r="S9" s="0" t="s">
        <v>33</v>
      </c>
      <c r="T9" s="0" t="s">
        <v>37</v>
      </c>
      <c r="U9" s="0" t="s">
        <v>38</v>
      </c>
      <c r="V9" s="0" t="s">
        <v>39</v>
      </c>
      <c r="W9" s="0" t="s">
        <v>30</v>
      </c>
      <c r="X9" s="0" t="s">
        <v>40</v>
      </c>
      <c r="Y9" s="0" t="s">
        <v>41</v>
      </c>
      <c r="Z9" s="0" t="s">
        <v>33</v>
      </c>
    </row>
    <row r="10" customFormat="false" ht="14.5" hidden="false" customHeight="false" outlineLevel="0" collapsed="false">
      <c r="A10" s="6"/>
      <c r="B10" s="1" t="n">
        <v>107</v>
      </c>
      <c r="C10" s="1" t="n">
        <v>650</v>
      </c>
      <c r="D10" s="3"/>
      <c r="E10" s="3"/>
      <c r="F10" s="3"/>
      <c r="G10" s="3"/>
      <c r="H10" s="8"/>
      <c r="I10" s="8"/>
      <c r="J10" s="8"/>
      <c r="K10" s="8"/>
      <c r="L10" s="9"/>
      <c r="M10" s="9"/>
      <c r="P10" s="0" t="n">
        <v>104.224</v>
      </c>
      <c r="Q10" s="0" t="n">
        <v>0.0104009</v>
      </c>
      <c r="R10" s="0" t="n">
        <f aca="false">$Y$3*P10+$AA$3</f>
        <v>473.875576796563</v>
      </c>
      <c r="S10" s="0" t="n">
        <f aca="false">SQRT(($Y$3*Q10)^2+ (P10*$Z$3)^2 +$AB$3^2)</f>
        <v>0.229363851713152</v>
      </c>
      <c r="T10" s="0" t="n">
        <f aca="false">V17</f>
        <v>479.178</v>
      </c>
      <c r="U10" s="0" t="n">
        <f aca="false">(T10-R10)/T10</f>
        <v>0.0110656649584024</v>
      </c>
      <c r="V10" s="0" t="n">
        <f aca="false">U10/S10*T10</f>
        <v>23.1179550039501</v>
      </c>
      <c r="W10" s="10" t="n">
        <f aca="false">L3</f>
        <v>8637.7</v>
      </c>
      <c r="X10" s="10" t="n">
        <f aca="false">M3</f>
        <v>118.205</v>
      </c>
      <c r="Y10" s="2" t="n">
        <f aca="false">W10/W11</f>
        <v>5.40731559211474</v>
      </c>
      <c r="Z10" s="2" t="n">
        <f aca="false">Y10*SQRT((X10/W10)^2+(X11/W11)^2)</f>
        <v>0.281702795800231</v>
      </c>
    </row>
    <row r="11" customFormat="false" ht="14.5" hidden="false" customHeight="false" outlineLevel="0" collapsed="false">
      <c r="A11" s="6"/>
      <c r="B11" s="1" t="n">
        <v>108</v>
      </c>
      <c r="C11" s="1" t="n">
        <v>633</v>
      </c>
      <c r="D11" s="3"/>
      <c r="E11" s="3"/>
      <c r="F11" s="3"/>
      <c r="G11" s="3"/>
      <c r="H11" s="8"/>
      <c r="I11" s="8"/>
      <c r="J11" s="8"/>
      <c r="K11" s="8"/>
      <c r="L11" s="9"/>
      <c r="M11" s="9"/>
      <c r="P11" s="0" t="n">
        <v>116.058</v>
      </c>
      <c r="Q11" s="0" t="n">
        <v>0.0382304</v>
      </c>
      <c r="R11" s="0" t="n">
        <f aca="false">$Y$3*P11+$AA$3</f>
        <v>527.402939673838</v>
      </c>
      <c r="S11" s="0" t="n">
        <f aca="false">SQRT(($Y$3*Q11)^2+ (P11*$Z$3)^2 +$AB$3^2)</f>
        <v>0.301241179458922</v>
      </c>
      <c r="T11" s="0" t="n">
        <f aca="false">W17</f>
        <v>554.529333333333</v>
      </c>
      <c r="U11" s="0" t="n">
        <f aca="false">(T11-R11)/T11</f>
        <v>0.0489178696759566</v>
      </c>
      <c r="V11" s="0" t="n">
        <f aca="false">U11/S11*T11</f>
        <v>90.0487566415006</v>
      </c>
      <c r="W11" s="10" t="n">
        <f aca="false">L14</f>
        <v>1597.41</v>
      </c>
      <c r="X11" s="10" t="n">
        <f aca="false">M14</f>
        <v>80.2972</v>
      </c>
      <c r="Y11" s="2" t="n">
        <f aca="false">W11/W12</f>
        <v>0.677095298850039</v>
      </c>
      <c r="Z11" s="2" t="n">
        <f aca="false">Y11*SQRT((X11/W11)^2+(X12/W12)^2)</f>
        <v>0.0373822403477446</v>
      </c>
    </row>
    <row r="12" customFormat="false" ht="14.5" hidden="false" customHeight="false" outlineLevel="0" collapsed="false">
      <c r="A12" s="6"/>
      <c r="B12" s="1" t="n">
        <v>109</v>
      </c>
      <c r="C12" s="1" t="n">
        <v>667</v>
      </c>
      <c r="D12" s="3"/>
      <c r="E12" s="3"/>
      <c r="F12" s="3"/>
      <c r="G12" s="3"/>
      <c r="H12" s="8"/>
      <c r="I12" s="8"/>
      <c r="J12" s="8"/>
      <c r="K12" s="8"/>
      <c r="L12" s="9"/>
      <c r="M12" s="9"/>
      <c r="P12" s="0" t="n">
        <v>211.346</v>
      </c>
      <c r="Q12" s="0" t="n">
        <v>0.0189968</v>
      </c>
      <c r="R12" s="0" t="n">
        <f aca="false">$Y$3*P12+$AA$3</f>
        <v>958.408124214131</v>
      </c>
      <c r="S12" s="0" t="n">
        <f aca="false">SQRT(($Y$3*Q12)^2+ (P12*$Z$3)^2 +$AB$3^2)</f>
        <v>0.439637986051741</v>
      </c>
      <c r="T12" s="0" t="n">
        <f aca="false">V18</f>
        <v>973.138</v>
      </c>
      <c r="U12" s="0" t="n">
        <f aca="false">(T12-R12)/T12</f>
        <v>0.0151364716883614</v>
      </c>
      <c r="V12" s="0" t="n">
        <f aca="false">U12/S12*T12</f>
        <v>33.504556597016</v>
      </c>
      <c r="W12" s="10" t="n">
        <f aca="false">L25</f>
        <v>2359.21</v>
      </c>
      <c r="X12" s="10" t="n">
        <f aca="false">M25</f>
        <v>53.867</v>
      </c>
      <c r="Y12" s="2" t="n">
        <f aca="false">W12/W13</f>
        <v>6.59463251962979</v>
      </c>
      <c r="Z12" s="2" t="n">
        <f aca="false">Y12*SQRT((X12/W12)^2+(X13/W13)^2)</f>
        <v>0.470876500659455</v>
      </c>
    </row>
    <row r="13" customFormat="false" ht="14.5" hidden="false" customHeight="false" outlineLevel="0" collapsed="false">
      <c r="A13" s="6"/>
      <c r="B13" s="1" t="n">
        <v>110</v>
      </c>
      <c r="C13" s="1" t="n">
        <v>644</v>
      </c>
      <c r="D13" s="3"/>
      <c r="E13" s="3"/>
      <c r="F13" s="3"/>
      <c r="G13" s="3"/>
      <c r="H13" s="8"/>
      <c r="I13" s="8"/>
      <c r="J13" s="8"/>
      <c r="K13" s="8"/>
      <c r="L13" s="9"/>
      <c r="M13" s="9"/>
      <c r="P13" s="0" t="n">
        <v>227.161</v>
      </c>
      <c r="Q13" s="0" t="n">
        <v>0.0567057</v>
      </c>
      <c r="R13" s="0" t="n">
        <f aca="false">$Y$3*P13+$AA$3</f>
        <v>1029.94228374634</v>
      </c>
      <c r="S13" s="0" t="n">
        <f aca="false">SQRT(($Y$3*Q13)^2+ (P13*$Z$3)^2 +$AB$3^2)</f>
        <v>0.528662604725856</v>
      </c>
      <c r="T13" s="0" t="n">
        <f aca="false">W18</f>
        <v>1048.48933333333</v>
      </c>
      <c r="U13" s="0" t="n">
        <f aca="false">(T13-R13)/T13</f>
        <v>0.0176893068888294</v>
      </c>
      <c r="V13" s="0" t="n">
        <f aca="false">U13/S13*T13</f>
        <v>35.0829610817947</v>
      </c>
      <c r="W13" s="10" t="n">
        <f aca="false">L36</f>
        <v>357.747</v>
      </c>
      <c r="X13" s="10" t="n">
        <f aca="false">M36</f>
        <v>24.203</v>
      </c>
      <c r="Y13" s="2"/>
      <c r="Z13" s="2"/>
    </row>
    <row r="14" customFormat="false" ht="14.5" hidden="false" customHeight="false" outlineLevel="0" collapsed="false">
      <c r="A14" s="6" t="s">
        <v>42</v>
      </c>
      <c r="B14" s="1" t="n">
        <v>111</v>
      </c>
      <c r="C14" s="1" t="n">
        <v>574</v>
      </c>
      <c r="D14" s="3" t="n">
        <v>598.724</v>
      </c>
      <c r="E14" s="3" t="n">
        <v>9.72135</v>
      </c>
      <c r="F14" s="3" t="s">
        <v>43</v>
      </c>
      <c r="G14" s="3" t="s">
        <v>43</v>
      </c>
      <c r="H14" s="8" t="n">
        <v>116.058</v>
      </c>
      <c r="I14" s="8" t="n">
        <v>0.0382304</v>
      </c>
      <c r="J14" s="8" t="n">
        <v>0.796208</v>
      </c>
      <c r="K14" s="8" t="n">
        <v>0.0465254</v>
      </c>
      <c r="L14" s="9" t="n">
        <v>1597.41</v>
      </c>
      <c r="M14" s="9" t="n">
        <v>80.2972</v>
      </c>
    </row>
    <row r="15" customFormat="false" ht="14.5" hidden="false" customHeight="false" outlineLevel="0" collapsed="false">
      <c r="A15" s="6"/>
      <c r="B15" s="1" t="n">
        <v>112</v>
      </c>
      <c r="C15" s="1" t="n">
        <v>599</v>
      </c>
      <c r="D15" s="3"/>
      <c r="E15" s="3"/>
      <c r="F15" s="3"/>
      <c r="G15" s="3"/>
      <c r="H15" s="8"/>
      <c r="I15" s="8"/>
      <c r="J15" s="8"/>
      <c r="K15" s="8"/>
      <c r="L15" s="9"/>
      <c r="M15" s="9"/>
    </row>
    <row r="16" customFormat="false" ht="14.5" hidden="false" customHeight="false" outlineLevel="0" collapsed="false">
      <c r="A16" s="6"/>
      <c r="B16" s="1" t="n">
        <v>113</v>
      </c>
      <c r="C16" s="1" t="n">
        <v>594</v>
      </c>
      <c r="D16" s="3"/>
      <c r="E16" s="3"/>
      <c r="F16" s="3"/>
      <c r="G16" s="3"/>
      <c r="H16" s="8"/>
      <c r="I16" s="8"/>
      <c r="J16" s="8"/>
      <c r="K16" s="8"/>
      <c r="L16" s="9"/>
      <c r="M16" s="9"/>
      <c r="P16" s="0" t="s">
        <v>11</v>
      </c>
      <c r="Q16" s="0" t="s">
        <v>44</v>
      </c>
      <c r="R16" s="0" t="s">
        <v>45</v>
      </c>
      <c r="T16" s="0" t="s">
        <v>46</v>
      </c>
      <c r="U16" s="0" t="s">
        <v>36</v>
      </c>
      <c r="V16" s="0" t="s">
        <v>47</v>
      </c>
      <c r="W16" s="0" t="s">
        <v>48</v>
      </c>
      <c r="X16" s="0" t="s">
        <v>49</v>
      </c>
    </row>
    <row r="17" customFormat="false" ht="14.5" hidden="false" customHeight="false" outlineLevel="0" collapsed="false">
      <c r="A17" s="6"/>
      <c r="B17" s="1" t="n">
        <v>114</v>
      </c>
      <c r="C17" s="1" t="n">
        <v>596</v>
      </c>
      <c r="D17" s="3"/>
      <c r="E17" s="3"/>
      <c r="F17" s="3"/>
      <c r="G17" s="3"/>
      <c r="H17" s="8"/>
      <c r="I17" s="8"/>
      <c r="J17" s="8"/>
      <c r="K17" s="8"/>
      <c r="L17" s="9"/>
      <c r="M17" s="9"/>
      <c r="P17" s="11" t="n">
        <f aca="false">90524/1000</f>
        <v>90.524</v>
      </c>
      <c r="Q17" s="0" t="n">
        <f aca="false">AVERAGE(Q19:Q21)/1000</f>
        <v>15.1726666666667</v>
      </c>
      <c r="R17" s="0" t="n">
        <f aca="false">AVERAGE(R19:R23)/1000</f>
        <v>3.228</v>
      </c>
      <c r="T17" s="0" t="n">
        <v>1</v>
      </c>
      <c r="U17" s="11" t="n">
        <v>569.702</v>
      </c>
      <c r="V17" s="0" t="n">
        <f aca="false">U17-$P$17</f>
        <v>479.178</v>
      </c>
      <c r="W17" s="0" t="n">
        <f aca="false">U17-$Q$17</f>
        <v>554.529333333333</v>
      </c>
      <c r="X17" s="0" t="n">
        <f aca="false">U17-$R$17</f>
        <v>566.474</v>
      </c>
    </row>
    <row r="18" customFormat="false" ht="14.5" hidden="false" customHeight="false" outlineLevel="0" collapsed="false">
      <c r="A18" s="6"/>
      <c r="B18" s="1" t="n">
        <v>115</v>
      </c>
      <c r="C18" s="1" t="n">
        <v>922</v>
      </c>
      <c r="D18" s="3"/>
      <c r="E18" s="3"/>
      <c r="F18" s="3"/>
      <c r="G18" s="3"/>
      <c r="H18" s="8"/>
      <c r="I18" s="8"/>
      <c r="J18" s="8"/>
      <c r="K18" s="8"/>
      <c r="L18" s="9"/>
      <c r="M18" s="9"/>
      <c r="T18" s="0" t="n">
        <v>2</v>
      </c>
      <c r="U18" s="11" t="n">
        <v>1063.662</v>
      </c>
      <c r="V18" s="0" t="n">
        <f aca="false">U18-$P$17</f>
        <v>973.138</v>
      </c>
      <c r="W18" s="0" t="n">
        <f aca="false">U18-$Q$17</f>
        <v>1048.48933333333</v>
      </c>
      <c r="X18" s="0" t="n">
        <f aca="false">U18-$R$17</f>
        <v>1060.434</v>
      </c>
    </row>
    <row r="19" customFormat="false" ht="14.5" hidden="false" customHeight="false" outlineLevel="0" collapsed="false">
      <c r="A19" s="6"/>
      <c r="B19" s="1" t="n">
        <v>116</v>
      </c>
      <c r="C19" s="1" t="n">
        <v>1427</v>
      </c>
      <c r="D19" s="3"/>
      <c r="E19" s="3"/>
      <c r="F19" s="3"/>
      <c r="G19" s="3"/>
      <c r="H19" s="8"/>
      <c r="I19" s="8"/>
      <c r="J19" s="8"/>
      <c r="K19" s="8"/>
      <c r="L19" s="9"/>
      <c r="M19" s="9"/>
      <c r="Q19" s="0" t="n">
        <v>16388</v>
      </c>
      <c r="R19" s="11" t="n">
        <v>3999</v>
      </c>
    </row>
    <row r="20" customFormat="false" ht="14.5" hidden="false" customHeight="false" outlineLevel="0" collapsed="false">
      <c r="A20" s="6"/>
      <c r="B20" s="1" t="n">
        <v>117</v>
      </c>
      <c r="C20" s="1" t="n">
        <v>950</v>
      </c>
      <c r="D20" s="3"/>
      <c r="E20" s="3"/>
      <c r="F20" s="3"/>
      <c r="G20" s="3"/>
      <c r="H20" s="8"/>
      <c r="I20" s="8"/>
      <c r="J20" s="8"/>
      <c r="K20" s="8"/>
      <c r="L20" s="9"/>
      <c r="M20" s="9"/>
      <c r="Q20" s="0" t="n">
        <v>15711</v>
      </c>
      <c r="R20" s="0" t="n">
        <v>3696</v>
      </c>
    </row>
    <row r="21" customFormat="false" ht="14.5" hidden="false" customHeight="false" outlineLevel="0" collapsed="false">
      <c r="A21" s="6"/>
      <c r="B21" s="1" t="n">
        <v>118</v>
      </c>
      <c r="C21" s="1" t="n">
        <v>765</v>
      </c>
      <c r="D21" s="3"/>
      <c r="E21" s="3"/>
      <c r="F21" s="3"/>
      <c r="G21" s="3"/>
      <c r="H21" s="8"/>
      <c r="I21" s="8"/>
      <c r="J21" s="8"/>
      <c r="K21" s="8"/>
      <c r="L21" s="9"/>
      <c r="M21" s="9"/>
      <c r="Q21" s="0" t="n">
        <v>13419</v>
      </c>
      <c r="R21" s="0" t="n">
        <v>3177</v>
      </c>
    </row>
    <row r="22" customFormat="false" ht="14.5" hidden="false" customHeight="false" outlineLevel="0" collapsed="false">
      <c r="A22" s="6"/>
      <c r="B22" s="1" t="n">
        <v>119</v>
      </c>
      <c r="C22" s="1" t="n">
        <v>717</v>
      </c>
      <c r="D22" s="3"/>
      <c r="E22" s="3"/>
      <c r="F22" s="3"/>
      <c r="G22" s="3"/>
      <c r="H22" s="8"/>
      <c r="I22" s="8"/>
      <c r="J22" s="8"/>
      <c r="K22" s="8"/>
      <c r="L22" s="9"/>
      <c r="M22" s="9"/>
      <c r="R22" s="0" t="n">
        <v>2688</v>
      </c>
    </row>
    <row r="23" customFormat="false" ht="14.5" hidden="false" customHeight="false" outlineLevel="0" collapsed="false">
      <c r="A23" s="6"/>
      <c r="B23" s="1" t="n">
        <v>120</v>
      </c>
      <c r="C23" s="1" t="n">
        <v>568</v>
      </c>
      <c r="D23" s="3"/>
      <c r="E23" s="3"/>
      <c r="F23" s="3"/>
      <c r="G23" s="3"/>
      <c r="H23" s="8"/>
      <c r="I23" s="8"/>
      <c r="J23" s="8"/>
      <c r="K23" s="8"/>
      <c r="L23" s="9"/>
      <c r="M23" s="9"/>
      <c r="R23" s="0" t="n">
        <v>2580</v>
      </c>
    </row>
    <row r="24" customFormat="false" ht="14.5" hidden="false" customHeight="false" outlineLevel="0" collapsed="false">
      <c r="A24" s="6"/>
      <c r="B24" s="1" t="n">
        <v>121</v>
      </c>
      <c r="C24" s="1" t="n">
        <v>528</v>
      </c>
      <c r="D24" s="3"/>
      <c r="E24" s="3"/>
      <c r="F24" s="3"/>
      <c r="G24" s="3"/>
      <c r="H24" s="8"/>
      <c r="I24" s="8"/>
      <c r="J24" s="8"/>
      <c r="K24" s="8"/>
      <c r="L24" s="9"/>
      <c r="M24" s="9"/>
    </row>
    <row r="25" customFormat="false" ht="14.5" hidden="false" customHeight="false" outlineLevel="0" collapsed="false">
      <c r="A25" s="6" t="s">
        <v>50</v>
      </c>
      <c r="B25" s="1" t="n">
        <v>205</v>
      </c>
      <c r="C25" s="1" t="n">
        <v>141</v>
      </c>
      <c r="D25" s="3" t="n">
        <v>2627.17</v>
      </c>
      <c r="E25" s="3" t="n">
        <v>-12.1024</v>
      </c>
      <c r="F25" s="3" t="n">
        <v>176.779</v>
      </c>
      <c r="G25" s="3" t="n">
        <v>0.835282</v>
      </c>
      <c r="H25" s="8" t="n">
        <v>211.346</v>
      </c>
      <c r="I25" s="8" t="n">
        <v>0.0189968</v>
      </c>
      <c r="J25" s="8" t="n">
        <v>0.77722</v>
      </c>
      <c r="K25" s="8" t="n">
        <v>0.0154292</v>
      </c>
      <c r="L25" s="9" t="n">
        <v>2359.21</v>
      </c>
      <c r="M25" s="9" t="n">
        <v>53.867</v>
      </c>
    </row>
    <row r="26" customFormat="false" ht="14.5" hidden="false" customHeight="false" outlineLevel="0" collapsed="false">
      <c r="A26" s="6"/>
      <c r="B26" s="1" t="n">
        <v>206</v>
      </c>
      <c r="C26" s="1" t="n">
        <v>131</v>
      </c>
      <c r="D26" s="3"/>
      <c r="E26" s="3"/>
      <c r="F26" s="3"/>
      <c r="G26" s="3"/>
      <c r="H26" s="8"/>
      <c r="I26" s="8"/>
      <c r="J26" s="8"/>
      <c r="K26" s="8"/>
      <c r="L26" s="9"/>
      <c r="M26" s="9"/>
    </row>
    <row r="27" customFormat="false" ht="14.5" hidden="false" customHeight="false" outlineLevel="0" collapsed="false">
      <c r="A27" s="6"/>
      <c r="B27" s="1" t="n">
        <v>207</v>
      </c>
      <c r="C27" s="1" t="n">
        <v>121</v>
      </c>
      <c r="D27" s="3"/>
      <c r="E27" s="3"/>
      <c r="F27" s="3"/>
      <c r="G27" s="3"/>
      <c r="H27" s="8"/>
      <c r="I27" s="8"/>
      <c r="J27" s="8"/>
      <c r="K27" s="8"/>
      <c r="L27" s="9"/>
      <c r="M27" s="9"/>
    </row>
    <row r="28" customFormat="false" ht="14.5" hidden="false" customHeight="false" outlineLevel="0" collapsed="false">
      <c r="A28" s="6"/>
      <c r="B28" s="1" t="n">
        <v>208</v>
      </c>
      <c r="C28" s="1" t="n">
        <v>105</v>
      </c>
      <c r="D28" s="3"/>
      <c r="E28" s="3"/>
      <c r="F28" s="3"/>
      <c r="G28" s="3"/>
      <c r="H28" s="8"/>
      <c r="I28" s="8"/>
      <c r="J28" s="8"/>
      <c r="K28" s="8"/>
      <c r="L28" s="9"/>
      <c r="M28" s="9"/>
    </row>
    <row r="29" customFormat="false" ht="14.5" hidden="false" customHeight="false" outlineLevel="0" collapsed="false">
      <c r="A29" s="6"/>
      <c r="B29" s="1" t="n">
        <v>209</v>
      </c>
      <c r="C29" s="1" t="n">
        <v>139</v>
      </c>
      <c r="D29" s="3"/>
      <c r="E29" s="3"/>
      <c r="F29" s="3"/>
      <c r="G29" s="3"/>
      <c r="H29" s="8"/>
      <c r="I29" s="8"/>
      <c r="J29" s="8"/>
      <c r="K29" s="8"/>
      <c r="L29" s="9"/>
      <c r="M29" s="9"/>
    </row>
    <row r="30" customFormat="false" ht="14.5" hidden="false" customHeight="false" outlineLevel="0" collapsed="false">
      <c r="A30" s="6"/>
      <c r="B30" s="1" t="n">
        <v>210</v>
      </c>
      <c r="C30" s="1" t="n">
        <v>372</v>
      </c>
      <c r="D30" s="3"/>
      <c r="E30" s="3"/>
      <c r="F30" s="3"/>
      <c r="G30" s="3"/>
      <c r="H30" s="8"/>
      <c r="I30" s="8"/>
      <c r="J30" s="8"/>
      <c r="K30" s="8"/>
      <c r="L30" s="9"/>
      <c r="M30" s="9"/>
    </row>
    <row r="31" customFormat="false" ht="14.5" hidden="false" customHeight="false" outlineLevel="0" collapsed="false">
      <c r="A31" s="6"/>
      <c r="B31" s="1" t="n">
        <v>211</v>
      </c>
      <c r="C31" s="1" t="n">
        <v>1120</v>
      </c>
      <c r="D31" s="3"/>
      <c r="E31" s="3"/>
      <c r="F31" s="3"/>
      <c r="G31" s="3"/>
      <c r="H31" s="8"/>
      <c r="I31" s="8"/>
      <c r="J31" s="8"/>
      <c r="K31" s="8"/>
      <c r="L31" s="9"/>
      <c r="M31" s="9"/>
    </row>
    <row r="32" customFormat="false" ht="14.5" hidden="false" customHeight="false" outlineLevel="0" collapsed="false">
      <c r="A32" s="6"/>
      <c r="B32" s="1" t="n">
        <v>212</v>
      </c>
      <c r="C32" s="1" t="n">
        <v>972</v>
      </c>
      <c r="D32" s="3"/>
      <c r="E32" s="3"/>
      <c r="F32" s="3"/>
      <c r="G32" s="3"/>
      <c r="H32" s="8"/>
      <c r="I32" s="8"/>
      <c r="J32" s="8"/>
      <c r="K32" s="8"/>
      <c r="L32" s="9"/>
      <c r="M32" s="9"/>
    </row>
    <row r="33" customFormat="false" ht="14.5" hidden="false" customHeight="false" outlineLevel="0" collapsed="false">
      <c r="A33" s="6"/>
      <c r="B33" s="1" t="n">
        <v>213</v>
      </c>
      <c r="C33" s="1" t="n">
        <v>154</v>
      </c>
      <c r="D33" s="3"/>
      <c r="E33" s="3"/>
      <c r="F33" s="3"/>
      <c r="G33" s="3"/>
      <c r="H33" s="8"/>
      <c r="I33" s="8"/>
      <c r="J33" s="8"/>
      <c r="K33" s="8"/>
      <c r="L33" s="9"/>
      <c r="M33" s="9"/>
    </row>
    <row r="34" customFormat="false" ht="14.5" hidden="false" customHeight="false" outlineLevel="0" collapsed="false">
      <c r="A34" s="6"/>
      <c r="B34" s="1" t="n">
        <v>214</v>
      </c>
      <c r="C34" s="1" t="n">
        <v>34</v>
      </c>
      <c r="D34" s="3"/>
      <c r="E34" s="3"/>
      <c r="F34" s="3"/>
      <c r="G34" s="3"/>
      <c r="H34" s="8"/>
      <c r="I34" s="8"/>
      <c r="J34" s="8"/>
      <c r="K34" s="8"/>
      <c r="L34" s="9"/>
      <c r="M34" s="9"/>
    </row>
    <row r="35" customFormat="false" ht="14.5" hidden="false" customHeight="false" outlineLevel="0" collapsed="false">
      <c r="A35" s="6"/>
      <c r="B35" s="1" t="n">
        <v>215</v>
      </c>
      <c r="C35" s="1" t="n">
        <v>31</v>
      </c>
      <c r="D35" s="3"/>
      <c r="E35" s="3"/>
      <c r="F35" s="3"/>
      <c r="G35" s="3"/>
      <c r="H35" s="8"/>
      <c r="I35" s="8"/>
      <c r="J35" s="8"/>
      <c r="K35" s="8"/>
      <c r="L35" s="9"/>
      <c r="M35" s="9"/>
    </row>
    <row r="36" customFormat="false" ht="13.75" hidden="false" customHeight="true" outlineLevel="0" collapsed="false">
      <c r="A36" s="12" t="s">
        <v>51</v>
      </c>
      <c r="B36" s="1" t="n">
        <v>220</v>
      </c>
      <c r="C36" s="1" t="n">
        <v>33</v>
      </c>
      <c r="D36" s="3" t="n">
        <v>29.0436</v>
      </c>
      <c r="E36" s="3" t="n">
        <v>2.00087</v>
      </c>
      <c r="F36" s="3" t="s">
        <v>43</v>
      </c>
      <c r="G36" s="3" t="s">
        <v>43</v>
      </c>
      <c r="H36" s="8" t="n">
        <v>227.161</v>
      </c>
      <c r="I36" s="8" t="n">
        <v>0.0567057</v>
      </c>
      <c r="J36" s="8" t="n">
        <v>0.813626</v>
      </c>
      <c r="K36" s="8" t="n">
        <v>0.0588543</v>
      </c>
      <c r="L36" s="9" t="n">
        <v>357.747</v>
      </c>
      <c r="M36" s="9" t="n">
        <v>24.203</v>
      </c>
    </row>
    <row r="37" customFormat="false" ht="14.5" hidden="false" customHeight="false" outlineLevel="0" collapsed="false">
      <c r="A37" s="12"/>
      <c r="B37" s="1" t="n">
        <v>221</v>
      </c>
      <c r="C37" s="1" t="n">
        <v>28</v>
      </c>
      <c r="D37" s="3"/>
      <c r="E37" s="3"/>
      <c r="F37" s="3"/>
      <c r="G37" s="3"/>
      <c r="H37" s="8"/>
      <c r="I37" s="8"/>
      <c r="J37" s="8"/>
      <c r="K37" s="8"/>
      <c r="L37" s="9"/>
      <c r="M37" s="9"/>
    </row>
    <row r="38" customFormat="false" ht="14.5" hidden="false" customHeight="false" outlineLevel="0" collapsed="false">
      <c r="A38" s="12"/>
      <c r="B38" s="1" t="n">
        <v>222</v>
      </c>
      <c r="C38" s="1" t="n">
        <v>24</v>
      </c>
      <c r="D38" s="3"/>
      <c r="E38" s="3"/>
      <c r="F38" s="3"/>
      <c r="G38" s="3"/>
      <c r="H38" s="8"/>
      <c r="I38" s="8"/>
      <c r="J38" s="8"/>
      <c r="K38" s="8"/>
      <c r="L38" s="9"/>
      <c r="M38" s="9"/>
    </row>
    <row r="39" customFormat="false" ht="14.5" hidden="false" customHeight="false" outlineLevel="0" collapsed="false">
      <c r="A39" s="12"/>
      <c r="B39" s="1" t="n">
        <v>223</v>
      </c>
      <c r="C39" s="1" t="n">
        <v>36</v>
      </c>
      <c r="D39" s="3"/>
      <c r="E39" s="3"/>
      <c r="F39" s="3"/>
      <c r="G39" s="3"/>
      <c r="H39" s="8"/>
      <c r="I39" s="8"/>
      <c r="J39" s="8"/>
      <c r="K39" s="8"/>
      <c r="L39" s="9"/>
      <c r="M39" s="9"/>
    </row>
    <row r="40" customFormat="false" ht="14.5" hidden="false" customHeight="false" outlineLevel="0" collapsed="false">
      <c r="A40" s="12"/>
      <c r="B40" s="1" t="n">
        <v>224</v>
      </c>
      <c r="C40" s="1" t="n">
        <v>24</v>
      </c>
      <c r="D40" s="3"/>
      <c r="E40" s="3"/>
      <c r="F40" s="3"/>
      <c r="G40" s="3"/>
      <c r="H40" s="8"/>
      <c r="I40" s="8"/>
      <c r="J40" s="8"/>
      <c r="K40" s="8"/>
      <c r="L40" s="9"/>
      <c r="M40" s="9"/>
    </row>
    <row r="41" customFormat="false" ht="14.5" hidden="false" customHeight="false" outlineLevel="0" collapsed="false">
      <c r="A41" s="12"/>
      <c r="B41" s="1" t="n">
        <v>225</v>
      </c>
      <c r="C41" s="1" t="n">
        <v>33</v>
      </c>
      <c r="D41" s="3"/>
      <c r="E41" s="3"/>
      <c r="F41" s="3"/>
      <c r="G41" s="3"/>
      <c r="H41" s="8"/>
      <c r="I41" s="8"/>
      <c r="J41" s="8"/>
      <c r="K41" s="8"/>
      <c r="L41" s="9"/>
      <c r="M41" s="9"/>
    </row>
    <row r="42" customFormat="false" ht="14.5" hidden="false" customHeight="false" outlineLevel="0" collapsed="false">
      <c r="A42" s="12"/>
      <c r="B42" s="1" t="n">
        <v>226</v>
      </c>
      <c r="C42" s="1" t="n">
        <v>91</v>
      </c>
      <c r="D42" s="3"/>
      <c r="E42" s="3"/>
      <c r="F42" s="3"/>
      <c r="G42" s="3"/>
      <c r="H42" s="8"/>
      <c r="I42" s="8"/>
      <c r="J42" s="8"/>
      <c r="K42" s="8"/>
      <c r="L42" s="9"/>
      <c r="M42" s="9"/>
    </row>
    <row r="43" customFormat="false" ht="14.5" hidden="false" customHeight="false" outlineLevel="0" collapsed="false">
      <c r="A43" s="12"/>
      <c r="B43" s="1" t="n">
        <v>227</v>
      </c>
      <c r="C43" s="1" t="n">
        <v>206</v>
      </c>
      <c r="D43" s="3"/>
      <c r="E43" s="3"/>
      <c r="F43" s="3"/>
      <c r="G43" s="3"/>
      <c r="H43" s="8"/>
      <c r="I43" s="8"/>
      <c r="J43" s="8"/>
      <c r="K43" s="8"/>
      <c r="L43" s="9"/>
      <c r="M43" s="9"/>
    </row>
    <row r="44" customFormat="false" ht="14.5" hidden="false" customHeight="false" outlineLevel="0" collapsed="false">
      <c r="A44" s="12"/>
      <c r="B44" s="1" t="n">
        <v>228</v>
      </c>
      <c r="C44" s="1" t="n">
        <v>127</v>
      </c>
      <c r="D44" s="3"/>
      <c r="E44" s="3"/>
      <c r="F44" s="3"/>
      <c r="G44" s="3"/>
      <c r="H44" s="8"/>
      <c r="I44" s="8"/>
      <c r="J44" s="8"/>
      <c r="K44" s="8"/>
      <c r="L44" s="9"/>
      <c r="M44" s="9"/>
    </row>
    <row r="45" customFormat="false" ht="14.5" hidden="false" customHeight="false" outlineLevel="0" collapsed="false">
      <c r="A45" s="12"/>
      <c r="B45" s="1" t="n">
        <v>229</v>
      </c>
      <c r="C45" s="1" t="n">
        <v>46</v>
      </c>
      <c r="D45" s="3"/>
      <c r="E45" s="3"/>
      <c r="F45" s="3"/>
      <c r="G45" s="3"/>
      <c r="H45" s="8"/>
      <c r="I45" s="8"/>
      <c r="J45" s="8"/>
      <c r="K45" s="8"/>
      <c r="L45" s="9"/>
      <c r="M45" s="9"/>
    </row>
    <row r="46" customFormat="false" ht="14.5" hidden="false" customHeight="false" outlineLevel="0" collapsed="false">
      <c r="A46" s="12"/>
      <c r="B46" s="1" t="n">
        <v>300</v>
      </c>
      <c r="C46" s="1" t="n">
        <v>73</v>
      </c>
      <c r="D46" s="3"/>
      <c r="E46" s="3"/>
      <c r="F46" s="3"/>
      <c r="G46" s="3"/>
      <c r="H46" s="8"/>
      <c r="I46" s="8"/>
      <c r="J46" s="8"/>
      <c r="K46" s="8"/>
      <c r="L46" s="9"/>
      <c r="M46" s="9"/>
    </row>
    <row r="47" customFormat="false" ht="14.5" hidden="false" customHeight="false" outlineLevel="0" collapsed="false">
      <c r="A47" s="12"/>
      <c r="B47" s="1" t="n">
        <v>301</v>
      </c>
      <c r="C47" s="1" t="n">
        <v>20</v>
      </c>
      <c r="D47" s="3"/>
      <c r="E47" s="3"/>
      <c r="F47" s="3"/>
      <c r="G47" s="3"/>
      <c r="H47" s="8"/>
      <c r="I47" s="8"/>
      <c r="J47" s="8"/>
      <c r="K47" s="8"/>
      <c r="L47" s="9"/>
      <c r="M47" s="9"/>
    </row>
    <row r="48" customFormat="false" ht="14.5" hidden="false" customHeight="false" outlineLevel="0" collapsed="false">
      <c r="A48" s="12"/>
      <c r="B48" s="1" t="n">
        <v>302</v>
      </c>
      <c r="C48" s="1" t="n">
        <v>0</v>
      </c>
      <c r="D48" s="3"/>
      <c r="E48" s="3"/>
      <c r="F48" s="3"/>
      <c r="G48" s="3"/>
      <c r="H48" s="8"/>
      <c r="I48" s="8"/>
      <c r="J48" s="8"/>
      <c r="K48" s="8"/>
      <c r="L48" s="9"/>
      <c r="M48" s="9"/>
    </row>
  </sheetData>
  <mergeCells count="54">
    <mergeCell ref="A1:C1"/>
    <mergeCell ref="D1:G1"/>
    <mergeCell ref="H1:M1"/>
    <mergeCell ref="P1:R1"/>
    <mergeCell ref="W1:AB1"/>
    <mergeCell ref="A3:A13"/>
    <mergeCell ref="D3:D13"/>
    <mergeCell ref="E3:E13"/>
    <mergeCell ref="F3:F13"/>
    <mergeCell ref="G3:G13"/>
    <mergeCell ref="H3:H13"/>
    <mergeCell ref="I3:I13"/>
    <mergeCell ref="J3:J13"/>
    <mergeCell ref="K3:K13"/>
    <mergeCell ref="L3:L13"/>
    <mergeCell ref="M3:M13"/>
    <mergeCell ref="P5:S5"/>
    <mergeCell ref="Y10:Y11"/>
    <mergeCell ref="Z10:Z11"/>
    <mergeCell ref="Y12:Y13"/>
    <mergeCell ref="Z12:Z13"/>
    <mergeCell ref="A14:A24"/>
    <mergeCell ref="D14:D24"/>
    <mergeCell ref="E14:E24"/>
    <mergeCell ref="F14:F24"/>
    <mergeCell ref="G14:G24"/>
    <mergeCell ref="H14:H24"/>
    <mergeCell ref="I14:I24"/>
    <mergeCell ref="J14:J24"/>
    <mergeCell ref="K14:K24"/>
    <mergeCell ref="L14:L24"/>
    <mergeCell ref="M14:M24"/>
    <mergeCell ref="A25:A35"/>
    <mergeCell ref="D25:D35"/>
    <mergeCell ref="E25:E35"/>
    <mergeCell ref="F25:F35"/>
    <mergeCell ref="G25:G35"/>
    <mergeCell ref="H25:H35"/>
    <mergeCell ref="I25:I35"/>
    <mergeCell ref="J25:J35"/>
    <mergeCell ref="K25:K35"/>
    <mergeCell ref="L25:L35"/>
    <mergeCell ref="M25:M35"/>
    <mergeCell ref="A36:A48"/>
    <mergeCell ref="D36:D48"/>
    <mergeCell ref="E36:E48"/>
    <mergeCell ref="F36:F48"/>
    <mergeCell ref="G36:G48"/>
    <mergeCell ref="H36:H48"/>
    <mergeCell ref="I36:I48"/>
    <mergeCell ref="J36:J48"/>
    <mergeCell ref="K36:K48"/>
    <mergeCell ref="L36:L48"/>
    <mergeCell ref="M36:M4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5"/>
  <cols>
    <col collapsed="false" hidden="false" max="1" min="1" style="0" width="9.33198380566802"/>
    <col collapsed="false" hidden="false" max="2" min="2" style="0" width="10.2834008097166"/>
    <col collapsed="false" hidden="false" max="1025" min="3" style="0" width="9.33198380566802"/>
  </cols>
  <sheetData>
    <row r="1" customFormat="false" ht="13.8" hidden="false" customHeight="false" outlineLevel="0" collapsed="false">
      <c r="A1" s="0" t="s">
        <v>1</v>
      </c>
      <c r="B1" s="0" t="s">
        <v>2</v>
      </c>
      <c r="C1" s="0" t="s">
        <v>10</v>
      </c>
    </row>
    <row r="2" customFormat="false" ht="13.8" hidden="false" customHeight="false" outlineLevel="0" collapsed="false">
      <c r="A2" s="0" t="n">
        <v>10</v>
      </c>
      <c r="B2" s="0" t="n">
        <v>6388</v>
      </c>
      <c r="C2" s="0" t="n">
        <f aca="false">A2*Bismuto!Y$3+Bismuto!AA$3</f>
        <v>47.6830603398778</v>
      </c>
    </row>
    <row r="3" customFormat="false" ht="13.8" hidden="false" customHeight="false" outlineLevel="0" collapsed="false">
      <c r="A3" s="0" t="n">
        <v>16</v>
      </c>
      <c r="B3" s="0" t="n">
        <v>5097</v>
      </c>
      <c r="C3" s="0" t="n">
        <f aca="false">A3*Bismuto!Y$3+Bismuto!AA$3</f>
        <v>74.8221660745113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4.5"/>
  <cols>
    <col collapsed="false" hidden="false" max="1" min="1" style="0" width="9.23481781376518"/>
    <col collapsed="false" hidden="false" max="2" min="2" style="0" width="10.9554655870445"/>
    <col collapsed="false" hidden="false" max="3" min="3" style="0" width="23.9028340080972"/>
    <col collapsed="false" hidden="false" max="4" min="4" style="0" width="8"/>
    <col collapsed="false" hidden="false" max="5" min="5" style="0" width="6.94736842105263"/>
    <col collapsed="false" hidden="false" max="6" min="6" style="0" width="12.9554655870445"/>
    <col collapsed="false" hidden="false" max="7" min="7" style="0" width="6.94736842105263"/>
    <col collapsed="false" hidden="false" max="8" min="8" style="0" width="12.9554655870445"/>
    <col collapsed="false" hidden="false" max="9" min="9" style="0" width="11.9028340080972"/>
    <col collapsed="false" hidden="false" max="10" min="10" style="0" width="14.5668016194332"/>
    <col collapsed="false" hidden="false" max="11" min="11" style="0" width="12.9554655870445"/>
    <col collapsed="false" hidden="false" max="12" min="12" style="0" width="9.51821862348178"/>
    <col collapsed="false" hidden="false" max="1025" min="13" style="0" width="9.23481781376518"/>
  </cols>
  <sheetData>
    <row r="2" customFormat="false" ht="14.5" hidden="false" customHeight="false" outlineLevel="0" collapsed="false">
      <c r="B2" s="13" t="s">
        <v>52</v>
      </c>
      <c r="C2" s="13" t="s">
        <v>23</v>
      </c>
      <c r="D2" s="13" t="s">
        <v>53</v>
      </c>
      <c r="E2" s="13" t="s">
        <v>54</v>
      </c>
      <c r="F2" s="13" t="s">
        <v>8</v>
      </c>
      <c r="G2" s="13" t="s">
        <v>54</v>
      </c>
      <c r="H2" s="13" t="s">
        <v>55</v>
      </c>
      <c r="I2" s="13" t="s">
        <v>54</v>
      </c>
      <c r="J2" s="13" t="s">
        <v>56</v>
      </c>
      <c r="K2" s="13" t="s">
        <v>54</v>
      </c>
    </row>
    <row r="3" customFormat="false" ht="14.5" hidden="false" customHeight="false" outlineLevel="0" collapsed="false">
      <c r="B3" s="14" t="s">
        <v>57</v>
      </c>
      <c r="C3" s="7" t="s">
        <v>58</v>
      </c>
      <c r="D3" s="15" t="n">
        <v>620</v>
      </c>
      <c r="E3" s="15" t="n">
        <f aca="false">SQRT(D10^2*0.0024^4+(Calibracao!J24)^2*(Calibracao!C24)^4+(0.097)^2)</f>
        <v>0.0975457940470147</v>
      </c>
      <c r="F3" s="0" t="n">
        <v>5.88</v>
      </c>
      <c r="H3" s="16" t="n">
        <f aca="false">F3*Calibracao!J24</f>
        <v>31.2305315234154</v>
      </c>
      <c r="I3" s="16" t="n">
        <f aca="false">F3*0.0024</f>
        <v>0.014112</v>
      </c>
      <c r="J3" s="17" t="n">
        <f aca="false">H3/D3*100</f>
        <v>5.03718250377668</v>
      </c>
      <c r="K3" s="17" t="n">
        <f aca="false">SQRT((I3/D3)^2+(H3*E3/(D3)^2)^2)*100</f>
        <v>0.00241015245911106</v>
      </c>
    </row>
    <row r="4" customFormat="false" ht="14.5" hidden="false" customHeight="false" outlineLevel="0" collapsed="false">
      <c r="B4" s="14" t="s">
        <v>59</v>
      </c>
      <c r="C4" s="7" t="s">
        <v>60</v>
      </c>
      <c r="D4" s="15" t="n">
        <v>468.490627060238</v>
      </c>
      <c r="E4" s="15" t="n">
        <v>0.226757444307321</v>
      </c>
      <c r="F4" s="18" t="n">
        <f aca="false">E10*2.355</f>
        <v>1.711079415</v>
      </c>
      <c r="G4" s="18" t="n">
        <f aca="false">F10*2.355</f>
        <v>0.0216281787</v>
      </c>
      <c r="H4" s="16" t="n">
        <f aca="false">F4*Bismuto!Y$3</f>
        <v>7.73952752733998</v>
      </c>
      <c r="I4" s="16" t="n">
        <f aca="false">SQRT((F4*Bismuto!Z$3)^2+(Bismuto!Y$3*G4)^2)</f>
        <v>0.097888202009611</v>
      </c>
      <c r="J4" s="16" t="n">
        <f aca="false">H4/D4 *100</f>
        <v>1.65201331260462</v>
      </c>
      <c r="K4" s="16" t="n">
        <f aca="false">SQRT((I4/D4)^2+(H4*E4/(D4)^2)^2)*100</f>
        <v>0.0209096722072766</v>
      </c>
    </row>
    <row r="5" customFormat="false" ht="14.5" hidden="false" customHeight="false" outlineLevel="0" collapsed="false">
      <c r="B5" s="14"/>
      <c r="C5" s="7" t="s">
        <v>61</v>
      </c>
      <c r="D5" s="15" t="n">
        <v>521.409724450272</v>
      </c>
      <c r="E5" s="15" t="n">
        <v>0.297817984237798</v>
      </c>
      <c r="F5" s="18" t="n">
        <f aca="false">E11*2.355</f>
        <v>1.87506984</v>
      </c>
      <c r="G5" s="18" t="n">
        <f aca="false">F11/2.355</f>
        <v>0.019756008492569</v>
      </c>
      <c r="H5" s="15" t="n">
        <f aca="false">F5*Bismuto!Y$3</f>
        <v>8.48128644126373</v>
      </c>
      <c r="I5" s="16" t="n">
        <f aca="false">SQRT((F5*Bismuto!Z$3)^2+(Bismuto!Y$3*G5)^2)</f>
        <v>0.0894388891198123</v>
      </c>
      <c r="J5" s="16" t="n">
        <f aca="false">H5/D5 *100</f>
        <v>1.62660687815242</v>
      </c>
      <c r="K5" s="16" t="n">
        <f aca="false">SQRT((I5/D5)^2+(H5*E5/(D5)^2)^2)*100</f>
        <v>0.0171784264540032</v>
      </c>
    </row>
    <row r="6" customFormat="false" ht="14.5" hidden="false" customHeight="false" outlineLevel="0" collapsed="false">
      <c r="B6" s="14"/>
      <c r="C6" s="7" t="s">
        <v>62</v>
      </c>
      <c r="D6" s="15" t="n">
        <v>947.517122802607</v>
      </c>
      <c r="E6" s="15" t="n">
        <v>0.434642099846607</v>
      </c>
      <c r="F6" s="19" t="n">
        <f aca="false">E12*2.355</f>
        <v>1.8303531</v>
      </c>
      <c r="G6" s="19" t="n">
        <f aca="false">F12/2.355</f>
        <v>0.00655167728237792</v>
      </c>
      <c r="H6" s="16" t="n">
        <f aca="false">F6*Bismuto!Y$3</f>
        <v>8.27902438543571</v>
      </c>
      <c r="I6" s="16" t="n">
        <f aca="false">SQRT((F6*Bismuto!Z$3)^2+(Bismuto!Y$3*G6)^2)</f>
        <v>0.0298601632560651</v>
      </c>
      <c r="J6" s="17" t="n">
        <f aca="false">H6/D6 *100</f>
        <v>0.873759870528529</v>
      </c>
      <c r="K6" s="17" t="n">
        <f aca="false">SQRT((I6/D6)^2+(H6*E6/(D6)^2)^2)*100</f>
        <v>0.00317679738224625</v>
      </c>
    </row>
    <row r="7" customFormat="false" ht="14.5" hidden="false" customHeight="false" outlineLevel="0" collapsed="false">
      <c r="B7" s="14"/>
      <c r="C7" s="7" t="s">
        <v>63</v>
      </c>
      <c r="D7" s="15" t="n">
        <v>1018.23839415831</v>
      </c>
      <c r="E7" s="15" t="n">
        <v>0.522655075126699</v>
      </c>
      <c r="F7" s="18" t="n">
        <f aca="false">E13*2.355</f>
        <v>1.91608923</v>
      </c>
      <c r="G7" s="18" t="n">
        <f aca="false">F13/2.355</f>
        <v>0.0249912101910828</v>
      </c>
      <c r="H7" s="15" t="n">
        <f aca="false">F7*Bismuto!Y$3</f>
        <v>8.66682470166042</v>
      </c>
      <c r="I7" s="15" t="n">
        <f aca="false">SQRT((F7*Bismuto!Z$3)^2+(Bismuto!Y$3*G7)^2)</f>
        <v>0.113104925449326</v>
      </c>
      <c r="J7" s="16" t="n">
        <f aca="false">H7/D7 *100</f>
        <v>0.851158702262896</v>
      </c>
      <c r="K7" s="16" t="n">
        <f aca="false">SQRT((I7/D7)^2+(H7*E7/(D7)^2)^2)*100</f>
        <v>0.0111164908496021</v>
      </c>
    </row>
    <row r="8" customFormat="false" ht="14.5" hidden="false" customHeight="false" outlineLevel="0" collapsed="false">
      <c r="D8" s="16"/>
      <c r="G8" s="20"/>
      <c r="I8" s="7"/>
      <c r="J8" s="7"/>
      <c r="K8" s="7"/>
      <c r="L8" s="21"/>
    </row>
    <row r="9" customFormat="false" ht="14.5" hidden="false" customHeight="false" outlineLevel="0" collapsed="false">
      <c r="D9" s="13" t="s">
        <v>64</v>
      </c>
      <c r="E9" s="22" t="s">
        <v>28</v>
      </c>
      <c r="F9" s="22" t="s">
        <v>54</v>
      </c>
    </row>
    <row r="10" customFormat="false" ht="14.5" hidden="false" customHeight="false" outlineLevel="0" collapsed="false">
      <c r="D10" s="7" t="n">
        <v>116.19</v>
      </c>
      <c r="E10" s="23" t="n">
        <v>0.726573</v>
      </c>
      <c r="F10" s="23" t="n">
        <v>0.00918394</v>
      </c>
    </row>
    <row r="11" customFormat="false" ht="14.5" hidden="false" customHeight="false" outlineLevel="0" collapsed="false">
      <c r="E11" s="23" t="n">
        <v>0.796208</v>
      </c>
      <c r="F11" s="23" t="n">
        <v>0.0465254</v>
      </c>
    </row>
    <row r="12" customFormat="false" ht="14.5" hidden="false" customHeight="false" outlineLevel="0" collapsed="false">
      <c r="E12" s="23" t="n">
        <v>0.77722</v>
      </c>
      <c r="F12" s="23" t="n">
        <v>0.0154292</v>
      </c>
    </row>
    <row r="13" customFormat="false" ht="14.5" hidden="false" customHeight="false" outlineLevel="0" collapsed="false">
      <c r="E13" s="23" t="n">
        <v>0.813626</v>
      </c>
      <c r="F13" s="23" t="n">
        <v>0.0588543</v>
      </c>
    </row>
  </sheetData>
  <mergeCells count="1">
    <mergeCell ref="B4:B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2017-11-29T20:24:49Z</dcterms:created>
  <dc:creator>Francisco Duque</dc:creator>
  <dc:description/>
  <dc:language>pt-PT</dc:language>
  <cp:lastModifiedBy/>
  <dcterms:modified xsi:type="dcterms:W3CDTF">2017-12-12T22:06:55Z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