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eterminação da Energy Range" sheetId="1" state="visible" r:id="rId2"/>
    <sheet name="Calibração - Semana 1" sheetId="2" state="visible" r:id="rId3"/>
    <sheet name="Estudo da Fonte Desconhecida" sheetId="3" state="visible" r:id="rId4"/>
    <sheet name="Calibração - Semana 2" sheetId="4" state="visible" r:id="rId5"/>
    <sheet name="Estudo de DEd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<sst xmlns="http://schemas.openxmlformats.org/spreadsheetml/2006/main" count="180" uniqueCount="124">
  <si>
    <t xml:space="preserve">Range</t>
  </si>
  <si>
    <t xml:space="preserve">N_t</t>
  </si>
  <si>
    <t xml:space="preserve">Erro N_t</t>
  </si>
  <si>
    <t xml:space="preserve">FWHM</t>
  </si>
  <si>
    <t xml:space="preserve">C</t>
  </si>
  <si>
    <t xml:space="preserve">Erro C</t>
  </si>
  <si>
    <t xml:space="preserve">V_0</t>
  </si>
  <si>
    <t xml:space="preserve">G</t>
  </si>
  <si>
    <t xml:space="preserve">3-8</t>
  </si>
  <si>
    <t xml:space="preserve">4-7</t>
  </si>
  <si>
    <t xml:space="preserve">3-5</t>
  </si>
  <si>
    <t xml:space="preserve">4-6</t>
  </si>
  <si>
    <t xml:space="preserve">5-7</t>
  </si>
  <si>
    <t xml:space="preserve">6-8</t>
  </si>
  <si>
    <t xml:space="preserve">taq</t>
  </si>
  <si>
    <t xml:space="preserve">150 s</t>
  </si>
  <si>
    <t xml:space="preserve">Tensão (V)</t>
  </si>
  <si>
    <t xml:space="preserve">4.6</t>
  </si>
  <si>
    <t xml:space="preserve">4.9</t>
  </si>
  <si>
    <t xml:space="preserve">5.2</t>
  </si>
  <si>
    <t xml:space="preserve">5.5</t>
  </si>
  <si>
    <t xml:space="preserve">5.8</t>
  </si>
  <si>
    <t xml:space="preserve">6.1</t>
  </si>
  <si>
    <t xml:space="preserve">Conversao</t>
  </si>
  <si>
    <t xml:space="preserve">Ponto Graduador</t>
  </si>
  <si>
    <t xml:space="preserve">K</t>
  </si>
  <si>
    <t xml:space="preserve">Erro K</t>
  </si>
  <si>
    <t xml:space="preserve">a'</t>
  </si>
  <si>
    <t xml:space="preserve">Erro a'</t>
  </si>
  <si>
    <t xml:space="preserve">b'</t>
  </si>
  <si>
    <t xml:space="preserve">Erro b'</t>
  </si>
  <si>
    <t xml:space="preserve">Centroide</t>
  </si>
  <si>
    <t xml:space="preserve">Erro Centroide</t>
  </si>
  <si>
    <t xml:space="preserve">Energia</t>
  </si>
  <si>
    <t xml:space="preserve">Calibracao Tensao-Canal</t>
  </si>
  <si>
    <t xml:space="preserve">a</t>
  </si>
  <si>
    <t xml:space="preserve">erro a</t>
  </si>
  <si>
    <t xml:space="preserve">b</t>
  </si>
  <si>
    <t xml:space="preserve">erro b</t>
  </si>
  <si>
    <t xml:space="preserve">df</t>
  </si>
  <si>
    <t xml:space="preserve">$\lambda$</t>
  </si>
  <si>
    <t xml:space="preserve">err</t>
  </si>
  <si>
    <t xml:space="preserve">$\mu$</t>
  </si>
  <si>
    <t xml:space="preserve">$\sigma$</t>
  </si>
  <si>
    <t xml:space="preserve">$\Delta E_{imp}$</t>
  </si>
  <si>
    <t xml:space="preserve">N</t>
  </si>
  <si>
    <t xml:space="preserve">Chi^2/Ndf</t>
  </si>
  <si>
    <t xml:space="preserve">small</t>
  </si>
  <si>
    <t xml:space="preserve">0.215221</t>
  </si>
  <si>
    <t xml:space="preserve">0.0223658</t>
  </si>
  <si>
    <t xml:space="preserve">425.964</t>
  </si>
  <si>
    <t xml:space="preserve">0.296723</t>
  </si>
  <si>
    <t xml:space="preserve">6.89987</t>
  </si>
  <si>
    <t xml:space="preserve">0.333891</t>
  </si>
  <si>
    <t xml:space="preserve">19.0062</t>
  </si>
  <si>
    <t xml:space="preserve">1.41646</t>
  </si>
  <si>
    <t xml:space="preserve">2232.57</t>
  </si>
  <si>
    <t xml:space="preserve">61.5977</t>
  </si>
  <si>
    <t xml:space="preserve">1.10856</t>
  </si>
  <si>
    <t xml:space="preserve">med</t>
  </si>
  <si>
    <t xml:space="preserve">0.147226</t>
  </si>
  <si>
    <t xml:space="preserve">0.0180008</t>
  </si>
  <si>
    <t xml:space="preserve">456.87</t>
  </si>
  <si>
    <t xml:space="preserve">0.127022</t>
  </si>
  <si>
    <t xml:space="preserve">4.7933</t>
  </si>
  <si>
    <t xml:space="preserve">0.140684</t>
  </si>
  <si>
    <t xml:space="preserve">11.1889</t>
  </si>
  <si>
    <t xml:space="preserve">0.7007</t>
  </si>
  <si>
    <t xml:space="preserve">9988.6</t>
  </si>
  <si>
    <t xml:space="preserve">138.1</t>
  </si>
  <si>
    <t xml:space="preserve">0.669495</t>
  </si>
  <si>
    <t xml:space="preserve">big</t>
  </si>
  <si>
    <t xml:space="preserve">0.269085</t>
  </si>
  <si>
    <t xml:space="preserve">0.0276246</t>
  </si>
  <si>
    <t xml:space="preserve">481.322</t>
  </si>
  <si>
    <t xml:space="preserve">0.116233</t>
  </si>
  <si>
    <t xml:space="preserve">3.82073</t>
  </si>
  <si>
    <t xml:space="preserve">0.0502504</t>
  </si>
  <si>
    <t xml:space="preserve">6.71323</t>
  </si>
  <si>
    <t xml:space="preserve">0.322673</t>
  </si>
  <si>
    <t xml:space="preserve">50364.5</t>
  </si>
  <si>
    <t xml:space="preserve">235.943</t>
  </si>
  <si>
    <t xml:space="preserve">0.953005</t>
  </si>
  <si>
    <t xml:space="preserve">MultiDireita1</t>
  </si>
  <si>
    <t xml:space="preserve">-</t>
  </si>
  <si>
    <t xml:space="preserve">497.884</t>
  </si>
  <si>
    <t xml:space="preserve">0.853364</t>
  </si>
  <si>
    <t xml:space="preserve">6.61435</t>
  </si>
  <si>
    <t xml:space="preserve">2.09741</t>
  </si>
  <si>
    <t xml:space="preserve">603.722</t>
  </si>
  <si>
    <t xml:space="preserve">162.158</t>
  </si>
  <si>
    <t xml:space="preserve">1.14247</t>
  </si>
  <si>
    <t xml:space="preserve">MultiDireita2</t>
  </si>
  <si>
    <t xml:space="preserve">513.2621</t>
  </si>
  <si>
    <t xml:space="preserve">0.39939</t>
  </si>
  <si>
    <t xml:space="preserve">4.16182</t>
  </si>
  <si>
    <t xml:space="preserve">0.840398</t>
  </si>
  <si>
    <t xml:space="preserve">222.958</t>
  </si>
  <si>
    <t xml:space="preserve">80.401</t>
  </si>
  <si>
    <t xml:space="preserve">Ntot</t>
  </si>
  <si>
    <t xml:space="preserve">Nfit</t>
  </si>
  <si>
    <t xml:space="preserve">62585.6</t>
  </si>
  <si>
    <t xml:space="preserve">Resolução</t>
  </si>
  <si>
    <t xml:space="preserve">E (keV)</t>
  </si>
  <si>
    <t xml:space="preserve">FWHM (keV)</t>
  </si>
  <si>
    <t xml:space="preserve">Resolução (\%)</t>
  </si>
  <si>
    <t xml:space="preserve">NAO SE USA OS MULTI 1 E 2 NA RESOLUÇAO </t>
  </si>
  <si>
    <t xml:space="preserve">Média</t>
  </si>
  <si>
    <t xml:space="preserve">deltaE</t>
  </si>
  <si>
    <t xml:space="preserve">Pulso</t>
  </si>
  <si>
    <t xml:space="preserve">Canal</t>
  </si>
  <si>
    <t xml:space="preserve">Contagens</t>
  </si>
  <si>
    <t xml:space="preserve">sigma estatistico</t>
  </si>
  <si>
    <t xml:space="preserve">Centróide</t>
  </si>
  <si>
    <t xml:space="preserve">Prateleira</t>
  </si>
  <si>
    <t xml:space="preserve">d(mm)</t>
  </si>
  <si>
    <t xml:space="preserve">1/eficiencia</t>
  </si>
  <si>
    <t xml:space="preserve">t_aq (s)</t>
  </si>
  <si>
    <t xml:space="preserve">N_s</t>
  </si>
  <si>
    <t xml:space="preserve">Erro N_s</t>
  </si>
  <si>
    <t xml:space="preserve">Alcance</t>
  </si>
  <si>
    <t xml:space="preserve">dE/dx</t>
  </si>
  <si>
    <t xml:space="preserve">O</t>
  </si>
  <si>
    <t xml:space="preserve">0.2 O + 0.8 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</si>
</sst>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0"/>
    <numFmt numFmtId="168" formatCode="#,##0.000"/>
    <numFmt numFmtId="169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H7" headerRowCount="1" totalsRowCount="0" totalsRowShown="0">
  <autoFilter ref="A1:H7"/>
  <tableColumns count="8">
    <tableColumn id="1" name="Range"/>
    <tableColumn id="2" name="N_t"/>
    <tableColumn id="3" name="Erro N_t"/>
    <tableColumn id="4" name="FWHM"/>
    <tableColumn id="5" name="C"/>
    <tableColumn id="6" name="Erro C"/>
    <tableColumn id="7" name="V_0"/>
    <tableColumn id="8" name="G"/>
  </tableColumns>
</table>
</file>

<file path=xl/tables/table2.xml><?xml version="1.0" encoding="utf-8"?>
<table xmlns="http://schemas.openxmlformats.org/spreadsheetml/2006/main" id="2" name="Tabela24" displayName="Tabela24" ref="A1:F7" headerRowCount="1" totalsRowCount="0" totalsRowShown="0">
  <autoFilter ref="A1:F7"/>
  <tableColumns count="6">
    <tableColumn id="1" name="Tensão (V)"/>
    <tableColumn id="2" name="N_t"/>
    <tableColumn id="3" name="Erro N_t"/>
    <tableColumn id="4" name="FWHM"/>
    <tableColumn id="5" name="C"/>
    <tableColumn id="6" name="Erro C"/>
  </tableColumns>
</table>
</file>

<file path=xl/tables/table3.xml><?xml version="1.0" encoding="utf-8"?>
<table xmlns="http://schemas.openxmlformats.org/spreadsheetml/2006/main" id="3" name="Tabela5" displayName="Tabela5" ref="A1:K8" headerRowCount="1" totalsRowCount="0" totalsRowShown="0">
  <autoFilter ref="A1:K8"/>
  <tableColumns count="11">
    <tableColumn id="1" name="Prateleira"/>
    <tableColumn id="2" name="d(mm)"/>
    <tableColumn id="3" name="1/eficiencia"/>
    <tableColumn id="4" name="t_aq (s)"/>
    <tableColumn id="5" name="N_t"/>
    <tableColumn id="6" name="Erro N_t"/>
    <tableColumn id="7" name="N_s"/>
    <tableColumn id="8" name="Erro N_s"/>
    <tableColumn id="9" name="FWHM"/>
    <tableColumn id="10" name="C"/>
    <tableColumn id="11" name="Erro 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RowHeight="14.5"/>
  <cols>
    <col collapsed="false" hidden="false" max="1" min="1" style="0" width="15.0485829959514"/>
    <col collapsed="false" hidden="false" max="2" min="2" style="0" width="11.7125506072874"/>
    <col collapsed="false" hidden="false" max="3" min="3" style="0" width="17.4251012145749"/>
    <col collapsed="false" hidden="false" max="4" min="4" style="0" width="15.6194331983806"/>
    <col collapsed="false" hidden="false" max="5" min="5" style="0" width="16.8542510121458"/>
    <col collapsed="false" hidden="false" max="6" min="6" style="0" width="14.6599190283401"/>
    <col collapsed="false" hidden="false" max="1025" min="7" style="0" width="12.1821862348178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5" hidden="false" customHeight="false" outlineLevel="0" collapsed="false">
      <c r="A2" s="2" t="s">
        <v>8</v>
      </c>
      <c r="B2" s="3" t="n">
        <v>87</v>
      </c>
      <c r="C2" s="3" t="n">
        <v>9</v>
      </c>
      <c r="D2" s="3" t="n">
        <v>3.93</v>
      </c>
      <c r="E2" s="4" t="n">
        <v>630.35</v>
      </c>
      <c r="F2" s="4" t="n">
        <f aca="false">D2/(2.355*SQRT(B2))</f>
        <v>0.17891304721497</v>
      </c>
      <c r="G2" s="3" t="n">
        <v>3</v>
      </c>
      <c r="H2" s="3" t="n">
        <v>2</v>
      </c>
    </row>
    <row r="3" customFormat="false" ht="14.5" hidden="false" customHeight="false" outlineLevel="0" collapsed="false">
      <c r="A3" s="2" t="s">
        <v>9</v>
      </c>
      <c r="B3" s="3" t="n">
        <v>84</v>
      </c>
      <c r="C3" s="3" t="n">
        <v>9</v>
      </c>
      <c r="D3" s="3" t="n">
        <v>5.16</v>
      </c>
      <c r="E3" s="4" t="n">
        <v>633.23</v>
      </c>
      <c r="F3" s="4" t="n">
        <f aca="false">D3/(2.355*SQRT(B3))</f>
        <v>0.23906673325217</v>
      </c>
      <c r="G3" s="3" t="n">
        <v>4</v>
      </c>
      <c r="H3" s="3" t="n">
        <v>3.33</v>
      </c>
    </row>
    <row r="4" customFormat="false" ht="14.5" hidden="false" customHeight="false" outlineLevel="0" collapsed="false">
      <c r="A4" s="2" t="s">
        <v>10</v>
      </c>
      <c r="B4" s="3" t="n">
        <v>1</v>
      </c>
      <c r="C4" s="3"/>
      <c r="D4" s="3"/>
      <c r="E4" s="4" t="n">
        <v>0</v>
      </c>
      <c r="F4" s="4" t="n">
        <f aca="false">D4/(2.355*SQRT(B4))</f>
        <v>0</v>
      </c>
      <c r="G4" s="3" t="n">
        <v>3</v>
      </c>
      <c r="H4" s="3" t="n">
        <v>5</v>
      </c>
    </row>
    <row r="5" customFormat="false" ht="14.5" hidden="false" customHeight="false" outlineLevel="0" collapsed="false">
      <c r="A5" s="2" t="s">
        <v>11</v>
      </c>
      <c r="B5" s="3" t="n">
        <v>91</v>
      </c>
      <c r="C5" s="3" t="n">
        <v>10</v>
      </c>
      <c r="D5" s="3" t="n">
        <v>1.57</v>
      </c>
      <c r="E5" s="4" t="n">
        <v>932</v>
      </c>
      <c r="F5" s="4" t="n">
        <f aca="false">D5/(2.355*SQRT(B5))</f>
        <v>0.0698856557814612</v>
      </c>
      <c r="G5" s="3" t="n">
        <v>4</v>
      </c>
      <c r="H5" s="3" t="n">
        <v>5</v>
      </c>
    </row>
    <row r="6" customFormat="false" ht="14.5" hidden="false" customHeight="false" outlineLevel="0" collapsed="false">
      <c r="A6" s="2" t="s">
        <v>12</v>
      </c>
      <c r="B6" s="3" t="n">
        <v>84</v>
      </c>
      <c r="C6" s="3" t="n">
        <v>9</v>
      </c>
      <c r="D6" s="3" t="n">
        <v>7.69</v>
      </c>
      <c r="E6" s="4" t="n">
        <v>347.42</v>
      </c>
      <c r="F6" s="4" t="n">
        <f aca="false">D6/(2.355*SQRT(B6))</f>
        <v>0.356283561765346</v>
      </c>
      <c r="G6" s="3" t="n">
        <v>5</v>
      </c>
      <c r="H6" s="3" t="n">
        <v>5</v>
      </c>
    </row>
    <row r="7" customFormat="false" ht="14.5" hidden="false" customHeight="false" outlineLevel="0" collapsed="false">
      <c r="A7" s="2" t="s">
        <v>13</v>
      </c>
      <c r="B7" s="3" t="n">
        <v>0</v>
      </c>
      <c r="C7" s="3" t="n">
        <v>0</v>
      </c>
      <c r="D7" s="3"/>
      <c r="E7" s="5" t="n">
        <v>0</v>
      </c>
      <c r="F7" s="4" t="e">
        <f aca="false">D7/(2.355*SQRT(B7))</f>
        <v>#DIV/0!</v>
      </c>
      <c r="G7" s="3" t="n">
        <v>6</v>
      </c>
      <c r="H7" s="3" t="n">
        <v>5</v>
      </c>
    </row>
    <row r="9" customFormat="false" ht="14.5" hidden="false" customHeight="false" outlineLevel="0" collapsed="false">
      <c r="A9" s="3" t="s">
        <v>14</v>
      </c>
    </row>
    <row r="10" customFormat="false" ht="14.5" hidden="false" customHeight="false" outlineLevel="0" collapsed="false">
      <c r="A10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G16" activeCellId="0" sqref="G16"/>
    </sheetView>
  </sheetViews>
  <sheetFormatPr defaultRowHeight="14.5"/>
  <cols>
    <col collapsed="false" hidden="false" max="1" min="1" style="0" width="20.2793522267206"/>
    <col collapsed="false" hidden="false" max="2" min="2" style="0" width="16.7611336032389"/>
    <col collapsed="false" hidden="false" max="3" min="3" style="0" width="17.4251012145749"/>
    <col collapsed="false" hidden="false" max="4" min="4" style="0" width="15.6194331983806"/>
    <col collapsed="false" hidden="false" max="5" min="5" style="0" width="12.1821862348178"/>
    <col collapsed="false" hidden="false" max="6" min="6" style="0" width="16.1902834008097"/>
    <col collapsed="false" hidden="false" max="10" min="7" style="0" width="12.1821862348178"/>
    <col collapsed="false" hidden="false" max="11" min="11" style="0" width="16.7611336032389"/>
    <col collapsed="false" hidden="false" max="1025" min="12" style="0" width="12.1821862348178"/>
  </cols>
  <sheetData>
    <row r="1" customFormat="false" ht="14.5" hidden="false" customHeight="false" outlineLevel="0" collapsed="false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2" t="s">
        <v>17</v>
      </c>
      <c r="B2" s="3" t="n">
        <v>883</v>
      </c>
      <c r="C2" s="3" t="n">
        <v>30</v>
      </c>
      <c r="D2" s="3" t="n">
        <v>3.98</v>
      </c>
      <c r="E2" s="4" t="n">
        <v>49.4</v>
      </c>
      <c r="F2" s="4" t="n">
        <f aca="false">D2/(2.355*SQRT(B2))</f>
        <v>0.0568737426917524</v>
      </c>
    </row>
    <row r="3" customFormat="false" ht="14.5" hidden="false" customHeight="false" outlineLevel="0" collapsed="false">
      <c r="A3" s="2" t="s">
        <v>18</v>
      </c>
      <c r="B3" s="3" t="n">
        <v>882</v>
      </c>
      <c r="C3" s="3" t="n">
        <v>30</v>
      </c>
      <c r="D3" s="3" t="n">
        <v>4.96</v>
      </c>
      <c r="E3" s="4" t="n">
        <v>228.47</v>
      </c>
      <c r="F3" s="4" t="n">
        <f aca="false">D3/(2.355*SQRT(B3))</f>
        <v>0.070917998881514</v>
      </c>
    </row>
    <row r="4" customFormat="false" ht="14.5" hidden="false" customHeight="false" outlineLevel="0" collapsed="false">
      <c r="A4" s="2" t="s">
        <v>19</v>
      </c>
      <c r="B4" s="3" t="n">
        <v>883</v>
      </c>
      <c r="C4" s="3" t="n">
        <v>30</v>
      </c>
      <c r="D4" s="3" t="n">
        <v>4.16</v>
      </c>
      <c r="E4" s="4" t="n">
        <v>403.5</v>
      </c>
      <c r="F4" s="4" t="n">
        <f aca="false">D4/(2.355*SQRT(B4))</f>
        <v>0.0594459220094698</v>
      </c>
    </row>
    <row r="5" customFormat="false" ht="14.5" hidden="false" customHeight="false" outlineLevel="0" collapsed="false">
      <c r="A5" s="2" t="s">
        <v>20</v>
      </c>
      <c r="B5" s="3" t="n">
        <v>883</v>
      </c>
      <c r="C5" s="3" t="n">
        <v>30</v>
      </c>
      <c r="D5" s="3" t="n">
        <v>3.87</v>
      </c>
      <c r="E5" s="4" t="n">
        <v>573.56</v>
      </c>
      <c r="F5" s="4" t="n">
        <f aca="false">D5/(2.355*SQRT(B5))</f>
        <v>0.0553018553309251</v>
      </c>
    </row>
    <row r="6" customFormat="false" ht="14.5" hidden="false" customHeight="false" outlineLevel="0" collapsed="false">
      <c r="A6" s="2" t="s">
        <v>21</v>
      </c>
      <c r="B6" s="3" t="n">
        <v>883</v>
      </c>
      <c r="C6" s="3" t="n">
        <v>30</v>
      </c>
      <c r="D6" s="3" t="n">
        <v>4.41</v>
      </c>
      <c r="E6" s="4" t="n">
        <v>742.07</v>
      </c>
      <c r="F6" s="4" t="n">
        <f aca="false">D6/(2.355*SQRT(B6))</f>
        <v>0.0630183932840774</v>
      </c>
    </row>
    <row r="7" customFormat="false" ht="14.5" hidden="false" customHeight="false" outlineLevel="0" collapsed="false">
      <c r="A7" s="2" t="s">
        <v>22</v>
      </c>
      <c r="B7" s="3" t="n">
        <v>883</v>
      </c>
      <c r="C7" s="3" t="n">
        <v>30</v>
      </c>
      <c r="D7" s="3" t="n">
        <v>3.75</v>
      </c>
      <c r="E7" s="4" t="n">
        <v>918.28</v>
      </c>
      <c r="F7" s="4" t="n">
        <f aca="false">D7/(2.355*SQRT(B7))</f>
        <v>0.0535870691191134</v>
      </c>
    </row>
    <row r="9" customFormat="false" ht="14.5" hidden="false" customHeight="false" outlineLevel="0" collapsed="false">
      <c r="D9" s="7"/>
      <c r="H9" s="8" t="s">
        <v>23</v>
      </c>
      <c r="I9" s="8"/>
      <c r="J9" s="8"/>
      <c r="K9" s="8"/>
    </row>
    <row r="10" customFormat="false" ht="14.5" hidden="false" customHeight="false" outlineLevel="0" collapsed="false">
      <c r="A10" s="8" t="s">
        <v>24</v>
      </c>
      <c r="B10" s="8"/>
      <c r="C10" s="8"/>
      <c r="G10" s="7"/>
      <c r="H10" s="3" t="s">
        <v>25</v>
      </c>
      <c r="I10" s="3" t="s">
        <v>26</v>
      </c>
      <c r="J10" s="3" t="s">
        <v>27</v>
      </c>
      <c r="K10" s="3" t="s">
        <v>28</v>
      </c>
      <c r="L10" s="3" t="s">
        <v>29</v>
      </c>
      <c r="M10" s="3" t="s">
        <v>30</v>
      </c>
    </row>
    <row r="11" customFormat="false" ht="14.5" hidden="false" customHeight="false" outlineLevel="0" collapsed="false">
      <c r="A11" s="3" t="s">
        <v>3</v>
      </c>
      <c r="B11" s="3" t="s">
        <v>31</v>
      </c>
      <c r="C11" s="6" t="s">
        <v>32</v>
      </c>
      <c r="D11" s="3" t="s">
        <v>33</v>
      </c>
      <c r="H11" s="3" t="n">
        <f aca="false">D12/(A16*B12+C16)*1000</f>
        <v>1038.10944591765</v>
      </c>
      <c r="I11" s="3" t="n">
        <f aca="false">SQRT(POWER(B12*H11*B16/(A16*B12+C16),2)+POWER(H11*D16/(A16*B12+C16),2)+POWER(A16*H11*C12/(A16*B12+C16),2))</f>
        <v>0.126812835635835</v>
      </c>
      <c r="J11" s="3" t="n">
        <f aca="false">H11*A16</f>
        <v>1.79872185584705</v>
      </c>
      <c r="K11" s="0" t="n">
        <f aca="false">SQRT((J11/H11*I11)^2+(J11/A16*B16)^2)</f>
        <v>0.000260615921465943</v>
      </c>
      <c r="L11" s="3" t="n">
        <f aca="false">H11*C16</f>
        <v>4680.08805284162</v>
      </c>
      <c r="M11" s="0" t="n">
        <f aca="false">(L11/H11*I11+L11/C16*D16)</f>
        <v>0.654756526313733</v>
      </c>
    </row>
    <row r="12" customFormat="false" ht="14.5" hidden="false" customHeight="false" outlineLevel="0" collapsed="false">
      <c r="A12" s="9" t="n">
        <v>7.69</v>
      </c>
      <c r="B12" s="3" t="n">
        <v>347.42</v>
      </c>
      <c r="C12" s="10" t="n">
        <v>0.356283561765346</v>
      </c>
      <c r="D12" s="11" t="n">
        <v>5.305</v>
      </c>
      <c r="H12" s="7"/>
      <c r="M12" s="7"/>
    </row>
    <row r="14" customFormat="false" ht="14.5" hidden="false" customHeight="false" outlineLevel="0" collapsed="false">
      <c r="A14" s="8" t="s">
        <v>34</v>
      </c>
      <c r="B14" s="8"/>
      <c r="C14" s="8"/>
      <c r="D14" s="8"/>
    </row>
    <row r="15" customFormat="false" ht="14.5" hidden="false" customHeight="false" outlineLevel="0" collapsed="false">
      <c r="A15" s="3" t="s">
        <v>35</v>
      </c>
      <c r="B15" s="3" t="s">
        <v>36</v>
      </c>
      <c r="C15" s="3" t="s">
        <v>37</v>
      </c>
      <c r="D15" s="3" t="s">
        <v>38</v>
      </c>
    </row>
    <row r="16" customFormat="false" ht="14.5" hidden="false" customHeight="false" outlineLevel="0" collapsed="false">
      <c r="A16" s="3" t="n">
        <v>0.00173269</v>
      </c>
      <c r="B16" s="3" t="n">
        <v>1.35E-007</v>
      </c>
      <c r="C16" s="3" t="n">
        <v>4.50828</v>
      </c>
      <c r="D16" s="3" t="n">
        <v>8E-005</v>
      </c>
    </row>
  </sheetData>
  <mergeCells count="3">
    <mergeCell ref="H9:K9"/>
    <mergeCell ref="A10:C10"/>
    <mergeCell ref="A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4.5"/>
  <cols>
    <col collapsed="false" hidden="false" max="2" min="1" style="0" width="12.1821862348178"/>
    <col collapsed="false" hidden="false" max="3" min="3" style="0" width="16.8542510121458"/>
    <col collapsed="false" hidden="false" max="5" min="4" style="0" width="12.1821862348178"/>
    <col collapsed="false" hidden="false" max="6" min="6" style="0" width="15.995951417004"/>
    <col collapsed="false" hidden="false" max="7" min="7" style="0" width="12.1821862348178"/>
    <col collapsed="false" hidden="false" max="8" min="8" style="0" width="21.5182186234818"/>
    <col collapsed="false" hidden="false" max="1025" min="9" style="0" width="12.1821862348178"/>
  </cols>
  <sheetData>
    <row r="1" customFormat="false" ht="14.5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41</v>
      </c>
      <c r="F1" s="0" t="s">
        <v>43</v>
      </c>
      <c r="G1" s="0" t="s">
        <v>41</v>
      </c>
      <c r="H1" s="0" t="s">
        <v>44</v>
      </c>
      <c r="I1" s="0" t="s">
        <v>41</v>
      </c>
      <c r="J1" s="0" t="s">
        <v>45</v>
      </c>
      <c r="K1" s="0" t="s">
        <v>41</v>
      </c>
      <c r="L1" s="0" t="s">
        <v>46</v>
      </c>
    </row>
    <row r="2" customFormat="false" ht="13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  <c r="I2" s="0" t="s">
        <v>55</v>
      </c>
      <c r="J2" s="0" t="s">
        <v>56</v>
      </c>
      <c r="K2" s="0" t="s">
        <v>57</v>
      </c>
      <c r="L2" s="0" t="s">
        <v>58</v>
      </c>
    </row>
    <row r="3" customFormat="false" ht="14.5" hidden="false" customHeight="false" outlineLevel="0" collapsed="false">
      <c r="A3" s="0" t="s">
        <v>59</v>
      </c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  <c r="G3" s="0" t="s">
        <v>65</v>
      </c>
      <c r="H3" s="0" t="s">
        <v>66</v>
      </c>
      <c r="I3" s="0" t="s">
        <v>67</v>
      </c>
      <c r="J3" s="0" t="s">
        <v>68</v>
      </c>
      <c r="K3" s="0" t="s">
        <v>69</v>
      </c>
      <c r="L3" s="0" t="s">
        <v>70</v>
      </c>
    </row>
    <row r="4" customFormat="false" ht="13.8" hidden="false" customHeight="false" outlineLevel="0" collapsed="false">
      <c r="A4" s="0" t="s">
        <v>71</v>
      </c>
      <c r="B4" s="0" t="s">
        <v>72</v>
      </c>
      <c r="C4" s="0" t="s">
        <v>73</v>
      </c>
      <c r="D4" s="0" t="s">
        <v>74</v>
      </c>
      <c r="E4" s="0" t="s">
        <v>75</v>
      </c>
      <c r="F4" s="0" t="s">
        <v>76</v>
      </c>
      <c r="G4" s="0" t="s">
        <v>77</v>
      </c>
      <c r="H4" s="0" t="s">
        <v>78</v>
      </c>
      <c r="I4" s="0" t="s">
        <v>79</v>
      </c>
      <c r="J4" s="0" t="s">
        <v>80</v>
      </c>
      <c r="K4" s="0" t="s">
        <v>81</v>
      </c>
      <c r="L4" s="0" t="s">
        <v>82</v>
      </c>
    </row>
    <row r="5" customFormat="false" ht="13.8" hidden="false" customHeight="false" outlineLevel="0" collapsed="false">
      <c r="A5" s="0" t="s">
        <v>83</v>
      </c>
      <c r="B5" s="0" t="s">
        <v>84</v>
      </c>
      <c r="C5" s="0" t="s">
        <v>84</v>
      </c>
      <c r="D5" s="0" t="s">
        <v>85</v>
      </c>
      <c r="E5" s="0" t="s">
        <v>86</v>
      </c>
      <c r="F5" s="0" t="s">
        <v>87</v>
      </c>
      <c r="G5" s="0" t="s">
        <v>88</v>
      </c>
      <c r="H5" s="0" t="s">
        <v>84</v>
      </c>
      <c r="I5" s="0" t="s">
        <v>84</v>
      </c>
      <c r="J5" s="0" t="s">
        <v>89</v>
      </c>
      <c r="K5" s="0" t="s">
        <v>90</v>
      </c>
      <c r="L5" s="0" t="s">
        <v>91</v>
      </c>
    </row>
    <row r="6" customFormat="false" ht="13.8" hidden="false" customHeight="false" outlineLevel="0" collapsed="false">
      <c r="A6" s="0" t="s">
        <v>92</v>
      </c>
      <c r="B6" s="0" t="s">
        <v>84</v>
      </c>
      <c r="C6" s="0" t="s">
        <v>84</v>
      </c>
      <c r="D6" s="0" t="s">
        <v>93</v>
      </c>
      <c r="E6" s="0" t="s">
        <v>94</v>
      </c>
      <c r="F6" s="0" t="s">
        <v>95</v>
      </c>
      <c r="G6" s="0" t="s">
        <v>96</v>
      </c>
      <c r="H6" s="0" t="s">
        <v>84</v>
      </c>
      <c r="I6" s="0" t="s">
        <v>84</v>
      </c>
      <c r="J6" s="0" t="s">
        <v>97</v>
      </c>
      <c r="K6" s="0" t="s">
        <v>98</v>
      </c>
      <c r="L6" s="0" t="s">
        <v>91</v>
      </c>
    </row>
    <row r="7" customFormat="false" ht="13.8" hidden="false" customHeight="false" outlineLevel="0" collapsed="false">
      <c r="A7" s="0" t="s">
        <v>99</v>
      </c>
      <c r="B7" s="0" t="s">
        <v>100</v>
      </c>
    </row>
    <row r="8" customFormat="false" ht="13.8" hidden="false" customHeight="false" outlineLevel="0" collapsed="false">
      <c r="A8" s="0" t="n">
        <v>62414</v>
      </c>
      <c r="B8" s="0" t="s">
        <v>101</v>
      </c>
    </row>
    <row r="9" customFormat="false" ht="13.8" hidden="false" customHeight="false" outlineLevel="0" collapsed="false"/>
    <row r="10" customFormat="false" ht="14.5" hidden="false" customHeight="false" outlineLevel="0" collapsed="false">
      <c r="A10" s="12" t="s">
        <v>102</v>
      </c>
      <c r="B10" s="12"/>
      <c r="C10" s="12"/>
    </row>
    <row r="11" customFormat="false" ht="14.5" hidden="false" customHeight="false" outlineLevel="0" collapsed="false">
      <c r="A11" s="13" t="s">
        <v>39</v>
      </c>
      <c r="B11" s="14" t="s">
        <v>103</v>
      </c>
      <c r="C11" s="14" t="s">
        <v>41</v>
      </c>
      <c r="D11" s="14" t="s">
        <v>3</v>
      </c>
      <c r="E11" s="14" t="s">
        <v>41</v>
      </c>
      <c r="F11" s="14" t="s">
        <v>104</v>
      </c>
      <c r="G11" s="14" t="s">
        <v>41</v>
      </c>
      <c r="H11" s="14" t="s">
        <v>105</v>
      </c>
      <c r="I11" s="14" t="s">
        <v>41</v>
      </c>
    </row>
    <row r="12" customFormat="false" ht="13.8" hidden="false" customHeight="false" outlineLevel="0" collapsed="false">
      <c r="A12" s="15" t="s">
        <v>47</v>
      </c>
      <c r="B12" s="3" t="n">
        <f aca="false">D2*'Calibração - Semana 1'!J$11+'Calibração - Semana 1'!L$11</f>
        <v>5446.27880944565</v>
      </c>
      <c r="C12" s="3" t="n">
        <f aca="false">SQRT(('Calibração - Semana 1'!K$11*D2)^2+(E2*'Calibração - Semana 1'!J$11)^2+'Calibração - Semana 1'!M$11^2)</f>
        <v>0.851991386877505</v>
      </c>
      <c r="D12" s="3" t="n">
        <f aca="false">F2*2.355</f>
        <v>16.24919385</v>
      </c>
      <c r="E12" s="3" t="n">
        <f aca="false">G2*2.355</f>
        <v>0.786313305</v>
      </c>
      <c r="F12" s="3" t="n">
        <f aca="false">D12*'Calibração - Semana 1'!J$11</f>
        <v>29.2277801178905</v>
      </c>
      <c r="G12" s="3" t="n">
        <f aca="false">SQRT((D12*'Calibração - Semana 1'!K$11)^2+('Calibração - Semana 1'!J$11*E12)^2)</f>
        <v>1.41436526703756</v>
      </c>
      <c r="H12" s="3" t="n">
        <f aca="false">F12/B12*100</f>
        <v>0.536655965302398</v>
      </c>
      <c r="I12" s="3" t="n">
        <f aca="false">SQRT((E12/B12)^2+(D12*C12/(B12)^2)^2)*100</f>
        <v>0.0144377003315694</v>
      </c>
    </row>
    <row r="13" customFormat="false" ht="14.5" hidden="false" customHeight="false" outlineLevel="0" collapsed="false">
      <c r="A13" s="15" t="s">
        <v>59</v>
      </c>
      <c r="B13" s="3" t="n">
        <f aca="false">D3*'Calibração - Semana 1'!J$11+'Calibração - Semana 1'!L$11</f>
        <v>5501.87010712246</v>
      </c>
      <c r="C13" s="3" t="n">
        <f aca="false">SQRT(('Calibração - Semana 1'!K$11*D3)^2+(E3*'Calibração - Semana 1'!J$11)^2+'Calibração - Semana 1'!M$11^2)</f>
        <v>0.703622806506386</v>
      </c>
      <c r="D13" s="3" t="n">
        <f aca="false">F3*2.355</f>
        <v>11.2882215</v>
      </c>
      <c r="E13" s="3" t="n">
        <f aca="false">G3*2.355</f>
        <v>0.33131082</v>
      </c>
      <c r="F13" s="3" t="n">
        <f aca="false">D13*'Calibração - Semana 1'!J$11</f>
        <v>20.3043707256926</v>
      </c>
      <c r="G13" s="3" t="n">
        <f aca="false">SQRT((D13*'Calibração - Semana 1'!K$11)^2+('Calibração - Semana 1'!J$11*E13)^2)</f>
        <v>0.59594327441762</v>
      </c>
      <c r="H13" s="3" t="n">
        <f aca="false">F13/B13*100</f>
        <v>0.369044894378868</v>
      </c>
      <c r="I13" s="3" t="n">
        <f aca="false">SQRT((E13/B13)^2+(D13*C13/(B13)^2)^2)*100</f>
        <v>0.00602184273179161</v>
      </c>
    </row>
    <row r="14" customFormat="false" ht="13.8" hidden="false" customHeight="false" outlineLevel="0" collapsed="false">
      <c r="A14" s="15" t="s">
        <v>71</v>
      </c>
      <c r="B14" s="3" t="n">
        <f aca="false">D4*'Calibração - Semana 1'!J$11+'Calibração - Semana 1'!L$11</f>
        <v>5545.85245394163</v>
      </c>
      <c r="C14" s="3" t="n">
        <f aca="false">SQRT(('Calibração - Semana 1'!K$11*D4)^2+(E4*'Calibração - Semana 1'!J$11)^2+'Calibração - Semana 1'!M$11^2)</f>
        <v>0.698678725684751</v>
      </c>
      <c r="D14" s="3" t="n">
        <f aca="false">F4*2.355</f>
        <v>8.99781915</v>
      </c>
      <c r="E14" s="3" t="n">
        <f aca="false">G4*2.355</f>
        <v>0.118339692</v>
      </c>
      <c r="F14" s="3" t="n">
        <f aca="false">D14*'Calibração - Semana 1'!J$11</f>
        <v>16.1845739600641</v>
      </c>
      <c r="G14" s="3" t="n">
        <f aca="false">SQRT((D14*'Calibração - Semana 1'!K$11)^2+('Calibração - Semana 1'!J$11*E14)^2)</f>
        <v>0.212873106734413</v>
      </c>
      <c r="H14" s="3" t="n">
        <f aca="false">F14/B14*100</f>
        <v>0.291832032937717</v>
      </c>
      <c r="I14" s="3" t="n">
        <f aca="false">SQRT((E14/B14)^2+(D14*C14/(B14)^2)^2)*100</f>
        <v>0.002133939227858</v>
      </c>
    </row>
    <row r="15" customFormat="false" ht="13.8" hidden="false" customHeight="false" outlineLevel="0" collapsed="false">
      <c r="A15" s="0" t="s">
        <v>83</v>
      </c>
      <c r="B15" s="3" t="n">
        <f aca="false">D5*'Calibração - Semana 1'!J$11+'Calibração - Semana 1'!L$11</f>
        <v>5575.64288531817</v>
      </c>
      <c r="C15" s="3" t="n">
        <f aca="false">SQRT(('Calibração - Semana 1'!K$11*D5)^2+(E5*'Calibração - Semana 1'!J$11)^2+'Calibração - Semana 1'!M$11^2)</f>
        <v>1.6738156426159</v>
      </c>
      <c r="D15" s="3" t="n">
        <f aca="false">F5*2.355</f>
        <v>15.57679425</v>
      </c>
      <c r="E15" s="3" t="n">
        <f aca="false">G5*2.355</f>
        <v>4.93940055</v>
      </c>
      <c r="F15" s="3" t="n">
        <f aca="false">D15*'Calibração - Semana 1'!J$11</f>
        <v>28.0183202615077</v>
      </c>
      <c r="G15" s="3" t="n">
        <f aca="false">SQRT((D15*'Calibração - Semana 1'!K$11)^2+('Calibração - Semana 1'!J$11*E15)^2)</f>
        <v>8.88460865151639</v>
      </c>
      <c r="H15" s="3" t="n">
        <f aca="false">F15/B15*100</f>
        <v>0.502512819378833</v>
      </c>
      <c r="I15" s="3" t="n">
        <f aca="false">SQRT((E15/B15)^2+(D15*C15/(B15)^2)^2)*100</f>
        <v>0.0885889370084028</v>
      </c>
    </row>
    <row r="16" customFormat="false" ht="13.8" hidden="false" customHeight="false" outlineLevel="0" collapsed="false">
      <c r="A16" s="0" t="s">
        <v>92</v>
      </c>
      <c r="B16" s="3" t="n">
        <f aca="false">D6*'Calibração - Semana 1'!J$11+'Calibração - Semana 1'!L$11</f>
        <v>5603.30380988957</v>
      </c>
      <c r="C16" s="3" t="n">
        <f aca="false">SQRT(('Calibração - Semana 1'!K$11*D6)^2+(E6*'Calibração - Semana 1'!J$11)^2+'Calibração - Semana 1'!M$11^2)</f>
        <v>0.981165311732271</v>
      </c>
      <c r="D16" s="3" t="n">
        <f aca="false">F6*2.355</f>
        <v>9.8010861</v>
      </c>
      <c r="E16" s="3" t="n">
        <f aca="false">G6*2.355</f>
        <v>1.97913729</v>
      </c>
      <c r="F16" s="3" t="n">
        <f aca="false">D16*'Calibração - Semana 1'!J$11</f>
        <v>17.6294277791087</v>
      </c>
      <c r="G16" s="3" t="n">
        <f aca="false">SQRT((D16*'Calibração - Semana 1'!K$11)^2+('Calibração - Semana 1'!J$11*E16)^2)</f>
        <v>3.55991841563484</v>
      </c>
      <c r="H16" s="3" t="n">
        <f aca="false">F16/B16*100</f>
        <v>0.314625591922994</v>
      </c>
      <c r="I16" s="3" t="n">
        <f aca="false">SQRT((E16/B16)^2+(D16*C16/(B16)^2)^2)*100</f>
        <v>0.0353209124698743</v>
      </c>
    </row>
    <row r="18" customFormat="false" ht="13.8" hidden="false" customHeight="false" outlineLevel="0" collapsed="false">
      <c r="B18" s="8" t="s">
        <v>106</v>
      </c>
      <c r="C18" s="8"/>
      <c r="D18" s="8"/>
    </row>
    <row r="20" customFormat="false" ht="13.8" hidden="false" customHeight="false" outlineLevel="0" collapsed="false">
      <c r="A20" s="0" t="s">
        <v>107</v>
      </c>
      <c r="B20" s="0" t="s">
        <v>108</v>
      </c>
    </row>
    <row r="21" customFormat="false" ht="13.8" hidden="false" customHeight="false" outlineLevel="0" collapsed="false">
      <c r="A21" s="0" t="n">
        <f aca="false">SUM(B12:B14)/3</f>
        <v>5498.00045683658</v>
      </c>
      <c r="B21" s="0" t="n">
        <f aca="false">B12-A$21</f>
        <v>-51.7216473909293</v>
      </c>
    </row>
    <row r="22" customFormat="false" ht="13.8" hidden="false" customHeight="false" outlineLevel="0" collapsed="false">
      <c r="B22" s="0" t="n">
        <f aca="false">B13-A$21</f>
        <v>3.8696502858802</v>
      </c>
    </row>
    <row r="23" customFormat="false" ht="13.8" hidden="false" customHeight="false" outlineLevel="0" collapsed="false">
      <c r="B23" s="0" t="n">
        <f aca="false">B14-A$21</f>
        <v>47.8519971050509</v>
      </c>
    </row>
  </sheetData>
  <mergeCells count="2">
    <mergeCell ref="A10:C10"/>
    <mergeCell ref="B18:D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2" activeCellId="0" sqref="I32"/>
    </sheetView>
  </sheetViews>
  <sheetFormatPr defaultRowHeight="14.5"/>
  <cols>
    <col collapsed="false" hidden="false" max="1" min="1" style="0" width="14.8542510121458"/>
    <col collapsed="false" hidden="false" max="2" min="2" style="0" width="12.1821862348178"/>
    <col collapsed="false" hidden="false" max="3" min="3" style="0" width="18.1902834008097"/>
    <col collapsed="false" hidden="false" max="4" min="4" style="0" width="20.668016194332"/>
    <col collapsed="false" hidden="false" max="5" min="5" style="0" width="12.1821862348178"/>
    <col collapsed="false" hidden="false" max="6" min="6" style="0" width="18.1902834008097"/>
    <col collapsed="false" hidden="false" max="1025" min="7" style="0" width="12.1821862348178"/>
  </cols>
  <sheetData>
    <row r="1" customFormat="false" ht="14.5" hidden="false" customHeight="false" outlineLevel="0" collapsed="false">
      <c r="A1" s="3" t="s">
        <v>109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32</v>
      </c>
    </row>
    <row r="2" customFormat="false" ht="14.5" hidden="false" customHeight="false" outlineLevel="0" collapsed="false">
      <c r="A2" s="16" t="n">
        <v>0.5</v>
      </c>
      <c r="B2" s="17" t="n">
        <v>65</v>
      </c>
      <c r="C2" s="3" t="n">
        <v>37</v>
      </c>
      <c r="D2" s="18" t="n">
        <f aca="false">SQRT((POWER((B2-E2),2)*C2+POWER((B3-E2),2)*C3+POWER((B4-E2),2)*C4+POWER((B5-E2),2)*C5)/SUM(C2:C5))</f>
        <v>0.522911250025837</v>
      </c>
      <c r="E2" s="18" t="n">
        <f aca="false">(B2*C2+B3*C3+B4*C4+B5*C5)/(SUM(C2:C5))</f>
        <v>66.2400455062571</v>
      </c>
      <c r="F2" s="18" t="n">
        <f aca="false">D2/SQRT(SUM(C2:C5))</f>
        <v>0.0176373587174972</v>
      </c>
    </row>
    <row r="3" customFormat="false" ht="14.5" hidden="false" customHeight="false" outlineLevel="0" collapsed="false">
      <c r="A3" s="16"/>
      <c r="B3" s="3" t="n">
        <v>66</v>
      </c>
      <c r="C3" s="3" t="n">
        <v>597</v>
      </c>
      <c r="D3" s="18"/>
      <c r="E3" s="18"/>
      <c r="F3" s="18"/>
    </row>
    <row r="4" customFormat="false" ht="14.5" hidden="false" customHeight="false" outlineLevel="0" collapsed="false">
      <c r="A4" s="16"/>
      <c r="B4" s="3" t="n">
        <v>67</v>
      </c>
      <c r="C4" s="3" t="n">
        <v>242</v>
      </c>
      <c r="D4" s="18"/>
      <c r="E4" s="18"/>
      <c r="F4" s="18"/>
    </row>
    <row r="5" customFormat="false" ht="14.5" hidden="false" customHeight="false" outlineLevel="0" collapsed="false">
      <c r="A5" s="16"/>
      <c r="B5" s="3" t="n">
        <v>68</v>
      </c>
      <c r="C5" s="3" t="n">
        <v>3</v>
      </c>
      <c r="D5" s="18"/>
      <c r="E5" s="18"/>
      <c r="F5" s="18"/>
    </row>
    <row r="6" customFormat="false" ht="14.5" hidden="false" customHeight="false" outlineLevel="0" collapsed="false">
      <c r="A6" s="16" t="n">
        <v>1.5</v>
      </c>
      <c r="B6" s="3" t="n">
        <v>197</v>
      </c>
      <c r="C6" s="3" t="n">
        <v>121</v>
      </c>
      <c r="D6" s="18" t="n">
        <f aca="false">SQRT((POWER((B6-E6),2)*C6+POWER((B7-E6),2)*C7+POWER((B8-E6),2)*C8+POWER((B9-E6),2)*C9)/SUM(C6:C9))</f>
        <v>0.637220042619541</v>
      </c>
      <c r="E6" s="19" t="n">
        <f aca="false">(B6*C6+B7*C7+B8*C8+B9*C9)/(SUM(C6:C9))</f>
        <v>198.1</v>
      </c>
      <c r="F6" s="18" t="n">
        <f aca="false">D6/SQRT(SUM(C6:C9))</f>
        <v>0.0223896300598591</v>
      </c>
    </row>
    <row r="7" customFormat="false" ht="14.5" hidden="false" customHeight="false" outlineLevel="0" collapsed="false">
      <c r="A7" s="16"/>
      <c r="B7" s="3" t="n">
        <v>198</v>
      </c>
      <c r="C7" s="3" t="n">
        <v>494</v>
      </c>
      <c r="D7" s="18"/>
      <c r="E7" s="19"/>
      <c r="F7" s="18"/>
    </row>
    <row r="8" customFormat="false" ht="14.5" hidden="false" customHeight="false" outlineLevel="0" collapsed="false">
      <c r="A8" s="16"/>
      <c r="B8" s="3" t="n">
        <v>199</v>
      </c>
      <c r="C8" s="3" t="n">
        <v>188</v>
      </c>
      <c r="D8" s="18"/>
      <c r="E8" s="19"/>
      <c r="F8" s="18"/>
    </row>
    <row r="9" customFormat="false" ht="14.5" hidden="false" customHeight="false" outlineLevel="0" collapsed="false">
      <c r="A9" s="16"/>
      <c r="B9" s="3" t="n">
        <v>200</v>
      </c>
      <c r="C9" s="3" t="n">
        <v>7</v>
      </c>
      <c r="D9" s="18"/>
      <c r="E9" s="19"/>
      <c r="F9" s="18"/>
    </row>
    <row r="10" customFormat="false" ht="14.5" hidden="false" customHeight="false" outlineLevel="0" collapsed="false">
      <c r="A10" s="20" t="n">
        <v>2.5</v>
      </c>
      <c r="B10" s="3" t="n">
        <v>330</v>
      </c>
      <c r="C10" s="3" t="n">
        <v>154</v>
      </c>
      <c r="D10" s="18" t="n">
        <f aca="false">SQRT((POWER((B10-E10),2)*C10+POWER((B11-E10),2)*C11+POWER(B12-E10,2)*C12)/SUM(C10:C12))</f>
        <v>0.491286418539453</v>
      </c>
      <c r="E10" s="18" t="n">
        <f aca="false">(B10*C10+B11*C11+B12*C12)/(SUM(C10:C12))</f>
        <v>330.901136363636</v>
      </c>
      <c r="F10" s="21" t="n">
        <f aca="false">D10/SQRT(SUM(C10:C12))</f>
        <v>0.0165612617904679</v>
      </c>
    </row>
    <row r="11" customFormat="false" ht="14.5" hidden="false" customHeight="false" outlineLevel="0" collapsed="false">
      <c r="A11" s="20"/>
      <c r="B11" s="3" t="n">
        <v>331</v>
      </c>
      <c r="C11" s="3" t="n">
        <v>659</v>
      </c>
      <c r="D11" s="18"/>
      <c r="E11" s="18"/>
      <c r="F11" s="21"/>
    </row>
    <row r="12" customFormat="false" ht="14.5" hidden="false" customHeight="false" outlineLevel="0" collapsed="false">
      <c r="A12" s="20"/>
      <c r="B12" s="3" t="n">
        <v>332</v>
      </c>
      <c r="C12" s="3" t="n">
        <v>67</v>
      </c>
      <c r="D12" s="18"/>
      <c r="E12" s="18"/>
      <c r="F12" s="21"/>
    </row>
    <row r="13" customFormat="false" ht="14.5" hidden="false" customHeight="false" outlineLevel="0" collapsed="false">
      <c r="A13" s="16" t="n">
        <v>3.5</v>
      </c>
      <c r="B13" s="3" t="n">
        <v>463</v>
      </c>
      <c r="C13" s="3" t="n">
        <v>14</v>
      </c>
      <c r="D13" s="18" t="n">
        <f aca="false">SQRT((POWER((B13-E13),2)*C13+POWER((B14-E13),2)*C14+POWER(B15-E13,2)*C15+POWER(B16-E13,2)*C16)/SUM(C13:C16))</f>
        <v>0.510989762314357</v>
      </c>
      <c r="E13" s="18" t="n">
        <f aca="false">(B13*C13+B14*C14+B15*C15+B16*C16)/(SUM(C13:C16))</f>
        <v>464.334090909091</v>
      </c>
      <c r="F13" s="18" t="n">
        <f aca="false">D13/SQRT(SUM(C13:C16))</f>
        <v>0.0172254613736232</v>
      </c>
    </row>
    <row r="14" customFormat="false" ht="14.5" hidden="false" customHeight="false" outlineLevel="0" collapsed="false">
      <c r="A14" s="16"/>
      <c r="B14" s="3" t="n">
        <v>464</v>
      </c>
      <c r="C14" s="3" t="n">
        <v>561</v>
      </c>
      <c r="D14" s="18"/>
      <c r="E14" s="18"/>
      <c r="F14" s="18"/>
    </row>
    <row r="15" customFormat="false" ht="14.5" hidden="false" customHeight="false" outlineLevel="0" collapsed="false">
      <c r="A15" s="16"/>
      <c r="B15" s="3" t="n">
        <v>465</v>
      </c>
      <c r="C15" s="3" t="n">
        <v>302</v>
      </c>
      <c r="D15" s="18"/>
      <c r="E15" s="18"/>
      <c r="F15" s="18"/>
    </row>
    <row r="16" customFormat="false" ht="14.5" hidden="false" customHeight="false" outlineLevel="0" collapsed="false">
      <c r="A16" s="16"/>
      <c r="B16" s="3" t="n">
        <v>466</v>
      </c>
      <c r="C16" s="3" t="n">
        <v>3</v>
      </c>
      <c r="D16" s="18"/>
      <c r="E16" s="18"/>
      <c r="F16" s="18"/>
    </row>
    <row r="17" customFormat="false" ht="14.5" hidden="false" customHeight="false" outlineLevel="0" collapsed="false">
      <c r="A17" s="16" t="n">
        <v>4.5</v>
      </c>
      <c r="B17" s="3" t="n">
        <v>598</v>
      </c>
      <c r="C17" s="3" t="n">
        <v>86</v>
      </c>
      <c r="D17" s="18" t="n">
        <f aca="false">SQRT((POWER((B17-E17),2)*C17+POWER((B18-E17),2)*C18+POWER(B19-E17,2)*C19)/SUM(C17:C19))</f>
        <v>0.481466630423956</v>
      </c>
      <c r="E17" s="18" t="n">
        <f aca="false">(B17*C17+B18*C18+B19*C19)/(SUM(C17:C19))</f>
        <v>599.037542662116</v>
      </c>
      <c r="F17" s="18" t="n">
        <f aca="false">D17/SQRT(SUM(C17:C19))</f>
        <v>0.0162394663929536</v>
      </c>
    </row>
    <row r="18" customFormat="false" ht="14.5" hidden="false" customHeight="false" outlineLevel="0" collapsed="false">
      <c r="A18" s="16"/>
      <c r="B18" s="3" t="n">
        <v>599</v>
      </c>
      <c r="C18" s="3" t="n">
        <v>674</v>
      </c>
      <c r="D18" s="18"/>
      <c r="E18" s="18"/>
      <c r="F18" s="18"/>
    </row>
    <row r="19" customFormat="false" ht="14.5" hidden="false" customHeight="false" outlineLevel="0" collapsed="false">
      <c r="A19" s="16"/>
      <c r="B19" s="3" t="n">
        <v>600</v>
      </c>
      <c r="C19" s="3" t="n">
        <v>119</v>
      </c>
      <c r="D19" s="18"/>
      <c r="E19" s="18"/>
      <c r="F19" s="18"/>
    </row>
    <row r="20" customFormat="false" ht="14.5" hidden="false" customHeight="false" outlineLevel="0" collapsed="false">
      <c r="A20" s="16" t="n">
        <v>5.5</v>
      </c>
      <c r="B20" s="3" t="n">
        <v>733</v>
      </c>
      <c r="C20" s="3" t="n">
        <v>1</v>
      </c>
      <c r="D20" s="18" t="n">
        <f aca="false">SQRT((POWER((B20-E20),2)*C20+POWER((B21-E20),2)*C21+POWER(B22-E20,2)*C22+POWER(B23-E20,2)*C23)/SUM(C20:C23))</f>
        <v>0.519723335094089</v>
      </c>
      <c r="E20" s="18" t="n">
        <f aca="false">(B20*C20+B21*C21+B22*C22+B23*C23)/(SUM(C20:C23))</f>
        <v>734.823863636364</v>
      </c>
      <c r="F20" s="18" t="n">
        <f aca="false">D20/SQRT(SUM(C20:C23))</f>
        <v>0.0175198700519686</v>
      </c>
    </row>
    <row r="21" customFormat="false" ht="14.5" hidden="false" customHeight="false" outlineLevel="0" collapsed="false">
      <c r="A21" s="16"/>
      <c r="B21" s="3" t="n">
        <v>734</v>
      </c>
      <c r="C21" s="3" t="n">
        <v>207</v>
      </c>
      <c r="D21" s="18"/>
      <c r="E21" s="18"/>
      <c r="F21" s="18"/>
    </row>
    <row r="22" customFormat="false" ht="14.5" hidden="false" customHeight="false" outlineLevel="0" collapsed="false">
      <c r="A22" s="16"/>
      <c r="B22" s="3" t="n">
        <v>735</v>
      </c>
      <c r="C22" s="3" t="n">
        <v>618</v>
      </c>
      <c r="D22" s="18"/>
      <c r="E22" s="18"/>
      <c r="F22" s="18"/>
    </row>
    <row r="23" customFormat="false" ht="14.5" hidden="false" customHeight="false" outlineLevel="0" collapsed="false">
      <c r="A23" s="16"/>
      <c r="B23" s="3" t="n">
        <v>736</v>
      </c>
      <c r="C23" s="3" t="n">
        <v>54</v>
      </c>
      <c r="D23" s="18"/>
      <c r="E23" s="18"/>
      <c r="F23" s="18"/>
    </row>
    <row r="24" customFormat="false" ht="14.5" hidden="false" customHeight="false" outlineLevel="0" collapsed="false">
      <c r="A24" s="16" t="n">
        <v>6.5</v>
      </c>
      <c r="B24" s="3" t="n">
        <v>869</v>
      </c>
      <c r="C24" s="3" t="n">
        <v>2</v>
      </c>
      <c r="D24" s="21" t="n">
        <f aca="false">SQRT((POWER((B24-E24),2)*C24+POWER((B25-E24),2)*C25+POWER(B26-E24,2)*C26+POWER(B27-E24,2)*C27)/SUM(C24:C27))</f>
        <v>0.514780252804715</v>
      </c>
      <c r="E24" s="18" t="n">
        <f aca="false">(B24*C24+B25*C25+B26*C26+B27*C27)/(SUM(C24:C27))</f>
        <v>870.698863636364</v>
      </c>
      <c r="F24" s="18" t="n">
        <f aca="false">D24/SQRT(SUM(C24:C27))</f>
        <v>0.0173532387819866</v>
      </c>
    </row>
    <row r="25" customFormat="false" ht="14.5" hidden="false" customHeight="false" outlineLevel="0" collapsed="false">
      <c r="A25" s="16"/>
      <c r="B25" s="3" t="n">
        <v>870</v>
      </c>
      <c r="C25" s="3" t="n">
        <v>283</v>
      </c>
      <c r="D25" s="21"/>
      <c r="E25" s="18"/>
      <c r="F25" s="18"/>
    </row>
    <row r="26" customFormat="false" ht="14.5" hidden="false" customHeight="false" outlineLevel="0" collapsed="false">
      <c r="A26" s="16"/>
      <c r="B26" s="3" t="n">
        <v>871</v>
      </c>
      <c r="C26" s="3" t="n">
        <v>573</v>
      </c>
      <c r="D26" s="21"/>
      <c r="E26" s="18"/>
      <c r="F26" s="18"/>
    </row>
    <row r="27" customFormat="false" ht="14.5" hidden="false" customHeight="false" outlineLevel="0" collapsed="false">
      <c r="A27" s="16"/>
      <c r="B27" s="3" t="n">
        <v>872</v>
      </c>
      <c r="C27" s="3" t="n">
        <v>22</v>
      </c>
      <c r="D27" s="21"/>
      <c r="E27" s="18"/>
      <c r="F27" s="18"/>
    </row>
    <row r="30" customFormat="false" ht="14.5" hidden="false" customHeight="false" outlineLevel="0" collapsed="false">
      <c r="D30" s="7"/>
      <c r="H30" s="8" t="s">
        <v>23</v>
      </c>
      <c r="I30" s="8"/>
      <c r="J30" s="8"/>
      <c r="K30" s="8"/>
    </row>
    <row r="31" customFormat="false" ht="14.5" hidden="false" customHeight="false" outlineLevel="0" collapsed="false">
      <c r="A31" s="8" t="s">
        <v>24</v>
      </c>
      <c r="B31" s="8"/>
      <c r="C31" s="8"/>
      <c r="G31" s="7"/>
      <c r="H31" s="3" t="s">
        <v>25</v>
      </c>
      <c r="I31" s="3" t="s">
        <v>26</v>
      </c>
      <c r="J31" s="3" t="s">
        <v>27</v>
      </c>
      <c r="K31" s="3" t="s">
        <v>28</v>
      </c>
      <c r="L31" s="3" t="s">
        <v>29</v>
      </c>
      <c r="M31" s="3" t="s">
        <v>30</v>
      </c>
    </row>
    <row r="32" customFormat="false" ht="14.5" hidden="false" customHeight="false" outlineLevel="0" collapsed="false">
      <c r="A32" s="3" t="s">
        <v>3</v>
      </c>
      <c r="B32" s="3" t="s">
        <v>31</v>
      </c>
      <c r="C32" s="6" t="s">
        <v>32</v>
      </c>
      <c r="D32" s="3" t="s">
        <v>33</v>
      </c>
      <c r="H32" s="3" t="n">
        <f aca="false">D33/(A37*B33+C37)*1000</f>
        <v>1.02443611974055</v>
      </c>
      <c r="I32" s="3" t="n">
        <f aca="false">SQRT(POWER(B33*H32*B37/(A37*B33+C37),2)+POWER(H32*D37/(A37*B33+C37),2)+POWER(A37*H32*C33/(A37*B33+C37),2))</f>
        <v>0.000227927495967897</v>
      </c>
      <c r="J32" s="3" t="n">
        <f aca="false">H32*A37</f>
        <v>7.63866694940058</v>
      </c>
      <c r="K32" s="0" t="n">
        <f aca="false">SQRT((J32/H32*I32)^2+(J32/A37*B37)^2)</f>
        <v>0.0017106419073529</v>
      </c>
      <c r="L32" s="3" t="n">
        <f aca="false">H32*C37</f>
        <v>24.0839912014015</v>
      </c>
      <c r="M32" s="0" t="n">
        <f aca="false">(L32/H32*I32+L32/C37*D37)</f>
        <v>0.111699133162892</v>
      </c>
    </row>
    <row r="33" customFormat="false" ht="14.5" hidden="false" customHeight="false" outlineLevel="0" collapsed="false">
      <c r="A33" s="9" t="n">
        <v>3.2</v>
      </c>
      <c r="B33" s="3" t="n">
        <v>691.34</v>
      </c>
      <c r="C33" s="10" t="n">
        <f aca="false">A33/(2.355*SQRT(79))</f>
        <v>0.15287818611309</v>
      </c>
      <c r="D33" s="11" t="n">
        <v>5.305</v>
      </c>
      <c r="H33" s="7"/>
    </row>
    <row r="35" customFormat="false" ht="14.5" hidden="false" customHeight="false" outlineLevel="0" collapsed="false">
      <c r="A35" s="8" t="s">
        <v>34</v>
      </c>
      <c r="B35" s="8"/>
      <c r="C35" s="8"/>
      <c r="D35" s="8"/>
    </row>
    <row r="36" customFormat="false" ht="14.5" hidden="false" customHeight="false" outlineLevel="0" collapsed="false">
      <c r="A36" s="3" t="s">
        <v>35</v>
      </c>
      <c r="B36" s="3" t="s">
        <v>36</v>
      </c>
      <c r="C36" s="3" t="s">
        <v>37</v>
      </c>
      <c r="D36" s="3" t="s">
        <v>38</v>
      </c>
    </row>
    <row r="37" customFormat="false" ht="14.5" hidden="false" customHeight="false" outlineLevel="0" collapsed="false">
      <c r="A37" s="22" t="n">
        <v>7.45646</v>
      </c>
      <c r="B37" s="3" t="n">
        <v>0.00019</v>
      </c>
      <c r="C37" s="3" t="n">
        <v>23.50951</v>
      </c>
      <c r="D37" s="3" t="n">
        <v>0.1038041</v>
      </c>
    </row>
  </sheetData>
  <mergeCells count="31">
    <mergeCell ref="A2:A5"/>
    <mergeCell ref="D2:D5"/>
    <mergeCell ref="E2:E5"/>
    <mergeCell ref="F2:F5"/>
    <mergeCell ref="A6:A9"/>
    <mergeCell ref="D6:D9"/>
    <mergeCell ref="E6:E9"/>
    <mergeCell ref="F6:F9"/>
    <mergeCell ref="A10:A12"/>
    <mergeCell ref="D10:D12"/>
    <mergeCell ref="E10:E12"/>
    <mergeCell ref="F10:F12"/>
    <mergeCell ref="A13:A16"/>
    <mergeCell ref="D13:D16"/>
    <mergeCell ref="E13:E16"/>
    <mergeCell ref="F13:F16"/>
    <mergeCell ref="A17:A19"/>
    <mergeCell ref="D17:D19"/>
    <mergeCell ref="E17:E19"/>
    <mergeCell ref="F17:F19"/>
    <mergeCell ref="A20:A23"/>
    <mergeCell ref="D20:D23"/>
    <mergeCell ref="E20:E23"/>
    <mergeCell ref="F20:F23"/>
    <mergeCell ref="A24:A27"/>
    <mergeCell ref="D24:D27"/>
    <mergeCell ref="E24:E27"/>
    <mergeCell ref="F24:F27"/>
    <mergeCell ref="H30:K30"/>
    <mergeCell ref="A31:C31"/>
    <mergeCell ref="A35:D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30" zoomScaleNormal="130" zoomScalePageLayoutView="100" workbookViewId="0">
      <selection pane="topLeft" activeCell="F12" activeCellId="0" sqref="F12"/>
    </sheetView>
  </sheetViews>
  <sheetFormatPr defaultRowHeight="14.5"/>
  <cols>
    <col collapsed="false" hidden="false" max="1" min="1" style="0" width="15.0485829959514"/>
    <col collapsed="false" hidden="false" max="2" min="2" style="0" width="12.1821862348178"/>
    <col collapsed="false" hidden="false" max="3" min="3" style="0" width="17.5182186234818"/>
    <col collapsed="false" hidden="false" max="5" min="4" style="0" width="12.1821862348178"/>
    <col collapsed="false" hidden="false" max="6" min="6" style="0" width="17.5182186234818"/>
    <col collapsed="false" hidden="false" max="7" min="7" style="0" width="12.1821862348178"/>
    <col collapsed="false" hidden="false" max="8" min="8" style="0" width="13.9028340080972"/>
    <col collapsed="false" hidden="false" max="10" min="9" style="0" width="12.1821862348178"/>
    <col collapsed="false" hidden="false" max="11" min="11" style="0" width="13.4251012145749"/>
    <col collapsed="false" hidden="false" max="1025" min="12" style="0" width="12.1821862348178"/>
  </cols>
  <sheetData>
    <row r="1" customFormat="false" ht="14.5" hidden="false" customHeight="false" outlineLevel="0" collapsed="false">
      <c r="A1" s="17" t="s">
        <v>114</v>
      </c>
      <c r="B1" s="17" t="s">
        <v>115</v>
      </c>
      <c r="C1" s="23" t="s">
        <v>116</v>
      </c>
      <c r="D1" s="17" t="s">
        <v>117</v>
      </c>
      <c r="E1" s="17" t="s">
        <v>1</v>
      </c>
      <c r="F1" s="17" t="s">
        <v>2</v>
      </c>
      <c r="G1" s="17" t="s">
        <v>118</v>
      </c>
      <c r="H1" s="17" t="s">
        <v>119</v>
      </c>
      <c r="I1" s="17" t="s">
        <v>3</v>
      </c>
      <c r="J1" s="17" t="s">
        <v>4</v>
      </c>
      <c r="K1" s="17" t="s">
        <v>5</v>
      </c>
    </row>
    <row r="2" customFormat="false" ht="14.5" hidden="false" customHeight="false" outlineLevel="0" collapsed="false">
      <c r="A2" s="0" t="n">
        <v>2</v>
      </c>
      <c r="B2" s="0" t="n">
        <v>9.5</v>
      </c>
      <c r="D2" s="0" t="n">
        <v>150</v>
      </c>
      <c r="E2" s="0" t="n">
        <v>260</v>
      </c>
      <c r="F2" s="0" t="n">
        <v>16</v>
      </c>
      <c r="G2" s="0" t="n">
        <v>252</v>
      </c>
      <c r="H2" s="0" t="n">
        <v>18</v>
      </c>
      <c r="I2" s="0" t="n">
        <v>10.37</v>
      </c>
      <c r="J2" s="0" t="n">
        <v>558.32</v>
      </c>
      <c r="K2" s="24" t="n">
        <f aca="false">I2/(2.355*SQRT(G2))</f>
        <v>0.277387939497925</v>
      </c>
    </row>
    <row r="3" customFormat="false" ht="14.5" hidden="false" customHeight="false" outlineLevel="0" collapsed="false">
      <c r="A3" s="0" t="n">
        <v>3</v>
      </c>
      <c r="B3" s="0" t="n">
        <v>13.5</v>
      </c>
      <c r="D3" s="0" t="n">
        <v>364</v>
      </c>
      <c r="E3" s="0" t="n">
        <v>306</v>
      </c>
      <c r="F3" s="0" t="n">
        <v>17</v>
      </c>
      <c r="G3" s="0" t="n">
        <v>284</v>
      </c>
      <c r="H3" s="0" t="n">
        <v>21</v>
      </c>
      <c r="I3" s="0" t="n">
        <v>10.69</v>
      </c>
      <c r="J3" s="0" t="n">
        <v>503.78</v>
      </c>
      <c r="K3" s="24" t="n">
        <f aca="false">I3/(2.355*SQRT(G3))</f>
        <v>0.269356601403233</v>
      </c>
    </row>
    <row r="4" customFormat="false" ht="14.5" hidden="false" customHeight="false" outlineLevel="0" collapsed="false">
      <c r="A4" s="0" t="n">
        <v>4</v>
      </c>
      <c r="B4" s="0" t="n">
        <v>17.5</v>
      </c>
      <c r="D4" s="0" t="n">
        <v>509</v>
      </c>
      <c r="E4" s="0" t="n">
        <v>305</v>
      </c>
      <c r="F4" s="0" t="n">
        <v>17</v>
      </c>
      <c r="G4" s="0" t="n">
        <v>294</v>
      </c>
      <c r="H4" s="0" t="n">
        <v>19</v>
      </c>
      <c r="I4" s="0" t="n">
        <v>13.19</v>
      </c>
      <c r="J4" s="0" t="n">
        <v>445.72</v>
      </c>
      <c r="K4" s="24" t="n">
        <f aca="false">I4/(2.355*SQRT(G4))</f>
        <v>0.32664816203933</v>
      </c>
    </row>
    <row r="5" customFormat="false" ht="14.5" hidden="false" customHeight="false" outlineLevel="0" collapsed="false">
      <c r="A5" s="0" t="n">
        <v>5</v>
      </c>
      <c r="B5" s="0" t="n">
        <v>21.5</v>
      </c>
      <c r="D5" s="0" t="n">
        <v>768</v>
      </c>
      <c r="E5" s="0" t="n">
        <v>287</v>
      </c>
      <c r="F5" s="0" t="n">
        <v>17</v>
      </c>
      <c r="G5" s="0" t="n">
        <v>287</v>
      </c>
      <c r="H5" s="0" t="n">
        <v>17</v>
      </c>
      <c r="I5" s="0" t="n">
        <v>11.33</v>
      </c>
      <c r="J5" s="0" t="n">
        <v>382.09</v>
      </c>
      <c r="K5" s="24" t="n">
        <f aca="false">I5/(2.355*SQRT(G5))</f>
        <v>0.283986731975534</v>
      </c>
    </row>
    <row r="6" customFormat="false" ht="14.5" hidden="false" customHeight="false" outlineLevel="0" collapsed="false">
      <c r="A6" s="0" t="n">
        <v>6</v>
      </c>
      <c r="B6" s="0" t="n">
        <v>25.5</v>
      </c>
      <c r="D6" s="0" t="n">
        <v>1081</v>
      </c>
      <c r="E6" s="0" t="n">
        <v>313</v>
      </c>
      <c r="F6" s="0" t="n">
        <v>18</v>
      </c>
      <c r="I6" s="0" t="n">
        <v>15.23</v>
      </c>
      <c r="J6" s="0" t="n">
        <v>310.23</v>
      </c>
      <c r="K6" s="24" t="e">
        <f aca="false">I6/(2.355*SQRT(G6))</f>
        <v>#DIV/0!</v>
      </c>
    </row>
    <row r="7" customFormat="false" ht="14.5" hidden="false" customHeight="false" outlineLevel="0" collapsed="false">
      <c r="A7" s="0" t="n">
        <v>7</v>
      </c>
      <c r="B7" s="0" t="n">
        <v>29.5</v>
      </c>
      <c r="D7" s="0" t="n">
        <v>1147</v>
      </c>
      <c r="E7" s="0" t="n">
        <v>229</v>
      </c>
      <c r="F7" s="0" t="n">
        <v>15</v>
      </c>
      <c r="G7" s="0" t="n">
        <v>212</v>
      </c>
      <c r="H7" s="0" t="n">
        <v>19</v>
      </c>
      <c r="I7" s="0" t="n">
        <v>10.53</v>
      </c>
      <c r="J7" s="0" t="n">
        <v>224.46</v>
      </c>
      <c r="K7" s="24" t="n">
        <f aca="false">I7/(2.355*SQRT(G7))</f>
        <v>0.307092725770636</v>
      </c>
    </row>
    <row r="8" customFormat="false" ht="14.5" hidden="false" customHeight="false" outlineLevel="0" collapsed="false">
      <c r="A8" s="0" t="n">
        <v>8</v>
      </c>
      <c r="B8" s="0" t="n">
        <v>33.5</v>
      </c>
      <c r="D8" s="0" t="n">
        <v>1865</v>
      </c>
      <c r="E8" s="0" t="n">
        <v>300</v>
      </c>
      <c r="F8" s="0" t="n">
        <v>17</v>
      </c>
      <c r="G8" s="0" t="n">
        <v>277</v>
      </c>
      <c r="H8" s="0" t="n">
        <v>24</v>
      </c>
      <c r="I8" s="0" t="n">
        <v>22.46</v>
      </c>
      <c r="J8" s="0" t="n">
        <v>115.44</v>
      </c>
      <c r="K8" s="24" t="n">
        <f aca="false">I8/(2.355*SQRT(G8))</f>
        <v>0.57303210667144</v>
      </c>
    </row>
    <row r="10" customFormat="false" ht="14.5" hidden="false" customHeight="false" outlineLevel="0" collapsed="false">
      <c r="A10" s="25" t="s">
        <v>120</v>
      </c>
      <c r="B10" s="25"/>
      <c r="C10" s="25"/>
      <c r="D10" s="26" t="s">
        <v>121</v>
      </c>
      <c r="E10" s="26"/>
      <c r="F10" s="26"/>
    </row>
    <row r="11" customFormat="false" ht="14.5" hidden="false" customHeight="false" outlineLevel="0" collapsed="false">
      <c r="A11" s="27" t="s">
        <v>122</v>
      </c>
      <c r="B11" s="27" t="s">
        <v>45</v>
      </c>
      <c r="C11" s="28" t="s">
        <v>123</v>
      </c>
      <c r="D11" s="29" t="s">
        <v>122</v>
      </c>
      <c r="E11" s="29" t="s">
        <v>45</v>
      </c>
      <c r="F11" s="30" t="s">
        <v>123</v>
      </c>
    </row>
    <row r="12" customFormat="false" ht="14.5" hidden="false" customHeight="false" outlineLevel="0" collapsed="false">
      <c r="A12" s="27" t="n">
        <v>0.132</v>
      </c>
      <c r="B12" s="27" t="n">
        <v>0.123</v>
      </c>
      <c r="C12" s="28" t="n">
        <v>0.1248</v>
      </c>
      <c r="D12" s="29" t="n">
        <v>0.53</v>
      </c>
      <c r="E12" s="29" t="n">
        <v>0.564</v>
      </c>
      <c r="F12" s="29" t="n">
        <v>0.5572</v>
      </c>
    </row>
    <row r="13" customFormat="false" ht="14.5" hidden="false" customHeight="false" outlineLevel="0" collapsed="false">
      <c r="A13" s="27" t="n">
        <v>0.181</v>
      </c>
      <c r="B13" s="27" t="n">
        <v>0.17</v>
      </c>
      <c r="C13" s="28" t="n">
        <v>0.1722</v>
      </c>
      <c r="D13" s="29" t="n">
        <v>0.644</v>
      </c>
      <c r="E13" s="29" t="n">
        <v>0.684</v>
      </c>
      <c r="F13" s="29" t="n">
        <v>0.676</v>
      </c>
    </row>
    <row r="14" customFormat="false" ht="14.5" hidden="false" customHeight="false" outlineLevel="0" collapsed="false">
      <c r="A14" s="27" t="n">
        <v>0.247</v>
      </c>
      <c r="B14" s="27" t="n">
        <v>0.232</v>
      </c>
      <c r="C14" s="28" t="n">
        <v>0.235</v>
      </c>
      <c r="D14" s="29" t="n">
        <v>0.777</v>
      </c>
      <c r="E14" s="29" t="n">
        <v>0.817</v>
      </c>
      <c r="F14" s="29" t="n">
        <v>0.809</v>
      </c>
    </row>
    <row r="15" customFormat="false" ht="14.5" hidden="false" customHeight="false" outlineLevel="0" collapsed="false">
      <c r="A15" s="27" t="n">
        <v>0.33</v>
      </c>
      <c r="B15" s="27" t="n">
        <v>0.312</v>
      </c>
      <c r="C15" s="28" t="n">
        <v>0.3156</v>
      </c>
      <c r="D15" s="29" t="n">
        <v>0.93</v>
      </c>
      <c r="E15" s="29" t="n">
        <v>0.956</v>
      </c>
      <c r="F15" s="29" t="n">
        <v>0.9508</v>
      </c>
    </row>
    <row r="16" customFormat="false" ht="14.5" hidden="false" customHeight="false" outlineLevel="0" collapsed="false">
      <c r="A16" s="27" t="n">
        <v>0.513</v>
      </c>
      <c r="B16" s="27" t="n">
        <v>0.49</v>
      </c>
      <c r="C16" s="28" t="n">
        <v>0.4946</v>
      </c>
      <c r="D16" s="29" t="n">
        <v>1.262</v>
      </c>
      <c r="E16" s="29" t="n">
        <v>1.303</v>
      </c>
      <c r="F16" s="29" t="n">
        <v>1.2948</v>
      </c>
    </row>
    <row r="17" customFormat="false" ht="14.5" hidden="false" customHeight="false" outlineLevel="0" collapsed="false">
      <c r="A17" s="27" t="n">
        <v>0.588</v>
      </c>
      <c r="B17" s="27" t="n">
        <v>0.563</v>
      </c>
      <c r="C17" s="28" t="n">
        <v>0.568</v>
      </c>
      <c r="D17" s="29" t="n">
        <v>1.389</v>
      </c>
      <c r="E17" s="29" t="n">
        <v>1.442</v>
      </c>
      <c r="F17" s="29" t="n">
        <v>1.4314</v>
      </c>
    </row>
    <row r="18" customFormat="false" ht="14.5" hidden="false" customHeight="false" outlineLevel="0" collapsed="false">
      <c r="A18" s="27" t="n">
        <v>0.684</v>
      </c>
      <c r="B18" s="27" t="n">
        <v>0.654</v>
      </c>
      <c r="C18" s="28" t="n">
        <v>0.66</v>
      </c>
      <c r="D18" s="29" t="n">
        <v>1.546</v>
      </c>
      <c r="E18" s="29" t="n">
        <v>1.604</v>
      </c>
      <c r="F18" s="29" t="n">
        <v>1.5924</v>
      </c>
    </row>
    <row r="19" customFormat="false" ht="14.5" hidden="false" customHeight="false" outlineLevel="0" collapsed="false">
      <c r="A19" s="27" t="n">
        <v>0.783</v>
      </c>
      <c r="B19" s="27" t="n">
        <v>0.75</v>
      </c>
      <c r="C19" s="28" t="n">
        <v>0.7566</v>
      </c>
      <c r="D19" s="29" t="n">
        <v>1.665</v>
      </c>
      <c r="E19" s="29" t="n">
        <v>1.734</v>
      </c>
      <c r="F19" s="29" t="n">
        <v>1.7202</v>
      </c>
    </row>
    <row r="20" customFormat="false" ht="14.5" hidden="false" customHeight="false" outlineLevel="0" collapsed="false">
      <c r="A20" s="27" t="n">
        <v>0.9</v>
      </c>
      <c r="B20" s="27" t="n">
        <v>0.863</v>
      </c>
      <c r="C20" s="28" t="n">
        <v>0.8704</v>
      </c>
      <c r="D20" s="29" t="n">
        <v>1.748</v>
      </c>
      <c r="E20" s="29" t="n">
        <v>1.816</v>
      </c>
      <c r="F20" s="29" t="n">
        <v>1.8024</v>
      </c>
    </row>
    <row r="21" customFormat="false" ht="14.5" hidden="false" customHeight="false" outlineLevel="0" collapsed="false">
      <c r="A21" s="27" t="n">
        <v>1.246</v>
      </c>
      <c r="B21" s="27" t="n">
        <v>1.193</v>
      </c>
      <c r="C21" s="28" t="n">
        <v>1.2036</v>
      </c>
      <c r="D21" s="29" t="n">
        <v>1.688</v>
      </c>
      <c r="E21" s="29" t="n">
        <v>1.776</v>
      </c>
      <c r="F21" s="29" t="n">
        <v>1.7584</v>
      </c>
    </row>
    <row r="22" customFormat="false" ht="14.5" hidden="false" customHeight="false" outlineLevel="0" collapsed="false">
      <c r="A22" s="27" t="n">
        <v>1.493</v>
      </c>
      <c r="B22" s="27" t="n">
        <v>1.428</v>
      </c>
      <c r="C22" s="28" t="n">
        <v>1.441</v>
      </c>
      <c r="D22" s="29" t="n">
        <v>1.561</v>
      </c>
      <c r="E22" s="29" t="n">
        <v>1.64</v>
      </c>
      <c r="F22" s="29" t="n">
        <v>1.6242</v>
      </c>
    </row>
    <row r="23" customFormat="false" ht="14.5" hidden="false" customHeight="false" outlineLevel="0" collapsed="false">
      <c r="A23" s="27" t="n">
        <v>1.765</v>
      </c>
      <c r="B23" s="27" t="n">
        <v>1.687</v>
      </c>
      <c r="C23" s="28" t="n">
        <v>1.7026</v>
      </c>
      <c r="D23" s="29" t="n">
        <v>1.385</v>
      </c>
      <c r="E23" s="29" t="n">
        <v>1.458</v>
      </c>
      <c r="F23" s="29" t="n">
        <v>1.4434</v>
      </c>
    </row>
    <row r="24" customFormat="false" ht="14.5" hidden="false" customHeight="false" outlineLevel="0" collapsed="false">
      <c r="A24" s="27" t="n">
        <v>2.073</v>
      </c>
      <c r="B24" s="27" t="n">
        <v>1.979</v>
      </c>
      <c r="C24" s="28" t="n">
        <v>1.9978</v>
      </c>
      <c r="D24" s="29" t="n">
        <v>1.227</v>
      </c>
      <c r="E24" s="29" t="n">
        <v>1.292</v>
      </c>
      <c r="F24" s="29" t="n">
        <v>1.279</v>
      </c>
    </row>
    <row r="25" customFormat="false" ht="14.5" hidden="false" customHeight="false" outlineLevel="0" collapsed="false">
      <c r="A25" s="27" t="n">
        <v>2.418</v>
      </c>
      <c r="B25" s="27" t="n">
        <v>2.308</v>
      </c>
      <c r="C25" s="28" t="n">
        <v>2.33</v>
      </c>
      <c r="D25" s="29" t="n">
        <v>1.098</v>
      </c>
      <c r="E25" s="29" t="n">
        <v>1.152</v>
      </c>
      <c r="F25" s="29" t="n">
        <v>1.1412</v>
      </c>
    </row>
    <row r="26" customFormat="false" ht="14.5" hidden="false" customHeight="false" outlineLevel="0" collapsed="false">
      <c r="A26" s="27" t="n">
        <v>3.227</v>
      </c>
      <c r="B26" s="27" t="n">
        <v>3.079</v>
      </c>
      <c r="C26" s="28" t="n">
        <v>3.1086</v>
      </c>
      <c r="D26" s="29" t="n">
        <v>0.9</v>
      </c>
      <c r="E26" s="29" t="n">
        <v>0.949</v>
      </c>
      <c r="F26" s="29" t="n">
        <v>0.9392</v>
      </c>
    </row>
    <row r="27" customFormat="false" ht="14.5" hidden="false" customHeight="false" outlineLevel="0" collapsed="false">
      <c r="A27" s="27" t="n">
        <v>4.444</v>
      </c>
      <c r="B27" s="27" t="n">
        <v>4.236</v>
      </c>
      <c r="C27" s="28" t="n">
        <v>4.2776</v>
      </c>
      <c r="D27" s="29" t="n">
        <v>0.756</v>
      </c>
      <c r="E27" s="29" t="n">
        <v>0.792</v>
      </c>
      <c r="F27" s="29" t="n">
        <v>0.7848</v>
      </c>
    </row>
    <row r="28" customFormat="false" ht="14.5" hidden="false" customHeight="false" outlineLevel="0" collapsed="false">
      <c r="A28" s="27" t="n">
        <v>6.487</v>
      </c>
      <c r="B28" s="27" t="n">
        <v>6.189</v>
      </c>
      <c r="C28" s="28" t="n">
        <v>6.2486</v>
      </c>
      <c r="D28" s="29" t="n">
        <v>0.626</v>
      </c>
      <c r="E28" s="29" t="n">
        <v>0.655</v>
      </c>
      <c r="F28" s="29" t="n">
        <v>0.6492</v>
      </c>
    </row>
    <row r="29" customFormat="false" ht="14.5" hidden="false" customHeight="false" outlineLevel="0" collapsed="false">
      <c r="A29" s="27" t="n">
        <v>9.277</v>
      </c>
      <c r="B29" s="27" t="n">
        <v>8.851</v>
      </c>
      <c r="C29" s="28" t="n">
        <v>8.9362</v>
      </c>
      <c r="D29" s="29" t="n">
        <v>0.53</v>
      </c>
      <c r="E29" s="29" t="n">
        <v>0.556</v>
      </c>
      <c r="F29" s="29" t="n">
        <v>0.5508</v>
      </c>
    </row>
  </sheetData>
  <mergeCells count="2">
    <mergeCell ref="A10:C10"/>
    <mergeCell ref="D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2018-01-06T00:19:16Z</dcterms:created>
  <dc:creator>Francisco Duque</dc:creator>
  <dc:description/>
  <dc:language>pt-PT</dc:language>
  <cp:lastModifiedBy/>
  <dcterms:modified xsi:type="dcterms:W3CDTF">2018-01-11T12:03:06Z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