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<sst xmlns="http://schemas.openxmlformats.org/spreadsheetml/2006/main" count="54" uniqueCount="35">
  <si>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</si>
  <si>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</si>
  <si>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</si>
  <si>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</si>
  <si>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</si>
  <si>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</si>
  <si>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</si>
  <si>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Rc(cts/s)</t>
  </si>
  <si>
    <t xml:space="preserve">(R/Ro)c</t>
  </si>
  <si>
    <t xml:space="preserve">Erro(R/Ro)c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</si>
  <si>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</si>
  <si>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</si>
  <si>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</si>
  <si>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</si>
  <si>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</si>
  <si>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</si>
  <si>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</si>
  <si>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Ncorr</t>
  </si>
  <si>
    <t xml:space="preserve">ErroNcorr</t>
  </si>
  <si>
    <t xml:space="preserve">ErroR</t>
  </si>
  <si>
    <t xml:space="preserve">Rcorr(cts/s)</t>
  </si>
  <si>
    <t xml:space="preserve">eRcorr(cts/s)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</si>
  <si>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</si>
  <si>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</si>
  <si>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</si>
  <si>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</si>
  <si>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</si>
  <si>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</si>
  <si>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</si>
  <si>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Nfundo</t>
  </si>
  <si>
    <t xml:space="preserve">ErroN fundo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</si>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</sst>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"/>
    <numFmt numFmtId="167" formatCode="0.00"/>
    <numFmt numFmtId="168" formatCode="_-* #,##0.00,_€_-;\-* #,##0.00,_€_-;_-* \-??\ _€_-;_-@_-"/>
    <numFmt numFmtId="169" formatCode="#,##0.0"/>
    <numFmt numFmtId="170" formatCode="0.0"/>
    <numFmt numFmtId="171" formatCode="0.0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L9" activeCellId="0" sqref="L9"/>
    </sheetView>
  </sheetViews>
  <sheetFormatPr defaultRowHeight="14.4"/>
  <cols>
    <col collapsed="false" hidden="false" max="2" min="1" style="0" width="8.57085020242915"/>
    <col collapsed="false" hidden="false" max="3" min="3" style="0" width="10.497975708502"/>
    <col collapsed="false" hidden="false" max="4" min="4" style="0" width="11.4615384615385"/>
    <col collapsed="false" hidden="false" max="5" min="5" style="0" width="10.0688259109312"/>
    <col collapsed="false" hidden="false" max="7" min="6" style="0" width="9.85425101214575"/>
    <col collapsed="false" hidden="false" max="8" min="8" style="0" width="8.57085020242915"/>
    <col collapsed="false" hidden="false" max="9" min="9" style="0" width="12.0121457489879"/>
    <col collapsed="false" hidden="false" max="10" min="10" style="0" width="9.85425101214575"/>
    <col collapsed="false" hidden="false" max="1025" min="11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8</v>
      </c>
      <c r="K1" s="1" t="s">
        <v>9</v>
      </c>
      <c r="P1" s="0" t="n">
        <f aca="false">SQRT(B2)</f>
        <v>0</v>
      </c>
    </row>
    <row r="2" customFormat="false" ht="13.8" hidden="false" customHeight="false" outlineLevel="0" collapsed="false">
      <c r="A2" s="0" t="n">
        <v>600</v>
      </c>
      <c r="B2" s="0" t="n">
        <v>0</v>
      </c>
      <c r="C2" s="2" t="n">
        <f aca="false">SQRT(B2)</f>
        <v>0</v>
      </c>
      <c r="D2" s="3" t="n">
        <f aca="false">B2/20</f>
        <v>0</v>
      </c>
      <c r="E2" s="3" t="n">
        <v>0</v>
      </c>
      <c r="F2" s="3" t="n">
        <f aca="false">D2/49.6</f>
        <v>0</v>
      </c>
      <c r="G2" s="3" t="n">
        <f aca="false">IF(D2&gt;0,SQRT((E2/D2)^2+($E$7/$D$7)^2),0)*F2</f>
        <v>0</v>
      </c>
      <c r="H2" s="0" t="n">
        <f aca="false">D2/(1-0.000368*D2)</f>
        <v>0</v>
      </c>
      <c r="I2" s="0" t="n">
        <f aca="false">SQRT(E2^2+ D2^4*'Correcao Taxa de Contagem'!$B$8^2)/(1-D2*'Correcao Taxa de Contagem'!$A$8)^2</f>
        <v>0</v>
      </c>
      <c r="J2" s="4" t="n">
        <f aca="false">H2/$D$7</f>
        <v>0</v>
      </c>
      <c r="K2" s="3" t="n">
        <f aca="false">IF(H2&gt;0,SQRT((I2/H2)^2+($E$7/$D$7)^2),0)*J2</f>
        <v>0</v>
      </c>
    </row>
    <row r="3" customFormat="false" ht="13.8" hidden="false" customHeight="false" outlineLevel="0" collapsed="false">
      <c r="A3" s="0" t="n">
        <v>625</v>
      </c>
      <c r="B3" s="0" t="n">
        <v>0</v>
      </c>
      <c r="C3" s="2" t="n">
        <f aca="false">SQRT(B3)</f>
        <v>0</v>
      </c>
      <c r="D3" s="3" t="n">
        <f aca="false">B3/20</f>
        <v>0</v>
      </c>
      <c r="E3" s="3" t="n">
        <v>0</v>
      </c>
      <c r="F3" s="3" t="n">
        <f aca="false">D3/49.6</f>
        <v>0</v>
      </c>
      <c r="G3" s="3" t="n">
        <f aca="false">IF(D3&gt;0,SQRT((E3/D3)^2+($E$7/$D$7)^2),0)*F3</f>
        <v>0</v>
      </c>
      <c r="H3" s="0" t="n">
        <f aca="false">D3/(1-0.000368*D3)</f>
        <v>0</v>
      </c>
      <c r="I3" s="0" t="n">
        <f aca="false">SQRT(E3^2+ D3^4*'Correcao Taxa de Contagem'!$B$8^2)/(1-D3*'Correcao Taxa de Contagem'!$A$8)^2</f>
        <v>0</v>
      </c>
      <c r="J3" s="4" t="n">
        <f aca="false">H3/$D$7</f>
        <v>0</v>
      </c>
      <c r="K3" s="3" t="n">
        <f aca="false">IF(H3&gt;0,SQRT((I3/H3)^2+($E$7/$D$7)^2),0)*J3</f>
        <v>0</v>
      </c>
    </row>
    <row r="4" customFormat="false" ht="13.8" hidden="false" customHeight="false" outlineLevel="0" collapsed="false">
      <c r="A4" s="0" t="n">
        <v>650</v>
      </c>
      <c r="B4" s="0" t="n">
        <v>0</v>
      </c>
      <c r="C4" s="2" t="n">
        <f aca="false">SQRT(B4)</f>
        <v>0</v>
      </c>
      <c r="D4" s="3" t="n">
        <f aca="false">B4/20</f>
        <v>0</v>
      </c>
      <c r="E4" s="3" t="n">
        <v>0</v>
      </c>
      <c r="F4" s="3" t="n">
        <f aca="false">D4/49.6</f>
        <v>0</v>
      </c>
      <c r="G4" s="3" t="n">
        <f aca="false">IF(D4&gt;0,SQRT((E4/D4)^2+($E$7/$D$7)^2),0)*F4</f>
        <v>0</v>
      </c>
      <c r="H4" s="0" t="n">
        <f aca="false">D4/(1-0.000368*D4)</f>
        <v>0</v>
      </c>
      <c r="I4" s="0" t="n">
        <f aca="false">SQRT(E4^2+ D4^4*'Correcao Taxa de Contagem'!$B$8^2)/(1-D4*'Correcao Taxa de Contagem'!$A$8)^2</f>
        <v>0</v>
      </c>
      <c r="J4" s="4" t="n">
        <f aca="false">H4/$D$7</f>
        <v>0</v>
      </c>
      <c r="K4" s="3" t="n">
        <f aca="false">IF(H4&gt;0,SQRT((I4/H4)^2+($E$7/$D$7)^2),0)*J4</f>
        <v>0</v>
      </c>
    </row>
    <row r="5" customFormat="false" ht="13.8" hidden="false" customHeight="false" outlineLevel="0" collapsed="false">
      <c r="A5" s="0" t="n">
        <v>675</v>
      </c>
      <c r="B5" s="0" t="n">
        <v>0</v>
      </c>
      <c r="C5" s="2" t="n">
        <f aca="false">SQRT(B5)</f>
        <v>0</v>
      </c>
      <c r="D5" s="3" t="n">
        <f aca="false">B5/20</f>
        <v>0</v>
      </c>
      <c r="E5" s="3" t="n">
        <v>0</v>
      </c>
      <c r="F5" s="3" t="n">
        <f aca="false">D5/49.6</f>
        <v>0</v>
      </c>
      <c r="G5" s="3" t="n">
        <f aca="false">IF(D5&gt;0,SQRT((E5/D5)^2+($E$7/$D$7)^2),0)*F5</f>
        <v>0</v>
      </c>
      <c r="H5" s="0" t="n">
        <f aca="false">D5/(1-0.000368*D5)</f>
        <v>0</v>
      </c>
      <c r="I5" s="0" t="n">
        <f aca="false">SQRT(E5^2+ D5^4*'Correcao Taxa de Contagem'!$B$8^2)/(1-D5*'Correcao Taxa de Contagem'!$A$8)^2</f>
        <v>0</v>
      </c>
      <c r="J5" s="4" t="n">
        <f aca="false">H5/$D$7</f>
        <v>0</v>
      </c>
      <c r="K5" s="3" t="n">
        <f aca="false">IF(H5&gt;0,SQRT((I5/H5)^2+($E$7/$D$7)^2),0)*J5</f>
        <v>0</v>
      </c>
    </row>
    <row r="6" customFormat="false" ht="13.8" hidden="false" customHeight="false" outlineLevel="0" collapsed="false">
      <c r="A6" s="0" t="n">
        <v>700</v>
      </c>
      <c r="B6" s="0" t="n">
        <v>0</v>
      </c>
      <c r="C6" s="2" t="n">
        <f aca="false">SQRT(B6)</f>
        <v>0</v>
      </c>
      <c r="D6" s="3" t="n">
        <f aca="false">B6/20</f>
        <v>0</v>
      </c>
      <c r="E6" s="3" t="n">
        <v>0</v>
      </c>
      <c r="F6" s="3" t="n">
        <f aca="false">D6/49.6</f>
        <v>0</v>
      </c>
      <c r="G6" s="3" t="n">
        <f aca="false">IF(D6&gt;0,SQRT((E6/D6)^2+($E$7/$D$7)^2),0)*F6</f>
        <v>0</v>
      </c>
      <c r="H6" s="0" t="n">
        <f aca="false">D6/(1-0.000368*D6)</f>
        <v>0</v>
      </c>
      <c r="I6" s="0" t="n">
        <f aca="false">SQRT(E6^2+ D6^4*'Correcao Taxa de Contagem'!$B$8^2)/(1-D6*'Correcao Taxa de Contagem'!$A$8)^2</f>
        <v>0</v>
      </c>
      <c r="J6" s="4" t="n">
        <f aca="false">H6/$D$7</f>
        <v>0</v>
      </c>
      <c r="K6" s="3" t="n">
        <f aca="false">IF(H6&gt;0,SQRT((I6/H6)^2+($E$7/$D$7)^2),0)*J6</f>
        <v>0</v>
      </c>
    </row>
    <row r="7" customFormat="false" ht="13.8" hidden="false" customHeight="false" outlineLevel="0" collapsed="false">
      <c r="A7" s="0" t="n">
        <v>725</v>
      </c>
      <c r="B7" s="0" t="n">
        <v>991</v>
      </c>
      <c r="C7" s="2" t="n">
        <f aca="false">SQRT(B7)</f>
        <v>31.4801524773944</v>
      </c>
      <c r="D7" s="3" t="n">
        <f aca="false">B7/20</f>
        <v>49.55</v>
      </c>
      <c r="E7" s="5" t="n">
        <f aca="false">(1/20)*C7</f>
        <v>1.57400762386972</v>
      </c>
      <c r="F7" s="6" t="n">
        <f aca="false">D7/$D$7</f>
        <v>1</v>
      </c>
      <c r="G7" s="3" t="n">
        <f aca="false">IF(D7&gt;0,SQRT((E7/D7)^2+($E$7/$D$7)^2),0)*F7</f>
        <v>0.0449239743482383</v>
      </c>
      <c r="H7" s="0" t="n">
        <f aca="false">D7/(1-'Correcao Taxa de Contagem'!$A$8*D7)</f>
        <v>50.4619114778679</v>
      </c>
      <c r="I7" s="0" t="n">
        <f aca="false">SQRT(E7^2+ D7^4*'Correcao Taxa de Contagem'!$B$8^2)/(1-D7*'Correcao Taxa de Contagem'!$A$8)^2</f>
        <v>1.63403656868305</v>
      </c>
      <c r="J7" s="4" t="n">
        <f aca="false">H7/$D$7</f>
        <v>1.01840386433639</v>
      </c>
      <c r="K7" s="3" t="n">
        <f aca="false">IF(H7&gt;0,SQRT((I7/H7)^2+($E$7/$D$7)^2),0)*J7</f>
        <v>0.0461961356445383</v>
      </c>
    </row>
    <row r="8" customFormat="false" ht="13.8" hidden="false" customHeight="false" outlineLevel="0" collapsed="false">
      <c r="A8" s="0" t="n">
        <v>750</v>
      </c>
      <c r="B8" s="0" t="n">
        <v>1042</v>
      </c>
      <c r="C8" s="2" t="n">
        <f aca="false">SQRT(B8)</f>
        <v>32.2800247831379</v>
      </c>
      <c r="D8" s="3" t="n">
        <f aca="false">B8/20</f>
        <v>52.1</v>
      </c>
      <c r="E8" s="5" t="n">
        <f aca="false">(1/20)*C8</f>
        <v>1.6140012391569</v>
      </c>
      <c r="F8" s="6" t="n">
        <f aca="false">D8/$D$7</f>
        <v>1.05146316851665</v>
      </c>
      <c r="G8" s="3" t="n">
        <f aca="false">IF(D8&gt;0,SQRT((E8/D8)^2+($E$7/$D$7)^2),0)*F8</f>
        <v>0.0466543418319202</v>
      </c>
      <c r="H8" s="0" t="n">
        <f aca="false">D8/(1-'Correcao Taxa de Contagem'!$A$8*D8)</f>
        <v>53.109142124843</v>
      </c>
      <c r="I8" s="0" t="n">
        <f aca="false">SQRT(E8^2+ D8^4*'Correcao Taxa de Contagem'!$B$8^2)/(1-D8*'Correcao Taxa de Contagem'!$A$8)^2</f>
        <v>1.67899414264818</v>
      </c>
      <c r="J8" s="4" t="n">
        <f aca="false">H8/$D$7</f>
        <v>1.07182930625314</v>
      </c>
      <c r="K8" s="3" t="n">
        <f aca="false">IF(H8&gt;0,SQRT((I8/H8)^2+($E$7/$D$7)^2),0)*J8</f>
        <v>0.0480357590138126</v>
      </c>
    </row>
    <row r="9" customFormat="false" ht="13.8" hidden="false" customHeight="false" outlineLevel="0" collapsed="false">
      <c r="A9" s="0" t="n">
        <v>775</v>
      </c>
      <c r="B9" s="0" t="n">
        <v>1080</v>
      </c>
      <c r="C9" s="2" t="n">
        <f aca="false">SQRT(B9)</f>
        <v>32.86335345031</v>
      </c>
      <c r="D9" s="3" t="n">
        <f aca="false">B9/20</f>
        <v>54</v>
      </c>
      <c r="E9" s="5" t="n">
        <f aca="false">(1/20)*C9</f>
        <v>1.6431676725155</v>
      </c>
      <c r="F9" s="6" t="n">
        <f aca="false">D9/$D$7</f>
        <v>1.08980827447023</v>
      </c>
      <c r="G9" s="3" t="n">
        <f aca="false">IF(D9&gt;0,SQRT((E9/D9)^2+($E$7/$D$7)^2),0)*F9</f>
        <v>0.0479392731985716</v>
      </c>
      <c r="H9" s="0" t="n">
        <f aca="false">D9/(1-'Correcao Taxa de Contagem'!$A$8*D9)</f>
        <v>55.084853983947</v>
      </c>
      <c r="I9" s="0" t="n">
        <f aca="false">SQRT(E9^2+ D9^4*'Correcao Taxa de Contagem'!$B$8^2)/(1-D9*'Correcao Taxa de Contagem'!$A$8)^2</f>
        <v>1.71196780296938</v>
      </c>
      <c r="J9" s="4" t="n">
        <f aca="false">H9/$D$7</f>
        <v>1.11170240129056</v>
      </c>
      <c r="K9" s="3" t="n">
        <f aca="false">IF(H9&gt;0,SQRT((I9/H9)^2+($E$7/$D$7)^2),0)*J9</f>
        <v>0.0494047571147097</v>
      </c>
    </row>
    <row r="10" customFormat="false" ht="13.8" hidden="false" customHeight="false" outlineLevel="0" collapsed="false">
      <c r="A10" s="0" t="n">
        <v>800</v>
      </c>
      <c r="B10" s="0" t="n">
        <v>1161</v>
      </c>
      <c r="C10" s="2" t="n">
        <f aca="false">SQRT(B10)</f>
        <v>34.0734500748016</v>
      </c>
      <c r="D10" s="3" t="n">
        <f aca="false">B10/20</f>
        <v>58.05</v>
      </c>
      <c r="E10" s="5" t="n">
        <f aca="false">(1/20)*C10</f>
        <v>1.70367250374008</v>
      </c>
      <c r="F10" s="6" t="n">
        <f aca="false">D10/$D$7</f>
        <v>1.1715438950555</v>
      </c>
      <c r="G10" s="3" t="n">
        <f aca="false">IF(D10&gt;0,SQRT((E10/D10)^2+($E$7/$D$7)^2),0)*F10</f>
        <v>0.0506671833071051</v>
      </c>
      <c r="H10" s="0" t="n">
        <f aca="false">D10/(1-'Correcao Taxa de Contagem'!$A$8*D10)</f>
        <v>59.3055762141684</v>
      </c>
      <c r="I10" s="0" t="n">
        <f aca="false">SQRT(E10^2+ D10^4*'Correcao Taxa de Contagem'!$B$8^2)/(1-D10*'Correcao Taxa de Contagem'!$A$8)^2</f>
        <v>1.78089954280936</v>
      </c>
      <c r="J10" s="4" t="n">
        <f aca="false">H10/$D$7</f>
        <v>1.19688347556344</v>
      </c>
      <c r="K10" s="3" t="n">
        <f aca="false">IF(H10&gt;0,SQRT((I10/H10)^2+($E$7/$D$7)^2),0)*J10</f>
        <v>0.0523194872881463</v>
      </c>
    </row>
    <row r="11" customFormat="false" ht="13.8" hidden="false" customHeight="false" outlineLevel="0" collapsed="false">
      <c r="A11" s="0" t="n">
        <v>825</v>
      </c>
      <c r="B11" s="0" t="n">
        <v>1184</v>
      </c>
      <c r="C11" s="2" t="n">
        <f aca="false">SQRT(B11)</f>
        <v>34.4093010681705</v>
      </c>
      <c r="D11" s="3" t="n">
        <f aca="false">B11/20</f>
        <v>59.2</v>
      </c>
      <c r="E11" s="5" t="n">
        <f aca="false">(1/20)*C11</f>
        <v>1.72046505340853</v>
      </c>
      <c r="F11" s="6" t="n">
        <f aca="false">D11/$D$7</f>
        <v>1.19475277497477</v>
      </c>
      <c r="G11" s="3" t="n">
        <f aca="false">IF(D11&gt;0,SQRT((E11/D11)^2+($E$7/$D$7)^2),0)*F11</f>
        <v>0.0514392940958409</v>
      </c>
      <c r="H11" s="0" t="n">
        <f aca="false">D11/(1-'Correcao Taxa de Contagem'!$A$8*D11)</f>
        <v>60.5063759422004</v>
      </c>
      <c r="I11" s="0" t="n">
        <f aca="false">SQRT(E11^2+ D11^4*'Correcao Taxa de Contagem'!$B$8^2)/(1-D11*'Correcao Taxa de Contagem'!$A$8)^2</f>
        <v>1.80016274166203</v>
      </c>
      <c r="J11" s="4" t="n">
        <f aca="false">H11/$D$7</f>
        <v>1.22111757703734</v>
      </c>
      <c r="K11" s="3" t="n">
        <f aca="false">IF(H11&gt;0,SQRT((I11/H11)^2+($E$7/$D$7)^2),0)*J11</f>
        <v>0.0531465478960129</v>
      </c>
    </row>
    <row r="12" customFormat="false" ht="13.8" hidden="false" customHeight="false" outlineLevel="0" collapsed="false">
      <c r="A12" s="0" t="n">
        <v>850</v>
      </c>
      <c r="B12" s="0" t="n">
        <v>1176</v>
      </c>
      <c r="C12" s="2" t="n">
        <f aca="false">SQRT(B12)</f>
        <v>34.2928563989645</v>
      </c>
      <c r="D12" s="3" t="n">
        <f aca="false">B12/20</f>
        <v>58.8</v>
      </c>
      <c r="E12" s="5" t="n">
        <f aca="false">(1/20)*C12</f>
        <v>1.71464281994822</v>
      </c>
      <c r="F12" s="6" t="n">
        <f aca="false">D12/$D$7</f>
        <v>1.18668012108981</v>
      </c>
      <c r="G12" s="3" t="n">
        <f aca="false">IF(D12&gt;0,SQRT((E12/D12)^2+($E$7/$D$7)^2),0)*F12</f>
        <v>0.051170850435459</v>
      </c>
      <c r="H12" s="0" t="n">
        <f aca="false">D12/(1-'Correcao Taxa de Contagem'!$A$8*D12)</f>
        <v>60.0885897223556</v>
      </c>
      <c r="I12" s="0" t="n">
        <f aca="false">SQRT(E12^2+ D12^4*'Correcao Taxa de Contagem'!$B$8^2)/(1-D12*'Correcao Taxa de Contagem'!$A$8)^2</f>
        <v>1.7934772277991</v>
      </c>
      <c r="J12" s="4" t="n">
        <f aca="false">H12/$D$7</f>
        <v>1.21268596816056</v>
      </c>
      <c r="K12" s="3" t="n">
        <f aca="false">IF(H12&gt;0,SQRT((I12/H12)^2+($E$7/$D$7)^2),0)*J12</f>
        <v>0.0528588954724911</v>
      </c>
    </row>
    <row r="13" customFormat="false" ht="13.8" hidden="false" customHeight="false" outlineLevel="0" collapsed="false">
      <c r="A13" s="0" t="n">
        <v>875</v>
      </c>
      <c r="B13" s="0" t="n">
        <v>1168</v>
      </c>
      <c r="C13" s="2" t="n">
        <f aca="false">SQRT(B13)</f>
        <v>34.1760149812701</v>
      </c>
      <c r="D13" s="3" t="n">
        <f aca="false">B13/20</f>
        <v>58.4</v>
      </c>
      <c r="E13" s="5" t="n">
        <f aca="false">(1/20)*C13</f>
        <v>1.70880074906351</v>
      </c>
      <c r="F13" s="6" t="n">
        <f aca="false">D13/$D$7</f>
        <v>1.17860746720484</v>
      </c>
      <c r="G13" s="3" t="n">
        <f aca="false">IF(D13&gt;0,SQRT((E13/D13)^2+($E$7/$D$7)^2),0)*F13</f>
        <v>0.0509022829610984</v>
      </c>
      <c r="H13" s="0" t="n">
        <f aca="false">D13/(1-'Correcao Taxa de Contagem'!$A$8*D13)</f>
        <v>59.6709280512597</v>
      </c>
      <c r="I13" s="0" t="n">
        <f aca="false">SQRT(E13^2+ D13^4*'Correcao Taxa de Contagem'!$B$8^2)/(1-D13*'Correcao Taxa de Contagem'!$A$8)^2</f>
        <v>1.7867760639558</v>
      </c>
      <c r="J13" s="4" t="n">
        <f aca="false">H13/$D$7</f>
        <v>1.20425687288112</v>
      </c>
      <c r="K13" s="3" t="n">
        <f aca="false">IF(H13&gt;0,SQRT((I13/H13)^2+($E$7/$D$7)^2),0)*J13</f>
        <v>0.0525712214318882</v>
      </c>
    </row>
    <row r="14" customFormat="false" ht="13.8" hidden="false" customHeight="false" outlineLevel="0" collapsed="false">
      <c r="A14" s="0" t="n">
        <v>900</v>
      </c>
      <c r="B14" s="0" t="n">
        <v>1220</v>
      </c>
      <c r="C14" s="2" t="n">
        <f aca="false">SQRT(B14)</f>
        <v>34.928498393146</v>
      </c>
      <c r="D14" s="3" t="n">
        <f aca="false">B14/20</f>
        <v>61</v>
      </c>
      <c r="E14" s="5" t="n">
        <f aca="false">(1/20)*C14</f>
        <v>1.7464249196573</v>
      </c>
      <c r="F14" s="6" t="n">
        <f aca="false">D14/$D$7</f>
        <v>1.23107971745711</v>
      </c>
      <c r="G14" s="3" t="n">
        <f aca="false">IF(D14&gt;0,SQRT((E14/D14)^2+($E$7/$D$7)^2),0)*F14</f>
        <v>0.0526458091320086</v>
      </c>
      <c r="H14" s="0" t="n">
        <f aca="false">D14/(1-'Correcao Taxa de Contagem'!$A$8*D14)</f>
        <v>62.3879567170388</v>
      </c>
      <c r="I14" s="0" t="n">
        <f aca="false">SQRT(E14^2+ D14^4*'Correcao Taxa de Contagem'!$B$8^2)/(1-D14*'Correcao Taxa de Contagem'!$A$8)^2</f>
        <v>1.83005934945706</v>
      </c>
      <c r="J14" s="4" t="n">
        <f aca="false">H14/$D$7</f>
        <v>1.25909095291703</v>
      </c>
      <c r="K14" s="3" t="n">
        <f aca="false">IF(H14&gt;0,SQRT((I14/H14)^2+($E$7/$D$7)^2),0)*J14</f>
        <v>0.0544407697623148</v>
      </c>
    </row>
    <row r="15" customFormat="false" ht="13.8" hidden="false" customHeight="false" outlineLevel="0" collapsed="false">
      <c r="A15" s="0" t="n">
        <v>925</v>
      </c>
      <c r="B15" s="0" t="n">
        <v>1251</v>
      </c>
      <c r="C15" s="2" t="n">
        <f aca="false">SQRT(B15)</f>
        <v>35.3694783676548</v>
      </c>
      <c r="D15" s="3" t="n">
        <f aca="false">B15/20</f>
        <v>62.55</v>
      </c>
      <c r="E15" s="5" t="n">
        <f aca="false">(1/20)*C15</f>
        <v>1.76847391838274</v>
      </c>
      <c r="F15" s="6" t="n">
        <f aca="false">D15/$D$7</f>
        <v>1.26236125126135</v>
      </c>
      <c r="G15" s="3" t="n">
        <f aca="false">IF(D15&gt;0,SQRT((E15/D15)^2+($E$7/$D$7)^2),0)*F15</f>
        <v>0.0536829010461437</v>
      </c>
      <c r="H15" s="0" t="n">
        <f aca="false">D15/(1-'Correcao Taxa de Contagem'!$A$8*D15)</f>
        <v>64.0102326180585</v>
      </c>
      <c r="I15" s="0" t="n">
        <f aca="false">SQRT(E15^2+ D15^4*'Correcao Taxa de Contagem'!$B$8^2)/(1-D15*'Correcao Taxa de Contagem'!$A$8)^2</f>
        <v>1.85556679813743</v>
      </c>
      <c r="J15" s="4" t="n">
        <f aca="false">H15/$D$7</f>
        <v>1.29183113255416</v>
      </c>
      <c r="K15" s="3" t="n">
        <f aca="false">IF(H15&gt;0,SQRT((I15/H15)^2+($E$7/$D$7)^2),0)*J15</f>
        <v>0.0555550541367392</v>
      </c>
      <c r="O15" s="4"/>
      <c r="P15" s="4"/>
    </row>
    <row r="16" customFormat="false" ht="13.8" hidden="false" customHeight="false" outlineLevel="0" collapsed="false">
      <c r="A16" s="0" t="n">
        <v>950</v>
      </c>
      <c r="B16" s="0" t="n">
        <v>1294</v>
      </c>
      <c r="C16" s="2" t="n">
        <f aca="false">SQRT(B16)</f>
        <v>35.9722114972099</v>
      </c>
      <c r="D16" s="3" t="n">
        <f aca="false">B16/20</f>
        <v>64.7</v>
      </c>
      <c r="E16" s="5" t="n">
        <f aca="false">(1/20)*C16</f>
        <v>1.7986105748605</v>
      </c>
      <c r="F16" s="6" t="n">
        <f aca="false">D16/$D$7</f>
        <v>1.30575176589304</v>
      </c>
      <c r="G16" s="3" t="n">
        <f aca="false">IF(D16&gt;0,SQRT((E16/D16)^2+($E$7/$D$7)^2),0)*F16</f>
        <v>0.0551188006005448</v>
      </c>
      <c r="H16" s="0" t="n">
        <f aca="false">D16/(1-'Correcao Taxa de Contagem'!$A$8*D16)</f>
        <v>66.263596207446</v>
      </c>
      <c r="I16" s="0" t="n">
        <f aca="false">SQRT(E16^2+ D16^4*'Correcao Taxa de Contagem'!$B$8^2)/(1-D16*'Correcao Taxa de Contagem'!$A$8)^2</f>
        <v>1.89060634267134</v>
      </c>
      <c r="J16" s="4" t="n">
        <f aca="false">H16/$D$7</f>
        <v>1.33730769338943</v>
      </c>
      <c r="K16" s="3" t="n">
        <f aca="false">IF(H16&gt;0,SQRT((I16/H16)^2+($E$7/$D$7)^2),0)*J16</f>
        <v>0.057100593503831</v>
      </c>
      <c r="O16" s="4"/>
      <c r="P16" s="4"/>
    </row>
    <row r="17" customFormat="false" ht="13.8" hidden="false" customHeight="false" outlineLevel="0" collapsed="false">
      <c r="A17" s="0" t="n">
        <v>975</v>
      </c>
      <c r="B17" s="0" t="n">
        <v>1239</v>
      </c>
      <c r="C17" s="2" t="n">
        <f aca="false">SQRT(B17)</f>
        <v>35.1994318135961</v>
      </c>
      <c r="D17" s="3" t="n">
        <f aca="false">B17/20</f>
        <v>61.95</v>
      </c>
      <c r="E17" s="5" t="n">
        <f aca="false">(1/20)*C17</f>
        <v>1.7599715906798</v>
      </c>
      <c r="F17" s="6" t="n">
        <f aca="false">D17/$D$7</f>
        <v>1.25025227043391</v>
      </c>
      <c r="G17" s="3" t="n">
        <f aca="false">IF(D17&gt;0,SQRT((E17/D17)^2+($E$7/$D$7)^2),0)*F17</f>
        <v>0.0532816423438387</v>
      </c>
      <c r="H17" s="0" t="n">
        <f aca="false">D17/(1-'Correcao Taxa de Contagem'!$A$8*D17)</f>
        <v>63.3820322433152</v>
      </c>
      <c r="I17" s="0" t="n">
        <f aca="false">SQRT(E17^2+ D17^4*'Correcao Taxa de Contagem'!$B$8^2)/(1-D17*'Correcao Taxa de Contagem'!$A$8)^2</f>
        <v>1.84571817168942</v>
      </c>
      <c r="J17" s="4" t="n">
        <f aca="false">H17/$D$7</f>
        <v>1.27915302206489</v>
      </c>
      <c r="K17" s="3" t="n">
        <f aca="false">IF(H17&gt;0,SQRT((I17/H17)^2+($E$7/$D$7)^2),0)*J17</f>
        <v>0.0551237310406356</v>
      </c>
      <c r="O17" s="4"/>
      <c r="P17" s="4"/>
    </row>
    <row r="18" customFormat="false" ht="13.8" hidden="false" customHeight="false" outlineLevel="0" collapsed="false">
      <c r="A18" s="0" t="n">
        <v>1000</v>
      </c>
      <c r="B18" s="0" t="n">
        <v>1278</v>
      </c>
      <c r="C18" s="2" t="n">
        <f aca="false">SQRT(B18)</f>
        <v>35.749125863439</v>
      </c>
      <c r="D18" s="3" t="n">
        <f aca="false">B18/20</f>
        <v>63.9</v>
      </c>
      <c r="E18" s="5" t="n">
        <f aca="false">(1/20)*C18</f>
        <v>1.78745629317195</v>
      </c>
      <c r="F18" s="6" t="n">
        <f aca="false">D18/$D$7</f>
        <v>1.28960645812311</v>
      </c>
      <c r="G18" s="3" t="n">
        <f aca="false">IF(D18&gt;0,SQRT((E18/D18)^2+($E$7/$D$7)^2),0)*F18</f>
        <v>0.0545848590406195</v>
      </c>
      <c r="H18" s="0" t="n">
        <f aca="false">D18/(1-'Correcao Taxa de Contagem'!$A$8*D18)</f>
        <v>65.4247126655788</v>
      </c>
      <c r="I18" s="0" t="n">
        <f aca="false">SQRT(E18^2+ D18^4*'Correcao Taxa de Contagem'!$B$8^2)/(1-D18*'Correcao Taxa de Contagem'!$A$8)^2</f>
        <v>1.87761332421148</v>
      </c>
      <c r="J18" s="4" t="n">
        <f aca="false">H18/$D$7</f>
        <v>1.32037765218121</v>
      </c>
      <c r="K18" s="3" t="n">
        <f aca="false">IF(H18&gt;0,SQRT((I18/H18)^2+($E$7/$D$7)^2),0)*J18</f>
        <v>0.056525506403346</v>
      </c>
      <c r="O18" s="4"/>
      <c r="P18" s="4"/>
    </row>
    <row r="19" customFormat="false" ht="13.8" hidden="false" customHeight="false" outlineLevel="0" collapsed="false">
      <c r="A19" s="0" t="n">
        <v>1025</v>
      </c>
      <c r="B19" s="0" t="n">
        <v>1405</v>
      </c>
      <c r="C19" s="2" t="n">
        <f aca="false">SQRT(B19)</f>
        <v>37.4833296279826</v>
      </c>
      <c r="D19" s="3" t="n">
        <f aca="false">B19/20</f>
        <v>70.25</v>
      </c>
      <c r="E19" s="5" t="n">
        <f aca="false">(1/20)*C19</f>
        <v>1.87416648139913</v>
      </c>
      <c r="F19" s="6" t="n">
        <f aca="false">D19/$D$7</f>
        <v>1.41775983854692</v>
      </c>
      <c r="G19" s="3" t="n">
        <f aca="false">IF(D19&gt;0,SQRT((E19/D19)^2+($E$7/$D$7)^2),0)*F19</f>
        <v>0.0588126958837765</v>
      </c>
      <c r="H19" s="0" t="n">
        <f aca="false">D19/(1-'Correcao Taxa de Contagem'!$A$8*D19)</f>
        <v>72.0971831202392</v>
      </c>
      <c r="I19" s="0" t="n">
        <f aca="false">SQRT(E19^2+ D19^4*'Correcao Taxa de Contagem'!$B$8^2)/(1-D19*'Correcao Taxa de Contagem'!$A$8)^2</f>
        <v>1.97939413430336</v>
      </c>
      <c r="J19" s="4" t="n">
        <f aca="false">H19/$D$7</f>
        <v>1.45503901352652</v>
      </c>
      <c r="K19" s="3" t="n">
        <f aca="false">IF(H19&gt;0,SQRT((I19/H19)^2+($E$7/$D$7)^2),0)*J19</f>
        <v>0.0610914178809125</v>
      </c>
      <c r="O19" s="4"/>
      <c r="P19" s="4"/>
    </row>
    <row r="20" customFormat="false" ht="13.8" hidden="false" customHeight="false" outlineLevel="0" collapsed="false">
      <c r="A20" s="0" t="n">
        <v>1050</v>
      </c>
      <c r="B20" s="0" t="n">
        <v>1286</v>
      </c>
      <c r="C20" s="2" t="n">
        <f aca="false">SQRT(B20)</f>
        <v>35.8608421540822</v>
      </c>
      <c r="D20" s="3" t="n">
        <f aca="false">B20/20</f>
        <v>64.3</v>
      </c>
      <c r="E20" s="5" t="n">
        <f aca="false">(1/20)*C20</f>
        <v>1.79304210770411</v>
      </c>
      <c r="F20" s="6" t="n">
        <f aca="false">D20/$D$7</f>
        <v>1.29767911200807</v>
      </c>
      <c r="G20" s="3" t="n">
        <f aca="false">IF(D20&gt;0,SQRT((E20/D20)^2+($E$7/$D$7)^2),0)*F20</f>
        <v>0.0548518800816026</v>
      </c>
      <c r="H20" s="0" t="n">
        <f aca="false">D20/(1-'Correcao Taxa de Contagem'!$A$8*D20)</f>
        <v>65.8440917776026</v>
      </c>
      <c r="I20" s="0" t="n">
        <f aca="false">SQRT(E20^2+ D20^4*'Correcao Taxa de Contagem'!$B$8^2)/(1-D20*'Correcao Taxa de Contagem'!$A$8)^2</f>
        <v>1.88411636745534</v>
      </c>
      <c r="J20" s="4" t="n">
        <f aca="false">H20/$D$7</f>
        <v>1.32884140822609</v>
      </c>
      <c r="K20" s="3" t="n">
        <f aca="false">IF(H20&gt;0,SQRT((I20/H20)^2+($E$7/$D$7)^2),0)*J20</f>
        <v>0.0568130483792088</v>
      </c>
      <c r="O20" s="4"/>
      <c r="P20" s="4"/>
    </row>
    <row r="21" customFormat="false" ht="13.8" hidden="false" customHeight="false" outlineLevel="0" collapsed="false">
      <c r="A21" s="0" t="n">
        <v>1075</v>
      </c>
      <c r="B21" s="0" t="n">
        <v>1320</v>
      </c>
      <c r="C21" s="2" t="n">
        <f aca="false">SQRT(B21)</f>
        <v>36.3318042491699</v>
      </c>
      <c r="D21" s="3" t="n">
        <f aca="false">B21/20</f>
        <v>66</v>
      </c>
      <c r="E21" s="5" t="n">
        <f aca="false">(1/20)*C21</f>
        <v>1.8165902124585</v>
      </c>
      <c r="F21" s="6" t="n">
        <f aca="false">D21/$D$7</f>
        <v>1.33198789101917</v>
      </c>
      <c r="G21" s="3" t="n">
        <f aca="false">IF(D21&gt;0,SQRT((E21/D21)^2+($E$7/$D$7)^2),0)*F21</f>
        <v>0.0559856154298262</v>
      </c>
      <c r="H21" s="0" t="n">
        <f aca="false">D21/(1-'Correcao Taxa de Contagem'!$A$8*D21)</f>
        <v>67.6278517598342</v>
      </c>
      <c r="I21" s="0" t="n">
        <f aca="false">SQRT(E21^2+ D21^4*'Correcao Taxa de Contagem'!$B$8^2)/(1-D21*'Correcao Taxa de Contagem'!$A$8)^2</f>
        <v>1.91161052835429</v>
      </c>
      <c r="J21" s="4" t="n">
        <f aca="false">H21/$D$7</f>
        <v>1.3648406006021</v>
      </c>
      <c r="K21" s="3" t="n">
        <f aca="false">IF(H21&gt;0,SQRT((I21/H21)^2+($E$7/$D$7)^2),0)*J21</f>
        <v>0.0580351556729305</v>
      </c>
      <c r="O21" s="4"/>
      <c r="P21" s="4"/>
    </row>
    <row r="22" customFormat="false" ht="13.8" hidden="false" customHeight="false" outlineLevel="0" collapsed="false">
      <c r="A22" s="0" t="n">
        <v>1100</v>
      </c>
      <c r="B22" s="0" t="n">
        <v>1374</v>
      </c>
      <c r="C22" s="2" t="n">
        <f aca="false">SQRT(B22)</f>
        <v>37.0675059857013</v>
      </c>
      <c r="D22" s="3" t="n">
        <f aca="false">B22/20</f>
        <v>68.7</v>
      </c>
      <c r="E22" s="5" t="n">
        <f aca="false">(1/20)*C22</f>
        <v>1.85337529928506</v>
      </c>
      <c r="F22" s="6" t="n">
        <f aca="false">D22/$D$7</f>
        <v>1.38647830474268</v>
      </c>
      <c r="G22" s="3" t="n">
        <f aca="false">IF(D22&gt;0,SQRT((E22/D22)^2+($E$7/$D$7)^2),0)*F22</f>
        <v>0.0577827832893746</v>
      </c>
      <c r="H22" s="0" t="n">
        <f aca="false">D22/(1-'Correcao Taxa de Contagem'!$A$8*D22)</f>
        <v>70.4655453620083</v>
      </c>
      <c r="I22" s="0" t="n">
        <f aca="false">SQRT(E22^2+ D22^4*'Correcao Taxa de Contagem'!$B$8^2)/(1-D22*'Correcao Taxa de Contagem'!$A$8)^2</f>
        <v>1.95482324107445</v>
      </c>
      <c r="J22" s="4" t="n">
        <f aca="false">H22/$D$7</f>
        <v>1.42210989630693</v>
      </c>
      <c r="K22" s="3" t="n">
        <f aca="false">IF(H22&gt;0,SQRT((I22/H22)^2+($E$7/$D$7)^2),0)*J22</f>
        <v>0.0599765498776156</v>
      </c>
      <c r="O22" s="4"/>
      <c r="P22" s="4"/>
    </row>
    <row r="23" customFormat="false" ht="13.8" hidden="false" customHeight="false" outlineLevel="0" collapsed="false">
      <c r="A23" s="0" t="n">
        <v>1125</v>
      </c>
      <c r="B23" s="0" t="n">
        <v>1382</v>
      </c>
      <c r="C23" s="2" t="n">
        <f aca="false">SQRT(B23)</f>
        <v>37.1752605908822</v>
      </c>
      <c r="D23" s="3" t="n">
        <f aca="false">B23/20</f>
        <v>69.1</v>
      </c>
      <c r="E23" s="5" t="n">
        <f aca="false">(1/20)*C23</f>
        <v>1.85876302954411</v>
      </c>
      <c r="F23" s="6" t="n">
        <f aca="false">D23/$D$7</f>
        <v>1.39455095862765</v>
      </c>
      <c r="G23" s="3" t="n">
        <f aca="false">IF(D23&gt;0,SQRT((E23/D23)^2+($E$7/$D$7)^2),0)*F23</f>
        <v>0.0580486880688581</v>
      </c>
      <c r="H23" s="0" t="n">
        <f aca="false">D23/(1-'Correcao Taxa de Contagem'!$A$8*D23)</f>
        <v>70.8864320030905</v>
      </c>
      <c r="I23" s="0" t="n">
        <f aca="false">SQRT(E23^2+ D23^4*'Correcao Taxa de Contagem'!$B$8^2)/(1-D23*'Correcao Taxa de Contagem'!$A$8)^2</f>
        <v>1.9611800791263</v>
      </c>
      <c r="J23" s="4" t="n">
        <f aca="false">H23/$D$7</f>
        <v>1.43060407675258</v>
      </c>
      <c r="K23" s="3" t="n">
        <f aca="false">IF(H23&gt;0,SQRT((I23/H23)^2+($E$7/$D$7)^2),0)*J23</f>
        <v>0.0602642274263233</v>
      </c>
      <c r="O23" s="4"/>
      <c r="P23" s="4"/>
    </row>
    <row r="24" customFormat="false" ht="13.8" hidden="false" customHeight="false" outlineLevel="0" collapsed="false">
      <c r="A24" s="0" t="n">
        <v>1150</v>
      </c>
      <c r="B24" s="0" t="n">
        <v>1315</v>
      </c>
      <c r="C24" s="2" t="n">
        <f aca="false">SQRT(B24)</f>
        <v>36.2629287289375</v>
      </c>
      <c r="D24" s="3" t="n">
        <f aca="false">B24/20</f>
        <v>65.75</v>
      </c>
      <c r="E24" s="5" t="n">
        <f aca="false">(1/20)*C24</f>
        <v>1.81314643644687</v>
      </c>
      <c r="F24" s="6" t="n">
        <f aca="false">D24/$D$7</f>
        <v>1.32694248234107</v>
      </c>
      <c r="G24" s="3" t="n">
        <f aca="false">IF(D24&gt;0,SQRT((E24/D24)^2+($E$7/$D$7)^2),0)*F24</f>
        <v>0.0558189992735597</v>
      </c>
      <c r="H24" s="0" t="n">
        <f aca="false">D24/(1-'Correcao Taxa de Contagem'!$A$8*D24)</f>
        <v>67.3653919866451</v>
      </c>
      <c r="I24" s="0" t="n">
        <f aca="false">SQRT(E24^2+ D24^4*'Correcao Taxa de Contagem'!$B$8^2)/(1-D24*'Correcao Taxa de Contagem'!$A$8)^2</f>
        <v>1.90758157934117</v>
      </c>
      <c r="J24" s="4" t="n">
        <f aca="false">H24/$D$7</f>
        <v>1.3595437333329</v>
      </c>
      <c r="K24" s="3" t="n">
        <f aca="false">IF(H24&gt;0,SQRT((I24/H24)^2+($E$7/$D$7)^2),0)*J24</f>
        <v>0.0578554258584639</v>
      </c>
      <c r="O24" s="4"/>
      <c r="P24" s="4"/>
    </row>
    <row r="25" customFormat="false" ht="13.8" hidden="false" customHeight="false" outlineLevel="0" collapsed="false">
      <c r="A25" s="0" t="n">
        <v>1175</v>
      </c>
      <c r="B25" s="0" t="n">
        <v>1407</v>
      </c>
      <c r="C25" s="2" t="n">
        <f aca="false">SQRT(B25)</f>
        <v>37.5099986670221</v>
      </c>
      <c r="D25" s="3" t="n">
        <f aca="false">B25/20</f>
        <v>70.35</v>
      </c>
      <c r="E25" s="5" t="n">
        <f aca="false">(1/20)*C25</f>
        <v>1.87549993335111</v>
      </c>
      <c r="F25" s="6" t="n">
        <f aca="false">D25/$D$7</f>
        <v>1.41977800201816</v>
      </c>
      <c r="G25" s="3" t="n">
        <f aca="false">IF(D25&gt;0,SQRT((E25/D25)^2+($E$7/$D$7)^2),0)*F25</f>
        <v>0.0588790991085921</v>
      </c>
      <c r="H25" s="0" t="n">
        <f aca="false">D25/(1-'Correcao Taxa de Contagem'!$A$8*D25)</f>
        <v>72.2025150867808</v>
      </c>
      <c r="I25" s="0" t="n">
        <f aca="false">SQRT(E25^2+ D25^4*'Correcao Taxa de Contagem'!$B$8^2)/(1-D25*'Correcao Taxa de Contagem'!$A$8)^2</f>
        <v>1.98097370376058</v>
      </c>
      <c r="J25" s="4" t="n">
        <f aca="false">H25/$D$7</f>
        <v>1.4571647847988</v>
      </c>
      <c r="K25" s="3" t="n">
        <f aca="false">IF(H25&gt;0,SQRT((I25/H25)^2+($E$7/$D$7)^2),0)*J25</f>
        <v>0.0611633564049175</v>
      </c>
      <c r="O25" s="4"/>
      <c r="P25" s="4"/>
    </row>
    <row r="26" customFormat="false" ht="13.8" hidden="false" customHeight="false" outlineLevel="0" collapsed="false">
      <c r="A26" s="0" t="n">
        <v>1200</v>
      </c>
      <c r="B26" s="0" t="n">
        <v>1469</v>
      </c>
      <c r="C26" s="2" t="n">
        <f aca="false">SQRT(B26)</f>
        <v>38.3275357934736</v>
      </c>
      <c r="D26" s="3" t="n">
        <f aca="false">B26/20</f>
        <v>73.45</v>
      </c>
      <c r="E26" s="5" t="n">
        <f aca="false">(1/20)*C26</f>
        <v>1.91637678967368</v>
      </c>
      <c r="F26" s="6" t="n">
        <f aca="false">D26/$D$7</f>
        <v>1.48234106962664</v>
      </c>
      <c r="G26" s="3" t="n">
        <f aca="false">IF(D26&gt;0,SQRT((E26/D26)^2+($E$7/$D$7)^2),0)*F26</f>
        <v>0.0609351619509325</v>
      </c>
      <c r="H26" s="0" t="n">
        <f aca="false">D26/(1-'Correcao Taxa de Contagem'!$A$8*D26)</f>
        <v>75.4717217517054</v>
      </c>
      <c r="I26" s="0" t="n">
        <f aca="false">SQRT(E26^2+ D26^4*'Correcao Taxa de Contagem'!$B$8^2)/(1-D26*'Correcao Taxa de Contagem'!$A$8)^2</f>
        <v>2.02961752921979</v>
      </c>
      <c r="J26" s="4" t="n">
        <f aca="false">H26/$D$7</f>
        <v>1.5231427195097</v>
      </c>
      <c r="K26" s="3" t="n">
        <f aca="false">IF(H26&gt;0,SQRT((I26/H26)^2+($E$7/$D$7)^2),0)*J26</f>
        <v>0.0633942941281892</v>
      </c>
      <c r="O26" s="4"/>
      <c r="P2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M2" activeCellId="0" sqref="M2"/>
    </sheetView>
  </sheetViews>
  <sheetFormatPr defaultRowHeight="14.4"/>
  <cols>
    <col collapsed="false" hidden="false" max="1" min="1" style="0" width="10.8178137651822"/>
    <col collapsed="false" hidden="false" max="2" min="2" style="0" width="11.0323886639676"/>
    <col collapsed="false" hidden="false" max="3" min="3" style="0" width="8.57085020242915"/>
    <col collapsed="false" hidden="false" max="4" min="4" style="0" width="10.6032388663968"/>
    <col collapsed="false" hidden="false" max="5" min="5" style="0" width="9.4251012145749"/>
    <col collapsed="false" hidden="false" max="6" min="6" style="0" width="11.3562753036437"/>
    <col collapsed="false" hidden="false" max="7" min="7" style="0" width="9.85425101214575"/>
    <col collapsed="false" hidden="false" max="8" min="8" style="0" width="8.35627530364373"/>
    <col collapsed="false" hidden="false" max="9" min="9" style="0" width="10.3886639676113"/>
    <col collapsed="false" hidden="false" max="11" min="10" style="0" width="8.57085020242915"/>
    <col collapsed="false" hidden="false" max="12" min="12" style="0" width="12.1052631578947"/>
    <col collapsed="false" hidden="false" max="13" min="13" style="0" width="12.2105263157895"/>
    <col collapsed="false" hidden="false" max="1025" min="14" style="0" width="8.57085020242915"/>
  </cols>
  <sheetData>
    <row r="1" customFormat="false" ht="13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3</v>
      </c>
      <c r="K1" s="1" t="s">
        <v>19</v>
      </c>
      <c r="L1" s="1" t="s">
        <v>20</v>
      </c>
      <c r="M1" s="1" t="s">
        <v>21</v>
      </c>
    </row>
    <row r="2" customFormat="false" ht="13.8" hidden="false" customHeight="false" outlineLevel="0" collapsed="false">
      <c r="A2" s="7" t="s">
        <v>22</v>
      </c>
      <c r="B2" s="2" t="n">
        <v>11232</v>
      </c>
      <c r="C2" s="8" t="n">
        <f aca="false">SQRT(B2)</f>
        <v>105.981130395934</v>
      </c>
      <c r="D2" s="8" t="n">
        <v>11334</v>
      </c>
      <c r="E2" s="8" t="n">
        <f aca="false">SQRT(D2)</f>
        <v>106.461260559886</v>
      </c>
      <c r="F2" s="8" t="n">
        <f aca="false">(B2+D2)</f>
        <v>22566</v>
      </c>
      <c r="G2" s="2" t="n">
        <f aca="false">SQRT(C2*C2+E2*E2)</f>
        <v>150.219838902856</v>
      </c>
      <c r="H2" s="0" t="n">
        <f aca="false">F2-$F$5</f>
        <v>22523</v>
      </c>
      <c r="I2" s="0" t="n">
        <f aca="false">SQRT(G2^2+G$5^2)</f>
        <v>150.362894358948</v>
      </c>
      <c r="J2" s="9" t="n">
        <f aca="false">H2/120</f>
        <v>187.691666666667</v>
      </c>
      <c r="K2" s="10" t="n">
        <f aca="false">I2/120</f>
        <v>1.2530241196579</v>
      </c>
      <c r="L2" s="0" t="n">
        <f aca="false">J2/(1-A$8*J2)</f>
        <v>201.483766001216</v>
      </c>
      <c r="M2" s="0" t="n">
        <f aca="false">SQRT(K2^2+ J2^4*A$8^2)/(1-J2*B$8)^2</f>
        <v>13.0458830668295</v>
      </c>
    </row>
    <row r="3" customFormat="false" ht="13.8" hidden="false" customHeight="false" outlineLevel="0" collapsed="false">
      <c r="A3" s="0" t="s">
        <v>23</v>
      </c>
      <c r="B3" s="8" t="n">
        <v>10850</v>
      </c>
      <c r="C3" s="8" t="n">
        <f aca="false">SQRT(B3)</f>
        <v>104.163333279998</v>
      </c>
      <c r="D3" s="8" t="n">
        <v>10675</v>
      </c>
      <c r="E3" s="8" t="n">
        <f aca="false">SQRT(D3)</f>
        <v>103.319891598859</v>
      </c>
      <c r="F3" s="8" t="n">
        <f aca="false">(B3+D3)</f>
        <v>21525</v>
      </c>
      <c r="G3" s="2" t="n">
        <f aca="false">SQRT(C3*C3+E3*E3)</f>
        <v>146.714007511212</v>
      </c>
      <c r="H3" s="0" t="n">
        <f aca="false">F3-$F$5</f>
        <v>21482</v>
      </c>
      <c r="I3" s="0" t="n">
        <f aca="false">SQRT(G3^2+G$5^2)</f>
        <v>146.860478005486</v>
      </c>
      <c r="J3" s="9" t="n">
        <f aca="false">H3/120</f>
        <v>179.016666666667</v>
      </c>
      <c r="K3" s="10" t="n">
        <f aca="false">I3/120</f>
        <v>1.22383731671239</v>
      </c>
      <c r="L3" s="0" t="n">
        <f aca="false">J3/(1-A$8*J3)</f>
        <v>191.520835213553</v>
      </c>
      <c r="M3" s="0" t="n">
        <f aca="false">SQRT(K3^2+ J3^4*A$8^2)/(1-J3*B$8)^2</f>
        <v>11.8705375156734</v>
      </c>
    </row>
    <row r="4" customFormat="false" ht="13.8" hidden="false" customHeight="false" outlineLevel="0" collapsed="false">
      <c r="A4" s="7" t="s">
        <v>24</v>
      </c>
      <c r="B4" s="2" t="n">
        <v>20506</v>
      </c>
      <c r="C4" s="8" t="n">
        <f aca="false">SQRT(B4)</f>
        <v>143.199162008721</v>
      </c>
      <c r="D4" s="8" t="n">
        <v>20601</v>
      </c>
      <c r="E4" s="8" t="n">
        <f aca="false">SQRT(D4)</f>
        <v>143.530484566868</v>
      </c>
      <c r="F4" s="8" t="n">
        <f aca="false">(B4+D4)</f>
        <v>41107</v>
      </c>
      <c r="G4" s="2" t="n">
        <f aca="false">SQRT(C4*C4+E4*E4)</f>
        <v>202.748612818929</v>
      </c>
      <c r="H4" s="0" t="n">
        <f aca="false">F4-$F$5</f>
        <v>41064</v>
      </c>
      <c r="I4" s="0" t="n">
        <f aca="false">SQRT(G4^2+G$5^2)</f>
        <v>202.854627751008</v>
      </c>
      <c r="J4" s="9" t="n">
        <f aca="false">H4/120</f>
        <v>342.2</v>
      </c>
      <c r="K4" s="10" t="n">
        <f aca="false">I4/120</f>
        <v>1.6904552312584</v>
      </c>
      <c r="L4" s="0" t="n">
        <f aca="false">J4/(1-A$8*J4)</f>
        <v>390.997723238603</v>
      </c>
      <c r="M4" s="0" t="n">
        <f aca="false">SQRT(K4^2+ J4^4*A$8^2)/(1-J4*B$8)^2</f>
        <v>43.573095687698</v>
      </c>
    </row>
    <row r="5" customFormat="false" ht="13.8" hidden="false" customHeight="false" outlineLevel="0" collapsed="false">
      <c r="A5" s="0" t="s">
        <v>25</v>
      </c>
      <c r="B5" s="8" t="n">
        <v>24</v>
      </c>
      <c r="C5" s="8" t="n">
        <f aca="false">SQRT(B5)</f>
        <v>4.89897948556636</v>
      </c>
      <c r="D5" s="8" t="n">
        <v>19</v>
      </c>
      <c r="E5" s="8" t="n">
        <f aca="false">SQRT(D5)</f>
        <v>4.35889894354067</v>
      </c>
      <c r="F5" s="8" t="n">
        <f aca="false">(B5+D5)</f>
        <v>43</v>
      </c>
      <c r="G5" s="2" t="n">
        <f aca="false">SQRT(C5*C5+E5*E5)</f>
        <v>6.557438524302</v>
      </c>
      <c r="H5" s="8" t="n">
        <f aca="false">F5</f>
        <v>43</v>
      </c>
      <c r="I5" s="8" t="n">
        <f aca="false">G5</f>
        <v>6.557438524302</v>
      </c>
      <c r="J5" s="9" t="n">
        <f aca="false">F5/120</f>
        <v>0.358333333333333</v>
      </c>
      <c r="K5" s="10" t="n">
        <f aca="false">G5/120</f>
        <v>0.05464532103585</v>
      </c>
      <c r="L5" s="0" t="n">
        <f aca="false">J5/(1-A$8*J5)</f>
        <v>0.358380168978304</v>
      </c>
      <c r="M5" s="0" t="n">
        <f aca="false">SQRT(K5^2+ J5^4*A$8^2)/(1-J5*B$8)^2</f>
        <v>0.0546464390425293</v>
      </c>
    </row>
    <row r="6" customFormat="false" ht="13.8" hidden="false" customHeight="false" outlineLevel="0" collapsed="false"/>
    <row r="7" customFormat="false" ht="13.8" hidden="false" customHeight="false" outlineLevel="0" collapsed="false">
      <c r="A7" s="1" t="s">
        <v>26</v>
      </c>
      <c r="B7" s="1" t="s">
        <v>27</v>
      </c>
    </row>
    <row r="8" customFormat="false" ht="13.8" hidden="false" customHeight="false" outlineLevel="0" collapsed="false">
      <c r="A8" s="11" t="n">
        <f aca="false">(J2+J3-J4)/(2*J2*J3)</f>
        <v>0.00036470803022309</v>
      </c>
      <c r="B8" s="0" t="n">
        <f aca="false">0.5*SQRT(J3^2*(J3-J4)^2*K2+J2^2*(J2-J4)^2*K3+J2^2*J3^2*K4)/(J2^2*J3^2)</f>
        <v>2.80350971499965E-005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L2" activeCellId="0" sqref="L2"/>
    </sheetView>
  </sheetViews>
  <sheetFormatPr defaultRowHeight="14.4"/>
  <cols>
    <col collapsed="false" hidden="false" max="1" min="1" style="0" width="8.57085020242915"/>
    <col collapsed="false" hidden="false" max="2" min="2" style="0" width="10.6032388663968"/>
    <col collapsed="false" hidden="false" max="5" min="3" style="0" width="8.57085020242915"/>
    <col collapsed="false" hidden="false" max="6" min="6" style="0" width="12.8542510121458"/>
    <col collapsed="false" hidden="false" max="7" min="7" style="0" width="8.57085020242915"/>
    <col collapsed="false" hidden="false" max="8" min="8" style="0" width="11.9959514170041"/>
    <col collapsed="false" hidden="false" max="9" min="9" style="0" width="8.57085020242915"/>
    <col collapsed="false" hidden="false" max="10" min="10" style="0" width="10.3886639676113"/>
    <col collapsed="false" hidden="false" max="11" min="11" style="0" width="8.57085020242915"/>
    <col collapsed="false" hidden="false" max="12" min="12" style="0" width="9.74898785425101"/>
    <col collapsed="false" hidden="false" max="1025" min="13" style="0" width="8.57085020242915"/>
  </cols>
  <sheetData>
    <row r="1" customFormat="false" ht="13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customFormat="false" ht="14.4" hidden="false" customHeight="false" outlineLevel="0" collapsed="false">
      <c r="A2" s="0" t="n">
        <v>626</v>
      </c>
      <c r="B2" s="8" t="n">
        <f aca="false">SQRT(A2)</f>
        <v>25.0199920063936</v>
      </c>
      <c r="C2" s="0" t="n">
        <v>651</v>
      </c>
      <c r="D2" s="8" t="n">
        <f aca="false">SQRT(C2)</f>
        <v>25.5147016443461</v>
      </c>
      <c r="E2" s="0" t="n">
        <f aca="false">A2+C2</f>
        <v>1277</v>
      </c>
      <c r="F2" s="2" t="n">
        <f aca="false">SQRT(B2*B2+D2*D2)</f>
        <v>35.7351367704113</v>
      </c>
      <c r="G2" s="8" t="n">
        <f aca="false">'Correcao Taxa de Contagem'!F5</f>
        <v>43</v>
      </c>
      <c r="H2" s="8" t="n">
        <f aca="false">'Correcao Taxa de Contagem'!G5</f>
        <v>6.557438524302</v>
      </c>
      <c r="I2" s="0" t="n">
        <f aca="false">(E2-G2)/120</f>
        <v>10.2833333333333</v>
      </c>
      <c r="J2" s="0" t="n">
        <f aca="false">SQRT(F2^2+H2^2)/120</f>
        <v>0.302765035409749</v>
      </c>
      <c r="K2" s="0" t="n">
        <f aca="false">I2/(1-'Correcao Taxa de Contagem'!A8*I2)</f>
        <v>10.3220452789761</v>
      </c>
      <c r="L2" s="0" t="n">
        <f aca="false">SQRT(J2^2+ I2^4*'Correcao Taxa de Contagem'!B8^2)/(1-I2*'Correcao Taxa de Contagem'!A8)^2</f>
        <v>0.305063487623943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RowHeight="14.4"/>
  <cols>
    <col collapsed="false" hidden="false" max="7" min="1" style="0" width="8.57085020242915"/>
    <col collapsed="false" hidden="false" max="8" min="8" style="0" width="12.6396761133603"/>
    <col collapsed="false" hidden="false" max="9" min="9" style="0" width="8.57085020242915"/>
    <col collapsed="false" hidden="false" max="10" min="10" style="0" width="11.0323886639676"/>
    <col collapsed="false" hidden="false" max="11" min="11" style="0" width="8.57085020242915"/>
    <col collapsed="false" hidden="false" max="12" min="12" style="0" width="9.10526315789474"/>
    <col collapsed="false" hidden="false" max="1025" min="13" style="0" width="8.57085020242915"/>
  </cols>
  <sheetData>
    <row r="1" customFormat="false" ht="13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customFormat="false" ht="13.8" hidden="false" customHeight="false" outlineLevel="0" collapsed="false">
      <c r="A2" s="0" t="n">
        <v>1291</v>
      </c>
      <c r="B2" s="8" t="n">
        <f aca="false">SQRT(A2)</f>
        <v>35.9304884464434</v>
      </c>
      <c r="C2" s="0" t="n">
        <v>1244</v>
      </c>
      <c r="D2" s="8" t="n">
        <f aca="false">SQRT(C2)</f>
        <v>35.2703841770968</v>
      </c>
      <c r="E2" s="0" t="n">
        <f aca="false">A2+C2</f>
        <v>2535</v>
      </c>
      <c r="F2" s="2" t="n">
        <f aca="false">SQRT(B2*B2+D2*D2)</f>
        <v>50.3487835006964</v>
      </c>
      <c r="G2" s="8" t="n">
        <f aca="false">'Eficiencia a Beta'!F5</f>
        <v>0</v>
      </c>
      <c r="H2" s="8" t="n">
        <f aca="false">'Eficiencia a Beta'!G5</f>
        <v>0</v>
      </c>
      <c r="I2" s="0" t="n">
        <f aca="false">(E2-G2)/120</f>
        <v>21.125</v>
      </c>
      <c r="J2" s="0" t="n">
        <f aca="false">SQRT(F2^2+H2^2)/120</f>
        <v>0.419573195839137</v>
      </c>
      <c r="K2" s="0" t="n">
        <f aca="false">I2/(1-'Eficiencia a Beta'!A8*I2)</f>
        <v>21.125</v>
      </c>
      <c r="L2" s="0" t="n">
        <f aca="false">SQRT(J2^2+ I2^4*'Eficiencia a Beta'!B8^2)/(1-I2*'Eficiencia a Beta'!A8)^2</f>
        <v>0.419573195839137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2017-10-29T16:51:29Z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