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ao_\Downloads\"/>
    </mc:Choice>
  </mc:AlternateContent>
  <bookViews>
    <workbookView xWindow="0" yWindow="0" windowWidth="19200" windowHeight="6940" tabRatio="985" activeTab="4" xr2:uid="{00000000-000D-0000-FFFF-FFFF00000000}"/>
  </bookViews>
  <sheets>
    <sheet name="Determinação da Energy Range" sheetId="1" r:id="rId1"/>
    <sheet name="Calibração - Semana 1" sheetId="2" r:id="rId2"/>
    <sheet name="Estudo da Fonte Desconhecida" sheetId="3" r:id="rId3"/>
    <sheet name="Calibração - Semana 2" sheetId="4" r:id="rId4"/>
    <sheet name="Estudo de DEdx" sheetId="5" r:id="rId5"/>
  </sheets>
  <calcPr calcId="171027" iterateDelta="1E-4"/>
</workbook>
</file>

<file path=xl/calcChain.xml><?xml version="1.0" encoding="utf-8"?>
<calcChain xmlns="http://schemas.openxmlformats.org/spreadsheetml/2006/main">
  <c r="K8" i="5" l="1"/>
  <c r="K7" i="5"/>
  <c r="K6" i="5"/>
  <c r="K5" i="5"/>
  <c r="K4" i="5"/>
  <c r="K3" i="5"/>
  <c r="K2" i="5"/>
  <c r="C33" i="4"/>
  <c r="J32" i="4"/>
  <c r="H32" i="4"/>
  <c r="I32" i="4" s="1"/>
  <c r="E24" i="4"/>
  <c r="D24" i="4" s="1"/>
  <c r="F24" i="4" s="1"/>
  <c r="E20" i="4"/>
  <c r="D20" i="4"/>
  <c r="F20" i="4" s="1"/>
  <c r="E17" i="4"/>
  <c r="D17" i="4"/>
  <c r="F17" i="4" s="1"/>
  <c r="F13" i="4"/>
  <c r="E13" i="4"/>
  <c r="D13" i="4"/>
  <c r="E10" i="4"/>
  <c r="D10" i="4" s="1"/>
  <c r="F10" i="4" s="1"/>
  <c r="E6" i="4"/>
  <c r="D6" i="4"/>
  <c r="F6" i="4" s="1"/>
  <c r="E2" i="4"/>
  <c r="D2" i="4"/>
  <c r="F2" i="4" s="1"/>
  <c r="J11" i="2"/>
  <c r="K11" i="2" s="1"/>
  <c r="I11" i="2"/>
  <c r="H11" i="2"/>
  <c r="L11" i="2" s="1"/>
  <c r="M11" i="2" s="1"/>
  <c r="F7" i="2"/>
  <c r="F6" i="2"/>
  <c r="F5" i="2"/>
  <c r="F4" i="2"/>
  <c r="F3" i="2"/>
  <c r="F2" i="2"/>
  <c r="F7" i="1"/>
  <c r="F6" i="1"/>
  <c r="F5" i="1"/>
  <c r="F4" i="1"/>
  <c r="F3" i="1"/>
  <c r="F2" i="1"/>
  <c r="K32" i="4" l="1"/>
  <c r="L32" i="4"/>
  <c r="M32" i="4" s="1"/>
</calcChain>
</file>

<file path=xl/sharedStrings.xml><?xml version="1.0" encoding="utf-8"?>
<sst xmlns="http://schemas.openxmlformats.org/spreadsheetml/2006/main" count="138" uniqueCount="101">
  <si>
    <t>Range</t>
  </si>
  <si>
    <t>N_t</t>
  </si>
  <si>
    <t>Erro N_t</t>
  </si>
  <si>
    <t>FWHM</t>
  </si>
  <si>
    <t>C</t>
  </si>
  <si>
    <t>Erro C</t>
  </si>
  <si>
    <t>V_0</t>
  </si>
  <si>
    <t>G</t>
  </si>
  <si>
    <t>3-8</t>
  </si>
  <si>
    <t>4-7</t>
  </si>
  <si>
    <t>3-5</t>
  </si>
  <si>
    <t>4-6</t>
  </si>
  <si>
    <t>5-7</t>
  </si>
  <si>
    <t>6-8</t>
  </si>
  <si>
    <t>taq</t>
  </si>
  <si>
    <t>150 s</t>
  </si>
  <si>
    <t>Tensão (V)</t>
  </si>
  <si>
    <t>4.6</t>
  </si>
  <si>
    <t>4.9</t>
  </si>
  <si>
    <t>5.2</t>
  </si>
  <si>
    <t>5.5</t>
  </si>
  <si>
    <t>5.8</t>
  </si>
  <si>
    <t>6.1</t>
  </si>
  <si>
    <t>Conversao</t>
  </si>
  <si>
    <t>Ponto Graduador</t>
  </si>
  <si>
    <t>K</t>
  </si>
  <si>
    <t>Erro K</t>
  </si>
  <si>
    <t>a'</t>
  </si>
  <si>
    <t>Erro a'</t>
  </si>
  <si>
    <t>b'</t>
  </si>
  <si>
    <t>Erro b'</t>
  </si>
  <si>
    <t>Centroide</t>
  </si>
  <si>
    <t>Erro Centroide</t>
  </si>
  <si>
    <t>Energia</t>
  </si>
  <si>
    <t>Calibracao Tensao-Canal</t>
  </si>
  <si>
    <t>a</t>
  </si>
  <si>
    <t>erro a</t>
  </si>
  <si>
    <t>b</t>
  </si>
  <si>
    <t>erro b</t>
  </si>
  <si>
    <t>df</t>
  </si>
  <si>
    <t>$\lambda$</t>
  </si>
  <si>
    <t>err</t>
  </si>
  <si>
    <t>$\mu$</t>
  </si>
  <si>
    <t>$\sigma$</t>
  </si>
  <si>
    <t>$\Delta E_{imp}$</t>
  </si>
  <si>
    <t>N</t>
  </si>
  <si>
    <t>Chi^2/Ndf</t>
  </si>
  <si>
    <t>big</t>
  </si>
  <si>
    <t>0.269085</t>
  </si>
  <si>
    <t>0.0276246</t>
  </si>
  <si>
    <t>481.322</t>
  </si>
  <si>
    <t>0.116233</t>
  </si>
  <si>
    <t>3.82073</t>
  </si>
  <si>
    <t>0.0502504</t>
  </si>
  <si>
    <t>6.71323</t>
  </si>
  <si>
    <t>0.322673</t>
  </si>
  <si>
    <t>50364.5</t>
  </si>
  <si>
    <t>235.943</t>
  </si>
  <si>
    <t>0.953005</t>
  </si>
  <si>
    <t>med</t>
  </si>
  <si>
    <t>0.147226</t>
  </si>
  <si>
    <t>0.0180008</t>
  </si>
  <si>
    <t>456.87</t>
  </si>
  <si>
    <t>0.127022</t>
  </si>
  <si>
    <t>4.7933</t>
  </si>
  <si>
    <t>0.140684</t>
  </si>
  <si>
    <t>11.1889</t>
  </si>
  <si>
    <t>0.7007</t>
  </si>
  <si>
    <t>9988.6</t>
  </si>
  <si>
    <t>138.1</t>
  </si>
  <si>
    <t>0.669495</t>
  </si>
  <si>
    <t>small</t>
  </si>
  <si>
    <t>0.215221</t>
  </si>
  <si>
    <t>0.0223658</t>
  </si>
  <si>
    <t>425.964</t>
  </si>
  <si>
    <t>0.296723</t>
  </si>
  <si>
    <t>6.89987</t>
  </si>
  <si>
    <t>0.333891</t>
  </si>
  <si>
    <t>19.0062</t>
  </si>
  <si>
    <t>1.41646</t>
  </si>
  <si>
    <t>2232.57</t>
  </si>
  <si>
    <t>61.5977</t>
  </si>
  <si>
    <t>1.10856</t>
  </si>
  <si>
    <t>Ntot</t>
  </si>
  <si>
    <t>Nfit</t>
  </si>
  <si>
    <t>62585.6</t>
  </si>
  <si>
    <t>Pulso</t>
  </si>
  <si>
    <t>Canal</t>
  </si>
  <si>
    <t>Contagens</t>
  </si>
  <si>
    <t>sigma estatistico</t>
  </si>
  <si>
    <t>Centróide</t>
  </si>
  <si>
    <t>Prateleira</t>
  </si>
  <si>
    <t>d(mm)</t>
  </si>
  <si>
    <t>1/eficiencia</t>
  </si>
  <si>
    <t>t_aq (s)</t>
  </si>
  <si>
    <t>N_s</t>
  </si>
  <si>
    <t>Erro N_s</t>
  </si>
  <si>
    <t>Alcance</t>
  </si>
  <si>
    <t>dE/dx</t>
  </si>
  <si>
    <t>O</t>
  </si>
  <si>
    <t>0.2 O + 0.8 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</si>
</sst>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#,##0.000"/>
    <numFmt numFmtId="166" formatCode="0.0000"/>
  </numFmts>
  <fonts count="4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</fills>
  <borders count="6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27">
    <xf numFmtId="0" fontId="0" fillId="0" borderId="0" xfId="0"/>
    <xf numFmtId="164" fontId="0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164" fontId="0" fillId="0" borderId="0" xfId="0" applyNumberFormat="1" applyBorder="1" applyAlignment="1">
      <alignment horizontal="center" vertical="center" wrapText="1"/>
    </xf>
    <xf numFmtId="164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Font="1" applyAlignment="1">
      <alignment horizontal="center"/>
    </xf>
    <xf numFmtId="0" fontId="3" fillId="0" borderId="0" xfId="0" applyFont="1"/>
    <xf numFmtId="0" fontId="0" fillId="2" borderId="1" xfId="0" applyFont="1" applyFill="1" applyBorder="1" applyAlignment="1">
      <alignment horizontal="center" vertical="center"/>
    </xf>
    <xf numFmtId="164" fontId="0" fillId="2" borderId="1" xfId="0" applyNumberFormat="1" applyFont="1" applyFill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0" fillId="0" borderId="0" xfId="0" applyFon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2" fontId="0" fillId="0" borderId="0" xfId="0" applyNumberFormat="1"/>
    <xf numFmtId="0" fontId="1" fillId="0" borderId="0" xfId="1" applyAlignment="1">
      <alignment horizontal="center" vertical="center"/>
    </xf>
    <xf numFmtId="0" fontId="1" fillId="0" borderId="2" xfId="1" applyBorder="1"/>
    <xf numFmtId="0" fontId="1" fillId="0" borderId="0" xfId="1" applyBorder="1" applyAlignment="1">
      <alignment horizontal="center" vertical="center"/>
    </xf>
    <xf numFmtId="0" fontId="1" fillId="0" borderId="0" xfId="1" applyBorder="1"/>
    <xf numFmtId="0" fontId="1" fillId="0" borderId="3" xfId="1" applyBorder="1" applyAlignment="1">
      <alignment horizontal="center" vertical="center"/>
    </xf>
    <xf numFmtId="0" fontId="1" fillId="0" borderId="5" xfId="1" applyBorder="1" applyAlignment="1">
      <alignment horizontal="center" vertical="center"/>
    </xf>
    <xf numFmtId="0" fontId="1" fillId="0" borderId="4" xfId="1" applyBorder="1" applyAlignment="1">
      <alignment horizontal="center" vertical="center"/>
    </xf>
  </cellXfs>
  <cellStyles count="2">
    <cellStyle name="Normal" xfId="0" builtinId="0"/>
    <cellStyle name="Normal 2" xfId="1" xr:uid="{00000000-0005-0000-0000-00002F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2" displayName="Tabela2" ref="A1:H7" totalsRowShown="0">
  <autoFilter ref="A1:H7" xr:uid="{00000000-0009-0000-0100-000001000000}"/>
  <tableColumns count="8">
    <tableColumn id="1" xr3:uid="{00000000-0010-0000-0000-000001000000}" name="Range"/>
    <tableColumn id="2" xr3:uid="{00000000-0010-0000-0000-000002000000}" name="N_t"/>
    <tableColumn id="3" xr3:uid="{00000000-0010-0000-0000-000003000000}" name="Erro N_t"/>
    <tableColumn id="4" xr3:uid="{00000000-0010-0000-0000-000004000000}" name="FWHM"/>
    <tableColumn id="5" xr3:uid="{00000000-0010-0000-0000-000005000000}" name="C"/>
    <tableColumn id="6" xr3:uid="{00000000-0010-0000-0000-000006000000}" name="Erro C"/>
    <tableColumn id="7" xr3:uid="{00000000-0010-0000-0000-000007000000}" name="V_0"/>
    <tableColumn id="8" xr3:uid="{00000000-0010-0000-0000-000008000000}" name="G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ela24" displayName="Tabela24" ref="A1:F7" totalsRowShown="0">
  <autoFilter ref="A1:F7" xr:uid="{00000000-0009-0000-0100-000002000000}"/>
  <tableColumns count="6">
    <tableColumn id="1" xr3:uid="{00000000-0010-0000-0100-000001000000}" name="Tensão (V)"/>
    <tableColumn id="2" xr3:uid="{00000000-0010-0000-0100-000002000000}" name="N_t"/>
    <tableColumn id="3" xr3:uid="{00000000-0010-0000-0100-000003000000}" name="Erro N_t"/>
    <tableColumn id="4" xr3:uid="{00000000-0010-0000-0100-000004000000}" name="FWHM"/>
    <tableColumn id="5" xr3:uid="{00000000-0010-0000-0100-000005000000}" name="C"/>
    <tableColumn id="6" xr3:uid="{00000000-0010-0000-0100-000006000000}" name="Erro C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ela5" displayName="Tabela5" ref="A1:K8" totalsRowShown="0">
  <autoFilter ref="A1:K8" xr:uid="{00000000-0009-0000-0100-000003000000}"/>
  <tableColumns count="11">
    <tableColumn id="1" xr3:uid="{00000000-0010-0000-0200-000001000000}" name="Prateleira"/>
    <tableColumn id="2" xr3:uid="{00000000-0010-0000-0200-000002000000}" name="d(mm)"/>
    <tableColumn id="3" xr3:uid="{00000000-0010-0000-0200-000003000000}" name="1/eficiencia"/>
    <tableColumn id="4" xr3:uid="{00000000-0010-0000-0200-000004000000}" name="t_aq (s)"/>
    <tableColumn id="5" xr3:uid="{00000000-0010-0000-0200-000005000000}" name="N_t"/>
    <tableColumn id="6" xr3:uid="{00000000-0010-0000-0200-000006000000}" name="Erro N_t"/>
    <tableColumn id="7" xr3:uid="{00000000-0010-0000-0200-000007000000}" name="N_s"/>
    <tableColumn id="8" xr3:uid="{00000000-0010-0000-0200-000008000000}" name="Erro N_s"/>
    <tableColumn id="9" xr3:uid="{00000000-0010-0000-0200-000009000000}" name="FWHM"/>
    <tableColumn id="10" xr3:uid="{00000000-0010-0000-0200-00000A000000}" name="C"/>
    <tableColumn id="11" xr3:uid="{00000000-0010-0000-0200-00000B000000}" name="Erro C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"/>
  <sheetViews>
    <sheetView zoomScaleNormal="100" workbookViewId="0">
      <selection activeCell="B8" sqref="B8"/>
    </sheetView>
  </sheetViews>
  <sheetFormatPr defaultRowHeight="14.5" x14ac:dyDescent="0.35"/>
  <cols>
    <col min="1" max="1" width="10.54296875"/>
    <col min="2" max="2" width="8.26953125"/>
    <col min="3" max="3" width="12.1796875"/>
    <col min="4" max="4" width="10.90625"/>
    <col min="5" max="5" width="11.81640625"/>
    <col min="6" max="6" width="10.26953125"/>
    <col min="7" max="1025" width="8.54296875"/>
  </cols>
  <sheetData>
    <row r="1" spans="1:8" x14ac:dyDescent="0.3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</row>
    <row r="2" spans="1:8" x14ac:dyDescent="0.35">
      <c r="A2" s="8" t="s">
        <v>8</v>
      </c>
      <c r="B2" s="9">
        <v>87</v>
      </c>
      <c r="C2" s="9">
        <v>9</v>
      </c>
      <c r="D2" s="9">
        <v>3.93</v>
      </c>
      <c r="E2" s="10">
        <v>630.35</v>
      </c>
      <c r="F2" s="10">
        <f t="shared" ref="F2:F7" si="0">D2/(2.355*SQRT(B2))</f>
        <v>0.17891304721496959</v>
      </c>
      <c r="G2" s="9">
        <v>3</v>
      </c>
      <c r="H2" s="9">
        <v>2</v>
      </c>
    </row>
    <row r="3" spans="1:8" x14ac:dyDescent="0.35">
      <c r="A3" s="8" t="s">
        <v>9</v>
      </c>
      <c r="B3" s="9">
        <v>84</v>
      </c>
      <c r="C3" s="9">
        <v>9</v>
      </c>
      <c r="D3" s="9">
        <v>5.16</v>
      </c>
      <c r="E3" s="10">
        <v>633.23</v>
      </c>
      <c r="F3" s="10">
        <f t="shared" si="0"/>
        <v>0.23906673325217004</v>
      </c>
      <c r="G3" s="9">
        <v>4</v>
      </c>
      <c r="H3" s="9">
        <v>3.33</v>
      </c>
    </row>
    <row r="4" spans="1:8" x14ac:dyDescent="0.35">
      <c r="A4" s="8" t="s">
        <v>10</v>
      </c>
      <c r="B4" s="9">
        <v>1</v>
      </c>
      <c r="C4" s="9"/>
      <c r="D4" s="9"/>
      <c r="E4" s="10">
        <v>0</v>
      </c>
      <c r="F4" s="10">
        <f t="shared" si="0"/>
        <v>0</v>
      </c>
      <c r="G4" s="9">
        <v>3</v>
      </c>
      <c r="H4" s="9">
        <v>5</v>
      </c>
    </row>
    <row r="5" spans="1:8" x14ac:dyDescent="0.35">
      <c r="A5" s="8" t="s">
        <v>11</v>
      </c>
      <c r="B5" s="9">
        <v>91</v>
      </c>
      <c r="C5" s="9">
        <v>10</v>
      </c>
      <c r="D5" s="9">
        <v>1.57</v>
      </c>
      <c r="E5" s="10">
        <v>932</v>
      </c>
      <c r="F5" s="10">
        <f t="shared" si="0"/>
        <v>6.988565578146122E-2</v>
      </c>
      <c r="G5" s="9">
        <v>4</v>
      </c>
      <c r="H5" s="9">
        <v>5</v>
      </c>
    </row>
    <row r="6" spans="1:8" x14ac:dyDescent="0.35">
      <c r="A6" s="8" t="s">
        <v>12</v>
      </c>
      <c r="B6" s="9">
        <v>84</v>
      </c>
      <c r="C6" s="9">
        <v>9</v>
      </c>
      <c r="D6" s="9">
        <v>7.69</v>
      </c>
      <c r="E6" s="10">
        <v>347.42</v>
      </c>
      <c r="F6" s="10">
        <f t="shared" si="0"/>
        <v>0.35628356176534642</v>
      </c>
      <c r="G6" s="9">
        <v>5</v>
      </c>
      <c r="H6" s="9">
        <v>5</v>
      </c>
    </row>
    <row r="7" spans="1:8" x14ac:dyDescent="0.35">
      <c r="A7" s="8" t="s">
        <v>13</v>
      </c>
      <c r="B7" s="9">
        <v>0</v>
      </c>
      <c r="C7" s="9">
        <v>0</v>
      </c>
      <c r="D7" s="9"/>
      <c r="E7" s="11">
        <v>0</v>
      </c>
      <c r="F7" s="10" t="e">
        <f t="shared" si="0"/>
        <v>#DIV/0!</v>
      </c>
      <c r="G7" s="9">
        <v>6</v>
      </c>
      <c r="H7" s="9">
        <v>5</v>
      </c>
    </row>
    <row r="9" spans="1:8" x14ac:dyDescent="0.35">
      <c r="A9" s="9" t="s">
        <v>14</v>
      </c>
    </row>
    <row r="10" spans="1:8" x14ac:dyDescent="0.35">
      <c r="A10" s="12" t="s">
        <v>15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6"/>
  <sheetViews>
    <sheetView zoomScaleNormal="100" workbookViewId="0">
      <selection activeCell="I11" sqref="I11"/>
    </sheetView>
  </sheetViews>
  <sheetFormatPr defaultRowHeight="14.5" x14ac:dyDescent="0.35"/>
  <cols>
    <col min="1" max="1" width="14.1796875"/>
    <col min="2" max="2" width="11.7265625"/>
    <col min="3" max="3" width="12.1796875"/>
    <col min="4" max="4" width="10.90625"/>
    <col min="5" max="5" width="8.54296875"/>
    <col min="6" max="6" width="11.36328125"/>
    <col min="7" max="10" width="8.54296875"/>
    <col min="11" max="11" width="11.7265625"/>
    <col min="12" max="1025" width="8.54296875"/>
  </cols>
  <sheetData>
    <row r="1" spans="1:13" x14ac:dyDescent="0.35">
      <c r="A1" s="7" t="s">
        <v>16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</row>
    <row r="2" spans="1:13" x14ac:dyDescent="0.35">
      <c r="A2" s="8" t="s">
        <v>17</v>
      </c>
      <c r="B2" s="9">
        <v>883</v>
      </c>
      <c r="C2" s="9">
        <v>30</v>
      </c>
      <c r="D2" s="9">
        <v>3.98</v>
      </c>
      <c r="E2" s="10">
        <v>49.4</v>
      </c>
      <c r="F2" s="10">
        <f t="shared" ref="F2:F7" si="0">D2/(2.355*SQRT(B2))</f>
        <v>5.6873742691752376E-2</v>
      </c>
    </row>
    <row r="3" spans="1:13" x14ac:dyDescent="0.35">
      <c r="A3" s="8" t="s">
        <v>18</v>
      </c>
      <c r="B3" s="9">
        <v>882</v>
      </c>
      <c r="C3" s="9">
        <v>30</v>
      </c>
      <c r="D3" s="9">
        <v>4.96</v>
      </c>
      <c r="E3" s="10">
        <v>228.47</v>
      </c>
      <c r="F3" s="10">
        <f t="shared" si="0"/>
        <v>7.0917998881514024E-2</v>
      </c>
    </row>
    <row r="4" spans="1:13" x14ac:dyDescent="0.35">
      <c r="A4" s="8" t="s">
        <v>19</v>
      </c>
      <c r="B4" s="9">
        <v>883</v>
      </c>
      <c r="C4" s="9">
        <v>30</v>
      </c>
      <c r="D4" s="9">
        <v>4.16</v>
      </c>
      <c r="E4" s="10">
        <v>403.5</v>
      </c>
      <c r="F4" s="10">
        <f t="shared" si="0"/>
        <v>5.9445922009469819E-2</v>
      </c>
    </row>
    <row r="5" spans="1:13" x14ac:dyDescent="0.35">
      <c r="A5" s="8" t="s">
        <v>20</v>
      </c>
      <c r="B5" s="9">
        <v>883</v>
      </c>
      <c r="C5" s="9">
        <v>30</v>
      </c>
      <c r="D5" s="9">
        <v>3.87</v>
      </c>
      <c r="E5" s="10">
        <v>573.55999999999995</v>
      </c>
      <c r="F5" s="10">
        <f t="shared" si="0"/>
        <v>5.5301855330925048E-2</v>
      </c>
    </row>
    <row r="6" spans="1:13" x14ac:dyDescent="0.35">
      <c r="A6" s="8" t="s">
        <v>21</v>
      </c>
      <c r="B6" s="9">
        <v>883</v>
      </c>
      <c r="C6" s="9">
        <v>30</v>
      </c>
      <c r="D6" s="9">
        <v>4.41</v>
      </c>
      <c r="E6" s="10">
        <v>742.07</v>
      </c>
      <c r="F6" s="10">
        <f t="shared" si="0"/>
        <v>6.3018393284077379E-2</v>
      </c>
    </row>
    <row r="7" spans="1:13" x14ac:dyDescent="0.35">
      <c r="A7" s="8" t="s">
        <v>22</v>
      </c>
      <c r="B7" s="9">
        <v>883</v>
      </c>
      <c r="C7" s="9">
        <v>30</v>
      </c>
      <c r="D7" s="9">
        <v>3.75</v>
      </c>
      <c r="E7" s="10">
        <v>918.28</v>
      </c>
      <c r="F7" s="10">
        <f t="shared" si="0"/>
        <v>5.3587069119113415E-2</v>
      </c>
    </row>
    <row r="9" spans="1:13" x14ac:dyDescent="0.35">
      <c r="D9" s="13"/>
      <c r="H9" s="6" t="s">
        <v>23</v>
      </c>
      <c r="I9" s="6"/>
      <c r="J9" s="6"/>
      <c r="K9" s="6"/>
    </row>
    <row r="10" spans="1:13" x14ac:dyDescent="0.35">
      <c r="A10" s="6" t="s">
        <v>24</v>
      </c>
      <c r="B10" s="6"/>
      <c r="C10" s="6"/>
      <c r="G10" s="13"/>
      <c r="H10" s="9" t="s">
        <v>25</v>
      </c>
      <c r="I10" s="9" t="s">
        <v>26</v>
      </c>
      <c r="J10" s="9" t="s">
        <v>27</v>
      </c>
      <c r="K10" s="9" t="s">
        <v>28</v>
      </c>
      <c r="L10" s="9" t="s">
        <v>29</v>
      </c>
      <c r="M10" s="9" t="s">
        <v>30</v>
      </c>
    </row>
    <row r="11" spans="1:13" x14ac:dyDescent="0.35">
      <c r="A11" s="9" t="s">
        <v>3</v>
      </c>
      <c r="B11" s="9" t="s">
        <v>31</v>
      </c>
      <c r="C11" s="12" t="s">
        <v>32</v>
      </c>
      <c r="D11" s="9" t="s">
        <v>33</v>
      </c>
      <c r="H11" s="9">
        <f>D12/(A16*B12+C16)*1000</f>
        <v>1038.1094459176488</v>
      </c>
      <c r="I11" s="9">
        <f>SQRT(POWER(B12*H11*B16/(A16*B12+C16),2)+POWER(H11*D16/(A16*B12+C16),2)+POWER(A16*H11*C12/(A16*B12+C16),2))</f>
        <v>0.12681283563583459</v>
      </c>
      <c r="J11" s="9">
        <f>H11*A16</f>
        <v>1.798721855847051</v>
      </c>
      <c r="K11">
        <f>SQRT((J11/H11*I11)^2+(J11/A16*B16)^2)</f>
        <v>2.6061592146594279E-4</v>
      </c>
      <c r="L11" s="9">
        <f>H11*C16</f>
        <v>4680.0880528416183</v>
      </c>
      <c r="M11">
        <f>(L11/H11*I11+L11/C16*D16)</f>
        <v>0.65475652631373227</v>
      </c>
    </row>
    <row r="12" spans="1:13" x14ac:dyDescent="0.35">
      <c r="A12" s="14">
        <v>7.69</v>
      </c>
      <c r="B12" s="9">
        <v>347.42</v>
      </c>
      <c r="C12" s="15">
        <v>0.35628356176534598</v>
      </c>
      <c r="D12" s="16">
        <v>5.3049999999999997</v>
      </c>
      <c r="H12" s="13"/>
      <c r="M12" s="13"/>
    </row>
    <row r="14" spans="1:13" x14ac:dyDescent="0.35">
      <c r="A14" s="6" t="s">
        <v>34</v>
      </c>
      <c r="B14" s="6"/>
      <c r="C14" s="6"/>
      <c r="D14" s="6"/>
    </row>
    <row r="15" spans="1:13" x14ac:dyDescent="0.35">
      <c r="A15" s="9" t="s">
        <v>35</v>
      </c>
      <c r="B15" s="9" t="s">
        <v>36</v>
      </c>
      <c r="C15" s="9" t="s">
        <v>37</v>
      </c>
      <c r="D15" s="9" t="s">
        <v>38</v>
      </c>
    </row>
    <row r="16" spans="1:13" x14ac:dyDescent="0.35">
      <c r="A16" s="9">
        <v>1.7326900000000001E-3</v>
      </c>
      <c r="B16" s="9">
        <v>1.35E-7</v>
      </c>
      <c r="C16" s="9">
        <v>4.5082800000000001</v>
      </c>
      <c r="D16" s="9">
        <v>8.0000000000000007E-5</v>
      </c>
    </row>
  </sheetData>
  <mergeCells count="3">
    <mergeCell ref="H9:K9"/>
    <mergeCell ref="A10:C10"/>
    <mergeCell ref="A14:D14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8"/>
  <sheetViews>
    <sheetView zoomScaleNormal="100" workbookViewId="0">
      <selection activeCell="A7" sqref="A7"/>
    </sheetView>
  </sheetViews>
  <sheetFormatPr defaultRowHeight="14.5" x14ac:dyDescent="0.35"/>
  <cols>
    <col min="1" max="1025" width="8.54296875"/>
  </cols>
  <sheetData>
    <row r="1" spans="1:12" x14ac:dyDescent="0.35">
      <c r="A1" t="s">
        <v>39</v>
      </c>
      <c r="B1" t="s">
        <v>40</v>
      </c>
      <c r="C1" t="s">
        <v>41</v>
      </c>
      <c r="D1" t="s">
        <v>42</v>
      </c>
      <c r="E1" t="s">
        <v>41</v>
      </c>
      <c r="F1" t="s">
        <v>43</v>
      </c>
      <c r="G1" t="s">
        <v>41</v>
      </c>
      <c r="H1" t="s">
        <v>44</v>
      </c>
      <c r="I1" t="s">
        <v>41</v>
      </c>
      <c r="J1" t="s">
        <v>45</v>
      </c>
      <c r="K1" t="s">
        <v>41</v>
      </c>
      <c r="L1" t="s">
        <v>46</v>
      </c>
    </row>
    <row r="2" spans="1:12" x14ac:dyDescent="0.35">
      <c r="A2" t="s">
        <v>47</v>
      </c>
      <c r="B2" t="s">
        <v>48</v>
      </c>
      <c r="C2" t="s">
        <v>49</v>
      </c>
      <c r="D2" t="s">
        <v>50</v>
      </c>
      <c r="E2" t="s">
        <v>51</v>
      </c>
      <c r="F2" t="s">
        <v>52</v>
      </c>
      <c r="G2" t="s">
        <v>53</v>
      </c>
      <c r="H2" t="s">
        <v>54</v>
      </c>
      <c r="I2" t="s">
        <v>55</v>
      </c>
      <c r="J2" t="s">
        <v>56</v>
      </c>
      <c r="K2" t="s">
        <v>57</v>
      </c>
      <c r="L2" t="s">
        <v>58</v>
      </c>
    </row>
    <row r="3" spans="1:12" x14ac:dyDescent="0.35">
      <c r="A3" t="s">
        <v>59</v>
      </c>
      <c r="B3" t="s">
        <v>60</v>
      </c>
      <c r="C3" t="s">
        <v>61</v>
      </c>
      <c r="D3" t="s">
        <v>62</v>
      </c>
      <c r="E3" t="s">
        <v>63</v>
      </c>
      <c r="F3" t="s">
        <v>64</v>
      </c>
      <c r="G3" t="s">
        <v>65</v>
      </c>
      <c r="H3" t="s">
        <v>66</v>
      </c>
      <c r="I3" t="s">
        <v>67</v>
      </c>
      <c r="J3" t="s">
        <v>68</v>
      </c>
      <c r="K3" t="s">
        <v>69</v>
      </c>
      <c r="L3" t="s">
        <v>70</v>
      </c>
    </row>
    <row r="4" spans="1:12" x14ac:dyDescent="0.35">
      <c r="A4" t="s">
        <v>71</v>
      </c>
      <c r="B4" t="s">
        <v>72</v>
      </c>
      <c r="C4" t="s">
        <v>73</v>
      </c>
      <c r="D4" t="s">
        <v>74</v>
      </c>
      <c r="E4" t="s">
        <v>75</v>
      </c>
      <c r="F4" t="s">
        <v>76</v>
      </c>
      <c r="G4" t="s">
        <v>77</v>
      </c>
      <c r="H4" t="s">
        <v>78</v>
      </c>
      <c r="I4" t="s">
        <v>79</v>
      </c>
      <c r="J4" t="s">
        <v>80</v>
      </c>
      <c r="K4" t="s">
        <v>81</v>
      </c>
      <c r="L4" t="s">
        <v>82</v>
      </c>
    </row>
    <row r="7" spans="1:12" x14ac:dyDescent="0.35">
      <c r="A7" t="s">
        <v>83</v>
      </c>
      <c r="B7" t="s">
        <v>84</v>
      </c>
    </row>
    <row r="8" spans="1:12" x14ac:dyDescent="0.35">
      <c r="A8">
        <v>62414</v>
      </c>
      <c r="B8" t="s">
        <v>85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37"/>
  <sheetViews>
    <sheetView zoomScaleNormal="100" workbookViewId="0">
      <selection activeCell="I32" sqref="I32"/>
    </sheetView>
  </sheetViews>
  <sheetFormatPr defaultRowHeight="14.5" x14ac:dyDescent="0.35"/>
  <cols>
    <col min="1" max="1" width="10.36328125"/>
    <col min="2" max="2" width="8.54296875"/>
    <col min="3" max="3" width="12.7265625"/>
    <col min="4" max="4" width="14.453125"/>
    <col min="5" max="5" width="8.54296875"/>
    <col min="6" max="6" width="12.7265625"/>
    <col min="7" max="1025" width="8.54296875"/>
  </cols>
  <sheetData>
    <row r="1" spans="1:6" x14ac:dyDescent="0.35">
      <c r="A1" s="9" t="s">
        <v>86</v>
      </c>
      <c r="B1" s="9" t="s">
        <v>87</v>
      </c>
      <c r="C1" s="9" t="s">
        <v>88</v>
      </c>
      <c r="D1" s="9" t="s">
        <v>89</v>
      </c>
      <c r="E1" s="9" t="s">
        <v>90</v>
      </c>
      <c r="F1" s="9" t="s">
        <v>32</v>
      </c>
    </row>
    <row r="2" spans="1:6" x14ac:dyDescent="0.35">
      <c r="A2" s="5">
        <v>0.5</v>
      </c>
      <c r="B2" s="17">
        <v>65</v>
      </c>
      <c r="C2" s="9">
        <v>37</v>
      </c>
      <c r="D2" s="4">
        <f>SQRT((POWER((B2-E2),2)*C2+POWER((B3-E2),2)*C3+POWER((B4-E2),2)*C4+POWER((B5-E2),2)*C5)/SUM(C2:C5))</f>
        <v>0.52291125002583683</v>
      </c>
      <c r="E2" s="4">
        <f>(B2*C2+B3*C3+B4*C4+B5*C5)/(SUM(C2:C5))</f>
        <v>66.240045506257104</v>
      </c>
      <c r="F2" s="4">
        <f>D2/SQRT(SUM(C2:C5))</f>
        <v>1.7637358717497179E-2</v>
      </c>
    </row>
    <row r="3" spans="1:6" x14ac:dyDescent="0.35">
      <c r="A3" s="5"/>
      <c r="B3" s="9">
        <v>66</v>
      </c>
      <c r="C3" s="9">
        <v>597</v>
      </c>
      <c r="D3" s="4"/>
      <c r="E3" s="4"/>
      <c r="F3" s="4"/>
    </row>
    <row r="4" spans="1:6" x14ac:dyDescent="0.35">
      <c r="A4" s="5"/>
      <c r="B4" s="9">
        <v>67</v>
      </c>
      <c r="C4" s="9">
        <v>242</v>
      </c>
      <c r="D4" s="4"/>
      <c r="E4" s="4"/>
      <c r="F4" s="4"/>
    </row>
    <row r="5" spans="1:6" x14ac:dyDescent="0.35">
      <c r="A5" s="5"/>
      <c r="B5" s="9">
        <v>68</v>
      </c>
      <c r="C5" s="9">
        <v>3</v>
      </c>
      <c r="D5" s="4"/>
      <c r="E5" s="4"/>
      <c r="F5" s="4"/>
    </row>
    <row r="6" spans="1:6" x14ac:dyDescent="0.35">
      <c r="A6" s="5">
        <v>1.5</v>
      </c>
      <c r="B6" s="9">
        <v>197</v>
      </c>
      <c r="C6" s="9">
        <v>121</v>
      </c>
      <c r="D6" s="4">
        <f>SQRT((POWER((B6-E6),2)*C6+POWER((B7-E6),2)*C7+POWER((B8-E6),2)*C8+POWER((B9-E6),2)*C9)/SUM(C6:C9))</f>
        <v>0.63722004261954079</v>
      </c>
      <c r="E6" s="3">
        <f>(B6*C6+B7*C7+B8*C8+B9*C9)/(SUM(C6:C9))</f>
        <v>198.1</v>
      </c>
      <c r="F6" s="4">
        <f>D6/SQRT(SUM(C6:C9))</f>
        <v>2.238963005985907E-2</v>
      </c>
    </row>
    <row r="7" spans="1:6" x14ac:dyDescent="0.35">
      <c r="A7" s="5"/>
      <c r="B7" s="9">
        <v>198</v>
      </c>
      <c r="C7" s="9">
        <v>494</v>
      </c>
      <c r="D7" s="4"/>
      <c r="E7" s="3"/>
      <c r="F7" s="4"/>
    </row>
    <row r="8" spans="1:6" x14ac:dyDescent="0.35">
      <c r="A8" s="5"/>
      <c r="B8" s="9">
        <v>199</v>
      </c>
      <c r="C8" s="9">
        <v>188</v>
      </c>
      <c r="D8" s="4"/>
      <c r="E8" s="3"/>
      <c r="F8" s="4"/>
    </row>
    <row r="9" spans="1:6" x14ac:dyDescent="0.35">
      <c r="A9" s="5"/>
      <c r="B9" s="9">
        <v>200</v>
      </c>
      <c r="C9" s="9">
        <v>7</v>
      </c>
      <c r="D9" s="4"/>
      <c r="E9" s="3"/>
      <c r="F9" s="4"/>
    </row>
    <row r="10" spans="1:6" x14ac:dyDescent="0.35">
      <c r="A10" s="2">
        <v>2.5</v>
      </c>
      <c r="B10" s="9">
        <v>330</v>
      </c>
      <c r="C10" s="9">
        <v>154</v>
      </c>
      <c r="D10" s="4">
        <f>SQRT((POWER((B10-E10),2)*C10+POWER((B11-E10),2)*C11+POWER(B12-E10,2)*C12)/SUM(C10:C12))</f>
        <v>0.49128641853945271</v>
      </c>
      <c r="E10" s="4">
        <f>(B10*C10+B11*C11+B12*C12)/(SUM(C10:C12))</f>
        <v>330.90113636363634</v>
      </c>
      <c r="F10" s="1">
        <f>D10/SQRT(SUM(C10:C12))</f>
        <v>1.656126179046789E-2</v>
      </c>
    </row>
    <row r="11" spans="1:6" x14ac:dyDescent="0.35">
      <c r="A11" s="2"/>
      <c r="B11" s="9">
        <v>331</v>
      </c>
      <c r="C11" s="9">
        <v>659</v>
      </c>
      <c r="D11" s="4"/>
      <c r="E11" s="4"/>
      <c r="F11" s="1"/>
    </row>
    <row r="12" spans="1:6" x14ac:dyDescent="0.35">
      <c r="A12" s="2"/>
      <c r="B12" s="9">
        <v>332</v>
      </c>
      <c r="C12" s="9">
        <v>67</v>
      </c>
      <c r="D12" s="4"/>
      <c r="E12" s="4"/>
      <c r="F12" s="1"/>
    </row>
    <row r="13" spans="1:6" x14ac:dyDescent="0.35">
      <c r="A13" s="5">
        <v>3.5</v>
      </c>
      <c r="B13" s="9">
        <v>463</v>
      </c>
      <c r="C13" s="9">
        <v>14</v>
      </c>
      <c r="D13" s="4">
        <f>SQRT((POWER((B13-E13),2)*C13+POWER((B14-E13),2)*C14+POWER(B15-E13,2)*C15+POWER(B16-E13,2)*C16)/SUM(C13:C16))</f>
        <v>0.51098976231435655</v>
      </c>
      <c r="E13" s="4">
        <f>(B13*C13+B14*C14+B15*C15+B16*C16)/(SUM(C13:C16))</f>
        <v>464.33409090909089</v>
      </c>
      <c r="F13" s="4">
        <f>D13/SQRT(SUM(C13:C16))</f>
        <v>1.7225461373623199E-2</v>
      </c>
    </row>
    <row r="14" spans="1:6" x14ac:dyDescent="0.35">
      <c r="A14" s="5"/>
      <c r="B14" s="9">
        <v>464</v>
      </c>
      <c r="C14" s="9">
        <v>561</v>
      </c>
      <c r="D14" s="4"/>
      <c r="E14" s="4"/>
      <c r="F14" s="4"/>
    </row>
    <row r="15" spans="1:6" x14ac:dyDescent="0.35">
      <c r="A15" s="5"/>
      <c r="B15" s="9">
        <v>465</v>
      </c>
      <c r="C15" s="9">
        <v>302</v>
      </c>
      <c r="D15" s="4"/>
      <c r="E15" s="4"/>
      <c r="F15" s="4"/>
    </row>
    <row r="16" spans="1:6" x14ac:dyDescent="0.35">
      <c r="A16" s="5"/>
      <c r="B16" s="9">
        <v>466</v>
      </c>
      <c r="C16" s="9">
        <v>3</v>
      </c>
      <c r="D16" s="4"/>
      <c r="E16" s="4"/>
      <c r="F16" s="4"/>
    </row>
    <row r="17" spans="1:13" x14ac:dyDescent="0.35">
      <c r="A17" s="5">
        <v>4.5</v>
      </c>
      <c r="B17" s="9">
        <v>598</v>
      </c>
      <c r="C17" s="9">
        <v>86</v>
      </c>
      <c r="D17" s="4">
        <f>SQRT((POWER((B17-E17),2)*C17+POWER((B18-E17),2)*C18+POWER(B19-E17,2)*C19)/SUM(C17:C19))</f>
        <v>0.48146663042395599</v>
      </c>
      <c r="E17" s="4">
        <f>(B17*C17+B18*C18+B19*C19)/(SUM(C17:C19))</f>
        <v>599.03754266211604</v>
      </c>
      <c r="F17" s="4">
        <f>D17/SQRT(SUM(C17:C19))</f>
        <v>1.6239466392953636E-2</v>
      </c>
    </row>
    <row r="18" spans="1:13" x14ac:dyDescent="0.35">
      <c r="A18" s="5"/>
      <c r="B18" s="9">
        <v>599</v>
      </c>
      <c r="C18" s="9">
        <v>674</v>
      </c>
      <c r="D18" s="4"/>
      <c r="E18" s="4"/>
      <c r="F18" s="4"/>
    </row>
    <row r="19" spans="1:13" x14ac:dyDescent="0.35">
      <c r="A19" s="5"/>
      <c r="B19" s="9">
        <v>600</v>
      </c>
      <c r="C19" s="9">
        <v>119</v>
      </c>
      <c r="D19" s="4"/>
      <c r="E19" s="4"/>
      <c r="F19" s="4"/>
    </row>
    <row r="20" spans="1:13" x14ac:dyDescent="0.35">
      <c r="A20" s="5">
        <v>5.5</v>
      </c>
      <c r="B20" s="9">
        <v>733</v>
      </c>
      <c r="C20" s="9">
        <v>1</v>
      </c>
      <c r="D20" s="4">
        <f>SQRT((POWER((B20-E20),2)*C20+POWER((B21-E20),2)*C21+POWER(B22-E20,2)*C22+POWER(B23-E20,2)*C23)/SUM(C20:C23))</f>
        <v>0.51972333509408863</v>
      </c>
      <c r="E20" s="4">
        <f>(B20*C20+B21*C21+B22*C22+B23*C23)/(SUM(C20:C23))</f>
        <v>734.82386363636363</v>
      </c>
      <c r="F20" s="4">
        <f>D20/SQRT(SUM(C20:C23))</f>
        <v>1.7519870051968603E-2</v>
      </c>
    </row>
    <row r="21" spans="1:13" x14ac:dyDescent="0.35">
      <c r="A21" s="5"/>
      <c r="B21" s="9">
        <v>734</v>
      </c>
      <c r="C21" s="9">
        <v>207</v>
      </c>
      <c r="D21" s="4"/>
      <c r="E21" s="4"/>
      <c r="F21" s="4"/>
    </row>
    <row r="22" spans="1:13" x14ac:dyDescent="0.35">
      <c r="A22" s="5"/>
      <c r="B22" s="9">
        <v>735</v>
      </c>
      <c r="C22" s="9">
        <v>618</v>
      </c>
      <c r="D22" s="4"/>
      <c r="E22" s="4"/>
      <c r="F22" s="4"/>
    </row>
    <row r="23" spans="1:13" x14ac:dyDescent="0.35">
      <c r="A23" s="5"/>
      <c r="B23" s="9">
        <v>736</v>
      </c>
      <c r="C23" s="9">
        <v>54</v>
      </c>
      <c r="D23" s="4"/>
      <c r="E23" s="4"/>
      <c r="F23" s="4"/>
    </row>
    <row r="24" spans="1:13" x14ac:dyDescent="0.35">
      <c r="A24" s="5">
        <v>6.5</v>
      </c>
      <c r="B24" s="9">
        <v>869</v>
      </c>
      <c r="C24" s="9">
        <v>2</v>
      </c>
      <c r="D24" s="1">
        <f>SQRT((POWER((B24-E24),2)*C24+POWER((B25-E24),2)*C25+POWER(B26-E24,2)*C26+POWER(B27-E24,2)*C27)/SUM(C24:C27))</f>
        <v>0.51478025280471462</v>
      </c>
      <c r="E24" s="4">
        <f>(B24*C24+B25*C25+B26*C26+B27*C27)/(SUM(C24:C27))</f>
        <v>870.69886363636363</v>
      </c>
      <c r="F24" s="4">
        <f>D24/SQRT(SUM(C24:C27))</f>
        <v>1.735323878198658E-2</v>
      </c>
    </row>
    <row r="25" spans="1:13" x14ac:dyDescent="0.35">
      <c r="A25" s="5"/>
      <c r="B25" s="9">
        <v>870</v>
      </c>
      <c r="C25" s="9">
        <v>283</v>
      </c>
      <c r="D25" s="1"/>
      <c r="E25" s="4"/>
      <c r="F25" s="4"/>
    </row>
    <row r="26" spans="1:13" x14ac:dyDescent="0.35">
      <c r="A26" s="5"/>
      <c r="B26" s="9">
        <v>871</v>
      </c>
      <c r="C26" s="9">
        <v>573</v>
      </c>
      <c r="D26" s="1"/>
      <c r="E26" s="4"/>
      <c r="F26" s="4"/>
    </row>
    <row r="27" spans="1:13" x14ac:dyDescent="0.35">
      <c r="A27" s="5"/>
      <c r="B27" s="9">
        <v>872</v>
      </c>
      <c r="C27" s="9">
        <v>22</v>
      </c>
      <c r="D27" s="1"/>
      <c r="E27" s="4"/>
      <c r="F27" s="4"/>
    </row>
    <row r="30" spans="1:13" x14ac:dyDescent="0.35">
      <c r="D30" s="13"/>
      <c r="H30" s="6" t="s">
        <v>23</v>
      </c>
      <c r="I30" s="6"/>
      <c r="J30" s="6"/>
      <c r="K30" s="6"/>
    </row>
    <row r="31" spans="1:13" x14ac:dyDescent="0.35">
      <c r="A31" s="6" t="s">
        <v>24</v>
      </c>
      <c r="B31" s="6"/>
      <c r="C31" s="6"/>
      <c r="G31" s="13"/>
      <c r="H31" s="9" t="s">
        <v>25</v>
      </c>
      <c r="I31" s="9" t="s">
        <v>26</v>
      </c>
      <c r="J31" s="9" t="s">
        <v>27</v>
      </c>
      <c r="K31" s="9" t="s">
        <v>28</v>
      </c>
      <c r="L31" s="9" t="s">
        <v>29</v>
      </c>
      <c r="M31" s="9" t="s">
        <v>30</v>
      </c>
    </row>
    <row r="32" spans="1:13" x14ac:dyDescent="0.35">
      <c r="A32" s="9" t="s">
        <v>3</v>
      </c>
      <c r="B32" s="9" t="s">
        <v>31</v>
      </c>
      <c r="C32" s="12" t="s">
        <v>32</v>
      </c>
      <c r="D32" s="9" t="s">
        <v>33</v>
      </c>
      <c r="H32" s="9">
        <f>D33/(A37*B33+C37)*1000</f>
        <v>1.0244361197405449</v>
      </c>
      <c r="I32" s="9">
        <f>SQRT(POWER(B33*H32*B37/(A37*B33+C37),2)+POWER(H32*D37/(A37*B33+C37),2)+POWER(A37*H32*C33/(A37*B33+C37),2))</f>
        <v>2.2792749596789718E-4</v>
      </c>
      <c r="J32" s="9">
        <f>H32*A37</f>
        <v>7.6386669494005837</v>
      </c>
      <c r="K32">
        <f>SQRT((J32/H32*I32)^2+(J32/A37*B37)^2)</f>
        <v>1.7106419073528994E-3</v>
      </c>
      <c r="L32" s="9">
        <f>H32*C37</f>
        <v>24.083991201401538</v>
      </c>
      <c r="M32">
        <f>(L32/H32*I32+L32/C37*D37)</f>
        <v>0.11169913316289173</v>
      </c>
    </row>
    <row r="33" spans="1:8" x14ac:dyDescent="0.35">
      <c r="A33" s="14">
        <v>3.2</v>
      </c>
      <c r="B33" s="9">
        <v>691.34</v>
      </c>
      <c r="C33" s="15">
        <f>A33/(2.355*SQRT(79))</f>
        <v>0.15287818611309031</v>
      </c>
      <c r="D33" s="16">
        <v>5.3049999999999997</v>
      </c>
      <c r="H33" s="13"/>
    </row>
    <row r="35" spans="1:8" x14ac:dyDescent="0.35">
      <c r="A35" s="6" t="s">
        <v>34</v>
      </c>
      <c r="B35" s="6"/>
      <c r="C35" s="6"/>
      <c r="D35" s="6"/>
    </row>
    <row r="36" spans="1:8" x14ac:dyDescent="0.35">
      <c r="A36" s="9" t="s">
        <v>35</v>
      </c>
      <c r="B36" s="9" t="s">
        <v>36</v>
      </c>
      <c r="C36" s="9" t="s">
        <v>37</v>
      </c>
      <c r="D36" s="9" t="s">
        <v>38</v>
      </c>
    </row>
    <row r="37" spans="1:8" x14ac:dyDescent="0.35">
      <c r="A37" s="18">
        <v>7.4564599999999999</v>
      </c>
      <c r="B37" s="9">
        <v>1.9000000000000001E-4</v>
      </c>
      <c r="C37" s="9">
        <v>23.509509999999999</v>
      </c>
      <c r="D37" s="9">
        <v>0.1038041</v>
      </c>
    </row>
  </sheetData>
  <mergeCells count="31">
    <mergeCell ref="A31:C31"/>
    <mergeCell ref="A35:D35"/>
    <mergeCell ref="A24:A27"/>
    <mergeCell ref="D24:D27"/>
    <mergeCell ref="E24:E27"/>
    <mergeCell ref="F24:F27"/>
    <mergeCell ref="H30:K30"/>
    <mergeCell ref="A17:A19"/>
    <mergeCell ref="D17:D19"/>
    <mergeCell ref="E17:E19"/>
    <mergeCell ref="F17:F19"/>
    <mergeCell ref="A20:A23"/>
    <mergeCell ref="D20:D23"/>
    <mergeCell ref="E20:E23"/>
    <mergeCell ref="F20:F23"/>
    <mergeCell ref="A10:A12"/>
    <mergeCell ref="D10:D12"/>
    <mergeCell ref="E10:E12"/>
    <mergeCell ref="F10:F12"/>
    <mergeCell ref="A13:A16"/>
    <mergeCell ref="D13:D16"/>
    <mergeCell ref="E13:E16"/>
    <mergeCell ref="F13:F16"/>
    <mergeCell ref="A2:A5"/>
    <mergeCell ref="D2:D5"/>
    <mergeCell ref="E2:E5"/>
    <mergeCell ref="F2:F5"/>
    <mergeCell ref="A6:A9"/>
    <mergeCell ref="D6:D9"/>
    <mergeCell ref="E6:E9"/>
    <mergeCell ref="F6:F9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29"/>
  <sheetViews>
    <sheetView tabSelected="1" topLeftCell="A5" zoomScaleNormal="100" workbookViewId="0">
      <selection activeCell="F12" sqref="F12"/>
    </sheetView>
  </sheetViews>
  <sheetFormatPr defaultRowHeight="14.5" x14ac:dyDescent="0.35"/>
  <cols>
    <col min="1" max="1" width="10.54296875"/>
    <col min="2" max="2" width="8.54296875"/>
    <col min="3" max="3" width="12.26953125"/>
    <col min="4" max="5" width="8.54296875"/>
    <col min="6" max="6" width="12.26953125" bestFit="1" customWidth="1"/>
    <col min="7" max="7" width="8.54296875"/>
    <col min="8" max="8" width="9.7265625"/>
    <col min="9" max="10" width="8.54296875"/>
    <col min="11" max="11" width="9.453125"/>
    <col min="12" max="1025" width="8.54296875"/>
  </cols>
  <sheetData>
    <row r="1" spans="1:11" x14ac:dyDescent="0.35">
      <c r="A1" s="17" t="s">
        <v>91</v>
      </c>
      <c r="B1" s="17" t="s">
        <v>92</v>
      </c>
      <c r="C1" t="s">
        <v>93</v>
      </c>
      <c r="D1" s="17" t="s">
        <v>94</v>
      </c>
      <c r="E1" s="17" t="s">
        <v>1</v>
      </c>
      <c r="F1" s="17" t="s">
        <v>2</v>
      </c>
      <c r="G1" s="17" t="s">
        <v>95</v>
      </c>
      <c r="H1" s="17" t="s">
        <v>96</v>
      </c>
      <c r="I1" s="17" t="s">
        <v>3</v>
      </c>
      <c r="J1" s="17" t="s">
        <v>4</v>
      </c>
      <c r="K1" s="17" t="s">
        <v>5</v>
      </c>
    </row>
    <row r="2" spans="1:11" x14ac:dyDescent="0.35">
      <c r="A2">
        <v>2</v>
      </c>
      <c r="B2">
        <v>9.5</v>
      </c>
      <c r="D2">
        <v>150</v>
      </c>
      <c r="E2">
        <v>260</v>
      </c>
      <c r="F2">
        <v>16</v>
      </c>
      <c r="G2">
        <v>252</v>
      </c>
      <c r="H2">
        <v>18</v>
      </c>
      <c r="I2">
        <v>10.37</v>
      </c>
      <c r="J2">
        <v>558.32000000000005</v>
      </c>
      <c r="K2" s="19">
        <f t="shared" ref="K2:K8" si="0">I2/(2.355*SQRT(G2))</f>
        <v>0.2773879394979254</v>
      </c>
    </row>
    <row r="3" spans="1:11" x14ac:dyDescent="0.35">
      <c r="A3">
        <v>3</v>
      </c>
      <c r="B3">
        <v>13.5</v>
      </c>
      <c r="D3">
        <v>364</v>
      </c>
      <c r="E3">
        <v>306</v>
      </c>
      <c r="F3">
        <v>17</v>
      </c>
      <c r="G3">
        <v>284</v>
      </c>
      <c r="H3">
        <v>21</v>
      </c>
      <c r="I3">
        <v>10.69</v>
      </c>
      <c r="J3">
        <v>503.78</v>
      </c>
      <c r="K3" s="19">
        <f t="shared" si="0"/>
        <v>0.26935660140323336</v>
      </c>
    </row>
    <row r="4" spans="1:11" x14ac:dyDescent="0.35">
      <c r="A4">
        <v>4</v>
      </c>
      <c r="B4">
        <v>17.5</v>
      </c>
      <c r="D4">
        <v>509</v>
      </c>
      <c r="E4">
        <v>305</v>
      </c>
      <c r="F4">
        <v>17</v>
      </c>
      <c r="G4">
        <v>294</v>
      </c>
      <c r="H4">
        <v>19</v>
      </c>
      <c r="I4">
        <v>13.19</v>
      </c>
      <c r="J4">
        <v>445.72</v>
      </c>
      <c r="K4" s="19">
        <f t="shared" si="0"/>
        <v>0.32664816203932984</v>
      </c>
    </row>
    <row r="5" spans="1:11" x14ac:dyDescent="0.35">
      <c r="A5">
        <v>5</v>
      </c>
      <c r="B5">
        <v>21.5</v>
      </c>
      <c r="D5">
        <v>768</v>
      </c>
      <c r="E5">
        <v>287</v>
      </c>
      <c r="F5">
        <v>17</v>
      </c>
      <c r="G5">
        <v>287</v>
      </c>
      <c r="H5">
        <v>17</v>
      </c>
      <c r="I5">
        <v>11.33</v>
      </c>
      <c r="J5">
        <v>382.09</v>
      </c>
      <c r="K5" s="19">
        <f t="shared" si="0"/>
        <v>0.28398673197553392</v>
      </c>
    </row>
    <row r="6" spans="1:11" x14ac:dyDescent="0.35">
      <c r="A6">
        <v>6</v>
      </c>
      <c r="B6">
        <v>25.5</v>
      </c>
      <c r="D6">
        <v>1081</v>
      </c>
      <c r="E6">
        <v>313</v>
      </c>
      <c r="F6">
        <v>18</v>
      </c>
      <c r="I6">
        <v>15.23</v>
      </c>
      <c r="J6">
        <v>310.23</v>
      </c>
      <c r="K6" s="19" t="e">
        <f t="shared" si="0"/>
        <v>#DIV/0!</v>
      </c>
    </row>
    <row r="7" spans="1:11" x14ac:dyDescent="0.35">
      <c r="A7">
        <v>7</v>
      </c>
      <c r="B7">
        <v>29.5</v>
      </c>
      <c r="D7">
        <v>1147</v>
      </c>
      <c r="E7">
        <v>229</v>
      </c>
      <c r="F7">
        <v>15</v>
      </c>
      <c r="G7">
        <v>212</v>
      </c>
      <c r="H7">
        <v>19</v>
      </c>
      <c r="I7">
        <v>10.53</v>
      </c>
      <c r="J7">
        <v>224.46</v>
      </c>
      <c r="K7" s="19">
        <f t="shared" si="0"/>
        <v>0.30709272577063601</v>
      </c>
    </row>
    <row r="8" spans="1:11" x14ac:dyDescent="0.35">
      <c r="A8">
        <v>8</v>
      </c>
      <c r="B8">
        <v>33.5</v>
      </c>
      <c r="D8">
        <v>1865</v>
      </c>
      <c r="E8">
        <v>300</v>
      </c>
      <c r="F8">
        <v>17</v>
      </c>
      <c r="G8">
        <v>277</v>
      </c>
      <c r="H8">
        <v>24</v>
      </c>
      <c r="I8">
        <v>22.46</v>
      </c>
      <c r="J8">
        <v>115.44</v>
      </c>
      <c r="K8" s="19">
        <f t="shared" si="0"/>
        <v>0.57303210667144044</v>
      </c>
    </row>
    <row r="10" spans="1:11" x14ac:dyDescent="0.35">
      <c r="A10" s="24" t="s">
        <v>97</v>
      </c>
      <c r="B10" s="24"/>
      <c r="C10" s="25"/>
      <c r="D10" s="26" t="s">
        <v>98</v>
      </c>
      <c r="E10" s="24"/>
      <c r="F10" s="24"/>
    </row>
    <row r="11" spans="1:11" x14ac:dyDescent="0.35">
      <c r="A11" s="22" t="s">
        <v>99</v>
      </c>
      <c r="B11" s="22" t="s">
        <v>45</v>
      </c>
      <c r="C11" s="21" t="s">
        <v>100</v>
      </c>
      <c r="D11" s="20" t="s">
        <v>99</v>
      </c>
      <c r="E11" s="20" t="s">
        <v>45</v>
      </c>
      <c r="F11" s="23" t="s">
        <v>100</v>
      </c>
    </row>
    <row r="12" spans="1:11" x14ac:dyDescent="0.35">
      <c r="A12" s="22">
        <v>0.13200000000000001</v>
      </c>
      <c r="B12" s="22">
        <v>0.123</v>
      </c>
      <c r="C12" s="21">
        <v>0.12480000000000001</v>
      </c>
      <c r="D12" s="20">
        <v>0.53</v>
      </c>
      <c r="E12" s="20">
        <v>0.56399999999999995</v>
      </c>
      <c r="F12" s="20">
        <v>0.55720000000000003</v>
      </c>
    </row>
    <row r="13" spans="1:11" x14ac:dyDescent="0.35">
      <c r="A13" s="22">
        <v>0.18099999999999999</v>
      </c>
      <c r="B13" s="22">
        <v>0.17</v>
      </c>
      <c r="C13" s="21">
        <v>0.17220000000000002</v>
      </c>
      <c r="D13" s="20">
        <v>0.64400000000000002</v>
      </c>
      <c r="E13" s="20">
        <v>0.68400000000000005</v>
      </c>
      <c r="F13" s="20">
        <v>0.67600000000000005</v>
      </c>
    </row>
    <row r="14" spans="1:11" x14ac:dyDescent="0.35">
      <c r="A14" s="22">
        <v>0.247</v>
      </c>
      <c r="B14" s="22">
        <v>0.23200000000000001</v>
      </c>
      <c r="C14" s="21">
        <v>0.23500000000000001</v>
      </c>
      <c r="D14" s="20">
        <v>0.77700000000000002</v>
      </c>
      <c r="E14" s="20">
        <v>0.81699999999999995</v>
      </c>
      <c r="F14" s="20">
        <v>0.80899999999999994</v>
      </c>
    </row>
    <row r="15" spans="1:11" x14ac:dyDescent="0.35">
      <c r="A15" s="22">
        <v>0.33</v>
      </c>
      <c r="B15" s="22">
        <v>0.312</v>
      </c>
      <c r="C15" s="21">
        <v>0.31559999999999999</v>
      </c>
      <c r="D15" s="20">
        <v>0.93</v>
      </c>
      <c r="E15" s="20">
        <v>0.95599999999999996</v>
      </c>
      <c r="F15" s="20">
        <v>0.95080000000000009</v>
      </c>
    </row>
    <row r="16" spans="1:11" x14ac:dyDescent="0.35">
      <c r="A16" s="22">
        <v>0.51300000000000001</v>
      </c>
      <c r="B16" s="22">
        <v>0.49</v>
      </c>
      <c r="C16" s="21">
        <v>0.49460000000000004</v>
      </c>
      <c r="D16" s="20">
        <v>1.262</v>
      </c>
      <c r="E16" s="20">
        <v>1.3029999999999999</v>
      </c>
      <c r="F16" s="20">
        <v>1.2948</v>
      </c>
    </row>
    <row r="17" spans="1:6" x14ac:dyDescent="0.35">
      <c r="A17" s="22">
        <v>0.58799999999999997</v>
      </c>
      <c r="B17" s="22">
        <v>0.56299999999999994</v>
      </c>
      <c r="C17" s="21">
        <v>0.56799999999999995</v>
      </c>
      <c r="D17" s="20">
        <v>1.389</v>
      </c>
      <c r="E17" s="20">
        <v>1.4419999999999999</v>
      </c>
      <c r="F17" s="20">
        <v>1.4314</v>
      </c>
    </row>
    <row r="18" spans="1:6" x14ac:dyDescent="0.35">
      <c r="A18" s="22">
        <v>0.68400000000000005</v>
      </c>
      <c r="B18" s="22">
        <v>0.65400000000000003</v>
      </c>
      <c r="C18" s="21">
        <v>0.66</v>
      </c>
      <c r="D18" s="20">
        <v>1.546</v>
      </c>
      <c r="E18" s="20">
        <v>1.6040000000000001</v>
      </c>
      <c r="F18" s="20">
        <v>1.5924</v>
      </c>
    </row>
    <row r="19" spans="1:6" x14ac:dyDescent="0.35">
      <c r="A19" s="22">
        <v>0.78300000000000003</v>
      </c>
      <c r="B19" s="22">
        <v>0.75</v>
      </c>
      <c r="C19" s="21">
        <v>0.75660000000000016</v>
      </c>
      <c r="D19" s="20">
        <v>1.665</v>
      </c>
      <c r="E19" s="20">
        <v>1.734</v>
      </c>
      <c r="F19" s="20">
        <v>1.7202</v>
      </c>
    </row>
    <row r="20" spans="1:6" x14ac:dyDescent="0.35">
      <c r="A20" s="22">
        <v>0.9</v>
      </c>
      <c r="B20" s="22">
        <v>0.86299999999999999</v>
      </c>
      <c r="C20" s="21">
        <v>0.87040000000000006</v>
      </c>
      <c r="D20" s="20">
        <v>1.748</v>
      </c>
      <c r="E20" s="20">
        <v>1.8160000000000001</v>
      </c>
      <c r="F20" s="20">
        <v>1.8024</v>
      </c>
    </row>
    <row r="21" spans="1:6" x14ac:dyDescent="0.35">
      <c r="A21" s="22">
        <v>1.246</v>
      </c>
      <c r="B21" s="22">
        <v>1.1930000000000001</v>
      </c>
      <c r="C21" s="21">
        <v>1.2036000000000002</v>
      </c>
      <c r="D21" s="20">
        <v>1.6879999999999999</v>
      </c>
      <c r="E21" s="20">
        <v>1.776</v>
      </c>
      <c r="F21" s="20">
        <v>1.7584</v>
      </c>
    </row>
    <row r="22" spans="1:6" x14ac:dyDescent="0.35">
      <c r="A22" s="22">
        <v>1.4930000000000001</v>
      </c>
      <c r="B22" s="22">
        <v>1.4279999999999999</v>
      </c>
      <c r="C22" s="21">
        <v>1.4410000000000001</v>
      </c>
      <c r="D22" s="20">
        <v>1.5609999999999999</v>
      </c>
      <c r="E22" s="20">
        <v>1.64</v>
      </c>
      <c r="F22" s="20">
        <v>1.6242000000000001</v>
      </c>
    </row>
    <row r="23" spans="1:6" x14ac:dyDescent="0.35">
      <c r="A23" s="22">
        <v>1.7649999999999999</v>
      </c>
      <c r="B23" s="22">
        <v>1.6870000000000001</v>
      </c>
      <c r="C23" s="21">
        <v>1.7026000000000001</v>
      </c>
      <c r="D23" s="20">
        <v>1.385</v>
      </c>
      <c r="E23" s="20">
        <v>1.458</v>
      </c>
      <c r="F23" s="20">
        <v>1.4434</v>
      </c>
    </row>
    <row r="24" spans="1:6" x14ac:dyDescent="0.35">
      <c r="A24" s="22">
        <v>2.073</v>
      </c>
      <c r="B24" s="22">
        <v>1.9790000000000001</v>
      </c>
      <c r="C24" s="21">
        <v>1.9978000000000002</v>
      </c>
      <c r="D24" s="20">
        <v>1.2270000000000001</v>
      </c>
      <c r="E24" s="20">
        <v>1.292</v>
      </c>
      <c r="F24" s="20">
        <v>1.2790000000000001</v>
      </c>
    </row>
    <row r="25" spans="1:6" x14ac:dyDescent="0.35">
      <c r="A25" s="22">
        <v>2.4180000000000001</v>
      </c>
      <c r="B25" s="22">
        <v>2.3079999999999998</v>
      </c>
      <c r="C25" s="21">
        <v>2.33</v>
      </c>
      <c r="D25" s="20">
        <v>1.0980000000000001</v>
      </c>
      <c r="E25" s="20">
        <v>1.1519999999999999</v>
      </c>
      <c r="F25" s="20">
        <v>1.1412</v>
      </c>
    </row>
    <row r="26" spans="1:6" x14ac:dyDescent="0.35">
      <c r="A26" s="22">
        <v>3.2269999999999999</v>
      </c>
      <c r="B26" s="22">
        <v>3.0790000000000002</v>
      </c>
      <c r="C26" s="21">
        <v>3.1086000000000005</v>
      </c>
      <c r="D26" s="20">
        <v>0.9</v>
      </c>
      <c r="E26" s="20">
        <v>0.94899999999999995</v>
      </c>
      <c r="F26" s="20">
        <v>0.93920000000000003</v>
      </c>
    </row>
    <row r="27" spans="1:6" x14ac:dyDescent="0.35">
      <c r="A27" s="22">
        <v>4.444</v>
      </c>
      <c r="B27" s="22">
        <v>4.2359999999999998</v>
      </c>
      <c r="C27" s="21">
        <v>4.2775999999999996</v>
      </c>
      <c r="D27" s="20">
        <v>0.75600000000000001</v>
      </c>
      <c r="E27" s="20">
        <v>0.79200000000000004</v>
      </c>
      <c r="F27" s="20">
        <v>0.78480000000000005</v>
      </c>
    </row>
    <row r="28" spans="1:6" x14ac:dyDescent="0.35">
      <c r="A28" s="22">
        <v>6.4870000000000001</v>
      </c>
      <c r="B28" s="22">
        <v>6.1890000000000001</v>
      </c>
      <c r="C28" s="21">
        <v>6.2485999999999997</v>
      </c>
      <c r="D28" s="20">
        <v>0.626</v>
      </c>
      <c r="E28" s="20">
        <v>0.65500000000000003</v>
      </c>
      <c r="F28" s="20">
        <v>0.6492</v>
      </c>
    </row>
    <row r="29" spans="1:6" x14ac:dyDescent="0.35">
      <c r="A29" s="22">
        <v>9.2769999999999992</v>
      </c>
      <c r="B29" s="22">
        <v>8.8510000000000009</v>
      </c>
      <c r="C29" s="21">
        <v>8.9362000000000013</v>
      </c>
      <c r="D29" s="20">
        <v>0.53</v>
      </c>
      <c r="E29" s="20">
        <v>0.55600000000000005</v>
      </c>
      <c r="F29" s="20">
        <v>0.55080000000000007</v>
      </c>
    </row>
  </sheetData>
  <mergeCells count="2">
    <mergeCell ref="A10:C10"/>
    <mergeCell ref="D10:F10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Determinação da Energy Range</vt:lpstr>
      <vt:lpstr>Calibração - Semana 1</vt:lpstr>
      <vt:lpstr>Estudo da Fonte Desconhecida</vt:lpstr>
      <vt:lpstr>Calibração - Semana 2</vt:lpstr>
      <vt:lpstr>Estudo de DEdx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Francisco Duque</dc:creator>
  <dc:description/>
  <cp:lastModifiedBy>João Bravo</cp:lastModifiedBy>
  <cp:revision>2</cp:revision>
  <dcterms:created xsi:type="dcterms:W3CDTF">2018-01-06T00:19:16Z</dcterms:created>
  <dcterms:modified xsi:type="dcterms:W3CDTF">2018-01-09T23:14:39Z</dcterms:modified>
  <dc:language>pt-PT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