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R-Healthcare-professions" sheetId="1" state="visible" r:id="rId2"/>
    <sheet name="BR-Demografia-Medica" sheetId="2" state="visible" r:id="rId3"/>
    <sheet name="Minimum-POP" sheetId="3" state="visible" r:id="rId4"/>
    <sheet name="BR-Equipamentos" sheetId="4" state="visible" r:id="rId5"/>
    <sheet name="FI-Healthcare-professions" sheetId="5" state="visible" r:id="rId6"/>
    <sheet name="FR-Healthcare-professions" sheetId="6" state="visible" r:id="rId7"/>
    <sheet name="WHO-Requirements" sheetId="7" state="visible" r:id="rId8"/>
    <sheet name="OECD-Resources" sheetId="8" state="visible" r:id="rId9"/>
  </sheets>
  <externalReferences>
    <externalReference r:id="rId10"/>
    <externalReference r:id="rId11"/>
  </externalReferences>
  <definedNames>
    <definedName function="false" hidden="false" name="panel15" vbProcedure="false">'FR-Healthcare-professions'!$G$3</definedName>
    <definedName function="false" hidden="false" name="panel16" vbProcedure="false">'FR-Healthcare-professions'!$G$4</definedName>
    <definedName function="false" hidden="false" name="panel17" vbProcedure="false">'FR-Healthcare-professions'!$G$5</definedName>
    <definedName function="false" hidden="false" name="panel18" vbProcedure="false">'FR-Healthcare-professions'!$G$6</definedName>
    <definedName function="false" hidden="false" name="panel19" vbProcedure="false">'FR-Healthcare-professions'!$G$7</definedName>
    <definedName function="false" hidden="false" name="panel20" vbProcedure="false">'FR-Healthcare-professions'!$G$8</definedName>
    <definedName function="false" hidden="false" name="panel21" vbProcedure="false">'FR-Healthcare-professions'!$G$9</definedName>
    <definedName function="false" hidden="false" name="panel22" vbProcedure="false">'FR-Healthcare-professions'!$G$10</definedName>
    <definedName function="false" hidden="false" name="panel23" vbProcedure="false">'FR-Healthcare-professions'!$G$11</definedName>
    <definedName function="false" hidden="false" name="panel24" vbProcedure="false">'FR-Healthcare-professions'!$G$12</definedName>
    <definedName function="false" hidden="false" name="panel25" vbProcedure="false">'FR-Healthcare-professions'!$G$13</definedName>
    <definedName function="false" hidden="false" name="panel26" vbProcedure="false">'FR-Healthcare-professions'!$G$14</definedName>
    <definedName function="false" hidden="false" name="panel27" vbProcedure="false">'FR-Healthcare-professions'!$G$15</definedName>
    <definedName function="false" hidden="false" name="panel28" vbProcedure="false">'FR-Healthcare-professions'!$G$16</definedName>
    <definedName function="false" hidden="false" name="panel29" vbProcedure="false">'FR-Healthcare-professions'!$G$17</definedName>
    <definedName function="false" hidden="false" name="panel30" vbProcedure="false">'FR-Healthcare-professions'!$G$18</definedName>
    <definedName function="false" hidden="false" name="panel31" vbProcedure="false">'FR-Healthcare-professions'!$G$19</definedName>
    <definedName function="false" hidden="false" name="panel32" vbProcedure="false">'FR-Healthcare-professions'!$G$20</definedName>
    <definedName function="false" hidden="false" name="panel33" vbProcedure="false">'FR-Healthcare-professions'!$G$21</definedName>
    <definedName function="false" hidden="false" name="panel34" vbProcedure="false">'FR-Healthcare-professions'!$G$22</definedName>
    <definedName function="false" hidden="false" name="panel35" vbProcedure="false">'FR-Healthcare-professions'!$G$23</definedName>
    <definedName function="false" hidden="false" name="panel36" vbProcedure="false">'FR-Healthcare-professions'!$G$24</definedName>
    <definedName function="false" hidden="false" name="panel37" vbProcedure="false">'FR-Healthcare-professions'!$G$25</definedName>
    <definedName function="false" hidden="false" name="panel38" vbProcedure="false">'FR-Healthcare-professions'!$G$26</definedName>
    <definedName function="false" hidden="false" name="panel39" vbProcedure="false">'FR-Healthcare-professions'!$G$27</definedName>
    <definedName function="false" hidden="false" name="panel40" vbProcedure="false">'FR-Healthcare-professions'!$G$28</definedName>
    <definedName function="false" hidden="false" name="panel41" vbProcedure="false">'FR-Healthcare-professions'!$G$29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<sst xmlns="http://schemas.openxmlformats.org/spreadsheetml/2006/main" count="1276" uniqueCount="806">
  <si>
    <t xml:space="preserve">Health care professionals (Health workforce)</t>
  </si>
  <si>
    <t xml:space="preserve">Available (FTE/100k)</t>
  </si>
  <si>
    <t xml:space="preserve">Requirement (FTE / 100,000 inhabitants)</t>
  </si>
  <si>
    <t xml:space="preserve">Finland  (FTE / 100,000 inhabitants)</t>
  </si>
  <si>
    <t xml:space="preserve">France  (FTE / 100,000 inhabitants)</t>
  </si>
  <si>
    <r>
      <rPr>
        <sz val="10"/>
        <rFont val="Arial"/>
        <family val="2"/>
        <charset val="1"/>
      </rPr>
      <t xml:space="preserve">1 – Primary care (</t>
    </r>
    <r>
      <rPr>
        <i val="true"/>
        <sz val="10"/>
        <rFont val="Arial"/>
        <family val="2"/>
        <charset val="1"/>
      </rPr>
      <t xml:space="preserve">health base units</t>
    </r>
    <r>
      <rPr>
        <sz val="10"/>
        <rFont val="Arial"/>
        <family val="2"/>
        <charset val="1"/>
      </rPr>
      <t xml:space="preserve">)</t>
    </r>
  </si>
  <si>
    <t xml:space="preserve">All resources</t>
  </si>
  <si>
    <t xml:space="preserve">Description</t>
  </si>
  <si>
    <t xml:space="preserve">Brazil</t>
  </si>
  <si>
    <t xml:space="preserve">Finland</t>
  </si>
  <si>
    <t xml:space="preserve">France</t>
  </si>
  <si>
    <t xml:space="preserve">Primary care</t>
  </si>
  <si>
    <t xml:space="preserve">Secondary care</t>
  </si>
  <si>
    <t xml:space="preserve">Tertiary care</t>
  </si>
  <si>
    <t xml:space="preserve">Generalist medical practitioners (Médico generalista + Médico da família + preventiva social)</t>
  </si>
  <si>
    <t xml:space="preserve">Nurses (Enfermeiro) (fonte)</t>
  </si>
  <si>
    <t xml:space="preserve">Nurse technologists (técnico / auxiliar de enfermagem) (fonte)</t>
  </si>
  <si>
    <r>
      <rPr>
        <sz val="10"/>
        <rFont val="Arial"/>
        <family val="2"/>
        <charset val="1"/>
      </rPr>
      <t xml:space="preserve">Community health agent (Agente Comunitários da Saúde) * (</t>
    </r>
    <r>
      <rPr>
        <sz val="10"/>
        <color rgb="FF0000FF"/>
        <rFont val="Arial"/>
        <family val="2"/>
        <charset val="1"/>
      </rPr>
      <t xml:space="preserve">fonte</t>
    </r>
    <r>
      <rPr>
        <sz val="10"/>
        <rFont val="Arial"/>
        <family val="2"/>
        <charset val="1"/>
      </rPr>
      <t xml:space="preserve">)  (</t>
    </r>
    <r>
      <rPr>
        <sz val="10"/>
        <color rgb="FF0000FF"/>
        <rFont val="Arial"/>
        <family val="2"/>
        <charset val="1"/>
      </rPr>
      <t xml:space="preserve">fonte-doi</t>
    </r>
    <r>
      <rPr>
        <sz val="10"/>
        <rFont val="Arial"/>
        <family val="2"/>
        <charset val="1"/>
      </rPr>
      <t xml:space="preserve">)</t>
    </r>
  </si>
  <si>
    <t xml:space="preserve">Dentist (Dentista) (fonte)</t>
  </si>
  <si>
    <t xml:space="preserve">Dental technician (Técnico em saúde bucal) (fonte)</t>
  </si>
  <si>
    <t xml:space="preserve">Gynaecologists / Obstetricians  (Ginecologista / obstetra)</t>
  </si>
  <si>
    <t xml:space="preserve">Paediatricians (Pediatra)</t>
  </si>
  <si>
    <t xml:space="preserve">Psychiatrists (Psiquiatra)</t>
  </si>
  <si>
    <t xml:space="preserve">Geriatrician (Geriatra)</t>
  </si>
  <si>
    <t xml:space="preserve">Labor physician (Médico do trabalho + tráfego + esporte) *</t>
  </si>
  <si>
    <t xml:space="preserve">Homeopathic Doctor (Médico Homeopata) **</t>
  </si>
  <si>
    <t xml:space="preserve">Acupuncturist (Médico Acupunturista) ***</t>
  </si>
  <si>
    <t xml:space="preserve">Social worker (Assistente Social)</t>
  </si>
  <si>
    <t xml:space="preserve">Physical educator (Educador Físico)</t>
  </si>
  <si>
    <t xml:space="preserve">Pharmacists (Farmacêutico)</t>
  </si>
  <si>
    <t xml:space="preserve">Physiotherapists (Fisioterapeuta)</t>
  </si>
  <si>
    <t xml:space="preserve">Speech therapist and Audiologist (Fonoaudiologista) (Fonte)</t>
  </si>
  <si>
    <t xml:space="preserve">Nutritionist (Nutricionista + Nutrólogo)</t>
  </si>
  <si>
    <t xml:space="preserve">Psycologist (Psicólogo)</t>
  </si>
  <si>
    <t xml:space="preserve">Occupational Therapist (Terapeuta Ocupacional)</t>
  </si>
  <si>
    <r>
      <rPr>
        <sz val="10"/>
        <rFont val="Arial"/>
        <family val="2"/>
        <charset val="1"/>
      </rPr>
      <t xml:space="preserve">2 – Secondary care (</t>
    </r>
    <r>
      <rPr>
        <i val="true"/>
        <sz val="10"/>
        <rFont val="Arial"/>
        <family val="2"/>
        <charset val="1"/>
      </rPr>
      <t xml:space="preserve">outpatient care in clinics and health specialities centres</t>
    </r>
    <r>
      <rPr>
        <sz val="10"/>
        <rFont val="Arial"/>
        <family val="2"/>
        <charset val="1"/>
      </rPr>
      <t xml:space="preserve">)</t>
    </r>
  </si>
  <si>
    <t xml:space="preserve">General surgeon (Cirurgião geral)</t>
  </si>
  <si>
    <t xml:space="preserve">Cardiologist (Cardiologista)</t>
  </si>
  <si>
    <t xml:space="preserve">Endocrinologist (Endocrinologista)</t>
  </si>
  <si>
    <t xml:space="preserve">Nephrologist (Nefrologista)</t>
  </si>
  <si>
    <t xml:space="preserve">Neurologist (Neurologista)</t>
  </si>
  <si>
    <t xml:space="preserve">Ophthalmologist (Oftalmologista)</t>
  </si>
  <si>
    <t xml:space="preserve">Otolaryngologist (Otorrinolaringologista)</t>
  </si>
  <si>
    <t xml:space="preserve">Dermatologist (Dermatologista)</t>
  </si>
  <si>
    <t xml:space="preserve">Pulmonologist (Pneumologista)</t>
  </si>
  <si>
    <t xml:space="preserve">Rheumatologist (Reumatologista)</t>
  </si>
  <si>
    <t xml:space="preserve">Urologist (Urologista)</t>
  </si>
  <si>
    <t xml:space="preserve">Orthopedist (Ortopedista)</t>
  </si>
  <si>
    <t xml:space="preserve">Radiologist (Radiologista)</t>
  </si>
  <si>
    <t xml:space="preserve">Radiology technologists (Tecnico em radiologia) (fonte)</t>
  </si>
  <si>
    <r>
      <rPr>
        <sz val="10"/>
        <rFont val="Arial"/>
        <family val="2"/>
        <charset val="1"/>
      </rPr>
      <t xml:space="preserve">3 – Tertiary care (</t>
    </r>
    <r>
      <rPr>
        <i val="true"/>
        <sz val="10"/>
        <rFont val="Arial"/>
        <family val="2"/>
        <charset val="1"/>
      </rPr>
      <t xml:space="preserve">outpatient and inpatient care in clinics and hospitals</t>
    </r>
    <r>
      <rPr>
        <sz val="10"/>
        <rFont val="Arial"/>
        <family val="2"/>
        <charset val="1"/>
      </rPr>
      <t xml:space="preserve">)</t>
    </r>
  </si>
  <si>
    <t xml:space="preserve">Global data</t>
  </si>
  <si>
    <t xml:space="preserve">Physicians(per 100,000 population)  / Most recent information: 2019 / 2018 / 2018</t>
  </si>
  <si>
    <t xml:space="preserve">Ref:</t>
  </si>
  <si>
    <t xml:space="preserve">https://data.worldbank.org/indicator/SH.MED.PHYS.ZS?end=2019&amp;start=2019&amp;view=map&amp;year=2017</t>
  </si>
  <si>
    <t xml:space="preserve">Nurses and midwives (per 100,000 population)   / Most recent information: 2019 / 2017 / 2018</t>
  </si>
  <si>
    <t xml:space="preserve">https://data.worldbank.org/indicator/SH.MED.NUMW.P3?end=2019&amp;start=2019&amp;view=map&amp;year=2017</t>
  </si>
  <si>
    <t xml:space="preserve">Hospital beds (per 100,000 population)   / Most recent information: 2017 / 2018 / 2019</t>
  </si>
  <si>
    <t xml:space="preserve">https://data.worldbank.org/indicator/SH.MED.BEDS.ZS?end=2019&amp;start=2019&amp;view=map&amp;year=2012</t>
  </si>
  <si>
    <t xml:space="preserve">Specialist surgical workforce (per 100,000 population) / Recent inf: 2018 / 2014 / 2015</t>
  </si>
  <si>
    <t xml:space="preserve">https://data.worldbank.org/indicator/SH.MED.SAOP.P5?end=2019&amp;start=2019&amp;view=map&amp;year=2012</t>
  </si>
  <si>
    <t xml:space="preserve">Physicians Non-Surgical workforce (per 100,000 population) </t>
  </si>
  <si>
    <t xml:space="preserve">Labor physician (Médico do trabalho) *</t>
  </si>
  <si>
    <t xml:space="preserve">Angiology / vascular surgery (Angiologista / Cirurgião vascular)</t>
  </si>
  <si>
    <t xml:space="preserve">Gastroenterologist / proctologist (Gastroenterologista / proctologista)</t>
  </si>
  <si>
    <t xml:space="preserve">Alergista (allergist)</t>
  </si>
  <si>
    <t xml:space="preserve">Pediatric Surgeon (Cirurgião Pediatra)</t>
  </si>
  <si>
    <t xml:space="preserve">Plastic surgeon (Cirurgião Plástico)</t>
  </si>
  <si>
    <t xml:space="preserve">Hematologist (Hematologista)</t>
  </si>
  <si>
    <t xml:space="preserve">Infectologist (Infectologista)</t>
  </si>
  <si>
    <t xml:space="preserve">Mastologist (Mastologista)</t>
  </si>
  <si>
    <t xml:space="preserve">Nuclear Doctor (Médico Nuclear)</t>
  </si>
  <si>
    <t xml:space="preserve">Oncologist (Oncologista)</t>
  </si>
  <si>
    <t xml:space="preserve">Intensive Care physician (Médico intensivista)</t>
  </si>
  <si>
    <t xml:space="preserve">Anesthetist (Anestesista)</t>
  </si>
  <si>
    <t xml:space="preserve">Digestive system surgeon (Cirurgião do aparelho digestivo)</t>
  </si>
  <si>
    <t xml:space="preserve">Head and neck surgeon (Cirurgião de cabeça e pescoço)</t>
  </si>
  <si>
    <t xml:space="preserve">Thoracic surgeon (Cirurgião torácico)</t>
  </si>
  <si>
    <t xml:space="preserve">Cardiovascular surgeon (Cirurgião cardiovascular)</t>
  </si>
  <si>
    <t xml:space="preserve">Professionals</t>
  </si>
  <si>
    <t xml:space="preserve">Global offer of physicians, nurses and other healthcare professionals: (2022)</t>
  </si>
  <si>
    <t xml:space="preserve">Medical equipment</t>
  </si>
  <si>
    <t xml:space="preserve">Hosp.</t>
  </si>
  <si>
    <t xml:space="preserve">Amb.</t>
  </si>
  <si>
    <t xml:space="preserve">Number of hospital beds (3: ambulatory + hospitals) (2,62 bed / 1000 inhab)</t>
  </si>
  <si>
    <t xml:space="preserve">X-ray (2,3): : Cap: 6000 * 60% (efic) = 3600 exams/year</t>
  </si>
  <si>
    <t xml:space="preserve">Mammographs (2,3): Cap: 6758 * 60% (efic) = 4054 exams/year</t>
  </si>
  <si>
    <t xml:space="preserve">Gamma cameras (2,3)</t>
  </si>
  <si>
    <t xml:space="preserve">Computer Tomograpy (CT) scanners (2,3): Cap: 7000 * 60% (efic) = 4200 exams/year</t>
  </si>
  <si>
    <t xml:space="preserve">PET scanners (2,3): Cap: 7600 * 60% (efic) = 4560 exams/year</t>
  </si>
  <si>
    <t xml:space="preserve">Magnetic Ressonance Imaging (MRI) scanners (2,3): Cap: 5000 * 60% (efic) = 3000 exams/year</t>
  </si>
  <si>
    <t xml:space="preserve">Ultrasound (2,3): Cap: 3024 * 60% (efic) = 1814 exams/year</t>
  </si>
  <si>
    <t xml:space="preserve">*</t>
  </si>
  <si>
    <t xml:space="preserve">Não encontrei função com nome equivalente em outros países</t>
  </si>
  <si>
    <t xml:space="preserve">**</t>
  </si>
  <si>
    <t xml:space="preserve">NHS sugere a retirada : https://www.nhs.uk/conditions/homeopathy/</t>
  </si>
  <si>
    <t xml:space="preserve">***</t>
  </si>
  <si>
    <t xml:space="preserve">Geralmente não é necessariamente médico: https://www.hopkinsmedicine.org/health/wellness-and-prevention/acupuncture</t>
  </si>
  <si>
    <t xml:space="preserve">From 7.1 to 22.1: Expanded on NASF (Núcleo Ampliado de Saúde da Família)</t>
  </si>
  <si>
    <t xml:space="preserve">Dados: </t>
  </si>
  <si>
    <t xml:space="preserve">Atualmente 200 mil assistente social (90% mulheres): http://www.cfess.org.br/visualizar/menu/local/perguntas-frequentes</t>
  </si>
  <si>
    <t xml:space="preserve">Atualmente 160 mil educadores físicos: https://www.guiadacarreira.com.br/profissao/mercado-trabalho-educacao-fisica</t>
  </si>
  <si>
    <t xml:space="preserve">Atualmente 234 mil farmacêuticos: https://www.cff.org.br/pagina.php?id=801&amp;titulo=Boletins</t>
  </si>
  <si>
    <t xml:space="preserve">Atualmente 234 mil farmacêuticos: https://doi.org/10.1590/1809-2950/17027025032018</t>
  </si>
  <si>
    <t xml:space="preserve">Atualmente 40 mil fono e 1.5 fonoaudiólogos por 100 mil: https://doi.org/10.1590/1981-7746-sol00214 https://doi.org/10.1590/2317-6431-2015-1665</t>
  </si>
  <si>
    <t xml:space="preserve">Atualmente 158 mil nutricionistas: http://pesquisa.cfn.org.br/</t>
  </si>
  <si>
    <t xml:space="preserve">Atualmente 428 mil psicólogos: http://www2.cfp.org.br/infografico/quantos-somos/</t>
  </si>
  <si>
    <t xml:space="preserve">Atualmente 17 mil terapeutas ocupacionais: http://www.conselho.saude.gov.br/ultimas_noticias/2011/13_out_terapeutaocupacional.html</t>
  </si>
  <si>
    <t xml:space="preserve">Atualmente 670 mil Enfermeiros: http://www.cofen.gov.br/enfermagem-em-numeros </t>
  </si>
  <si>
    <t xml:space="preserve">Atualmente 1600 mil Técnicos em enfermagem: http://www.cofen.gov.br/enfermagem-em-numeros</t>
  </si>
  <si>
    <t xml:space="preserve">Atualmente 258 mil agentes comunitários: https://doi.org/10.11606/s1518-8787.2021055003005  </t>
  </si>
  <si>
    <t xml:space="preserve">Atualmente 380 mil dentistas: https://website.cfo.org.br/estatisticas/quantidade-geral-de-entidades-e-profissionais-ativos/</t>
  </si>
  <si>
    <t xml:space="preserve">Atualmente 230 mil aux. Dentistas: https://website.cfo.org.br/estatisticas/quantidade-geral-de-entidades-e-profissionais-ativos/</t>
  </si>
  <si>
    <t xml:space="preserve">Atualmente 40 mil fonoaudiólogos: https://doi.org/10.1590/2317-6431-2015-1665</t>
  </si>
  <si>
    <t xml:space="preserve">Atualmente 35 mil técnicos em radioloia: https://viacarreira.com/tecnico-em-radiologia/</t>
  </si>
  <si>
    <t xml:space="preserve">Demografia médica: https://www.fm.usp.br/fmusp/conteudo/DemografiaMedica2020_9DEZ.pdf</t>
  </si>
  <si>
    <t xml:space="preserve">Problema distrib médica: https://portal.cfm.org.br/noticias/explode-numero-de-medicos-no-brasil-mas-distorcoes-na-distribuicao-dos-profissionais-ainda-e-desafio-para-gestores/</t>
  </si>
  <si>
    <t xml:space="preserve">Problema distrib médica: https://portal.cfm.org.br/noticias/desigualdade-na-distribuicao-dos-medicos-dificulta-o-acesso-da-populacao-aos-cuidados-em-saude/</t>
  </si>
  <si>
    <t xml:space="preserve">https://portal.cfm.org.br/noticias/capitais-e-grande-centros-concentram-a-maioria-dos-medicos-brasileiros/</t>
  </si>
  <si>
    <t xml:space="preserve">https://portal.cfm.org.br/noticias/idade-dos-medicos-em-atividade-no-brasil-vem-caindo-nos-ultimos-anos/</t>
  </si>
  <si>
    <t xml:space="preserve">Fonte:</t>
  </si>
  <si>
    <t xml:space="preserve">PET Scan: https://www.scin.scot.nhs.uk/wp-content/uploads/2017/08/PET-CT-Review-of-Indications-2016-Report-V2-1.pdf</t>
  </si>
  <si>
    <t xml:space="preserve">MRI: https://www.auntminnie.com/index.aspx?sec=ser&amp;sub=def&amp;pag=dis&amp;ItemID=96465</t>
  </si>
  <si>
    <t xml:space="preserve">X-Ray: https://www.google.com/url?sa=t&amp;rct=j&amp;q=&amp;esrc=s&amp;source=web&amp;cd=&amp;ved=2ahUKEwim2ta09oD6AhUOqYsKHV_UDrYQFnoECAYQAQ&amp;url=https%3A%2F%2Fapps.who.int%2Firis%2Frest%2Fbitstreams%2F62679%2Fretrieve&amp;usg=AOvVaw2mT-gnRV1sRg_anOo5KsBx</t>
  </si>
  <si>
    <t xml:space="preserve">Equipamentos: http://cnes2.datasus.gov.br/Mod_Ind_Equipamento.asp?VEstado=00</t>
  </si>
  <si>
    <t xml:space="preserve">Leitos: http://cnes2.datasus.gov.br/Mod_Ind_Tipo_Leito.asp?VEstado=00</t>
  </si>
  <si>
    <t xml:space="preserve">The healthcare system: https://www.eu-healthcare.fi/health-services-abroad/country-specific-information-about-health-services/brazil/</t>
  </si>
  <si>
    <t xml:space="preserve">Location: https://ec.europa.eu/eurostat/web/nuts/background</t>
  </si>
  <si>
    <t xml:space="preserve">Font databases:</t>
  </si>
  <si>
    <t xml:space="preserve">https://ec.europa.eu/eurostat/web/health/data/database</t>
  </si>
  <si>
    <t xml:space="preserve">https://db.nomics.world/Eurostat/hlth_rs_equip?dimensions=%7B%22facility%22%3A%5B%22CT_SCAN%22%5D%7D</t>
  </si>
  <si>
    <t xml:space="preserve">Gastroenterologist / proctologist (Gastroenterologista / proctologista + endoscopia)</t>
  </si>
  <si>
    <t xml:space="preserve">Labor physician (Médico do trabalho + tráfego + esporte + reabilitação) *</t>
  </si>
  <si>
    <t xml:space="preserve">Neurologist (Neurologista + Neurocirurgia)</t>
  </si>
  <si>
    <t xml:space="preserve">Oncologist (Oncologista cirurgia + clínica)</t>
  </si>
  <si>
    <t xml:space="preserve">Radiologist (Radiologista + radioterapeuta)</t>
  </si>
  <si>
    <t xml:space="preserve">Médicos no Brasil</t>
  </si>
  <si>
    <t xml:space="preserve">População</t>
  </si>
  <si>
    <t xml:space="preserve">Médicos por 100 mil hab</t>
  </si>
  <si>
    <t xml:space="preserve">Mécidos por mil hab</t>
  </si>
  <si>
    <t xml:space="preserve">Hosp.Pequeno-Porte (secondary-care)</t>
  </si>
  <si>
    <t xml:space="preserve">Hosp.Medio-Porte (tertiary-care)</t>
  </si>
  <si>
    <t xml:space="preserve">Beds</t>
  </si>
  <si>
    <t xml:space="preserve">Nível de ocupação</t>
  </si>
  <si>
    <t xml:space="preserve">https://journals.sagepub.com/doi/pdf/10.5034/inquiryjrnl_39.4.400</t>
  </si>
  <si>
    <t xml:space="preserve">Beds/ 1000 pop</t>
  </si>
  <si>
    <t xml:space="preserve">Ref: celula da aba anterior</t>
  </si>
  <si>
    <t xml:space="preserve">Minimum Pop</t>
  </si>
  <si>
    <t xml:space="preserve">Código</t>
  </si>
  <si>
    <t xml:space="preserve">Equipamento em todos os municípios</t>
  </si>
  <si>
    <t xml:space="preserve">Existentes</t>
  </si>
  <si>
    <t xml:space="preserve">Em Uso</t>
  </si>
  <si>
    <t xml:space="preserve">Existentes
SUS</t>
  </si>
  <si>
    <t xml:space="preserve">Em Uso SUS</t>
  </si>
  <si>
    <t xml:space="preserve">8-EQUIPAMENTOS DE AUDIOLOGIA</t>
  </si>
  <si>
    <t xml:space="preserve">EMISSOES OTOACUSTICAS EVOCADAS TRANSIENTES </t>
  </si>
  <si>
    <t xml:space="preserve">EMISSOES OTOACUSTICAS EVOCADAS POR PRODUTO DE DISTORCAO </t>
  </si>
  <si>
    <t xml:space="preserve">POTENCIAL EVOCADO AUDITIVO DE TRONCO ENCEFALICO AUTOMATICO </t>
  </si>
  <si>
    <t xml:space="preserve">POT EVOCADO AUD TRONCO ENCEF DE CURTA,MEDIA E LONGA LATENCIA </t>
  </si>
  <si>
    <t xml:space="preserve">AUDIOMETRO DE UM CANAL </t>
  </si>
  <si>
    <t xml:space="preserve">AUDIOMETRO DE DOIS CANAIS </t>
  </si>
  <si>
    <t xml:space="preserve">IMITANCIOMETRO </t>
  </si>
  <si>
    <t xml:space="preserve">IMITANCIOMETRO MULTIFREQUENCIAL </t>
  </si>
  <si>
    <t xml:space="preserve">CABINE ACUSTICA </t>
  </si>
  <si>
    <t xml:space="preserve">SISTEMA DE CAMPO LIVRE </t>
  </si>
  <si>
    <t xml:space="preserve">SISTEMA COMPLETO DE REFORÇO VISUAL(VRA) </t>
  </si>
  <si>
    <t xml:space="preserve">GANHO DE INSERCAO </t>
  </si>
  <si>
    <t xml:space="preserve">HI-PRO </t>
  </si>
  <si>
    <t xml:space="preserve">TOTAL</t>
  </si>
  <si>
    <t xml:space="preserve">1-EQUIPAMENTOS DE DIAGNOSTICO POR IMAGEM</t>
  </si>
  <si>
    <t xml:space="preserve">Gama Camara </t>
  </si>
  <si>
    <t xml:space="preserve">Mamografo com Comando Simples </t>
  </si>
  <si>
    <t xml:space="preserve">Mamografo com Estereotaxia </t>
  </si>
  <si>
    <t xml:space="preserve">Raio X ate 100 mA </t>
  </si>
  <si>
    <t xml:space="preserve">Raio X de 100 a 500 mA </t>
  </si>
  <si>
    <t xml:space="preserve">Raio X mais de 500mA </t>
  </si>
  <si>
    <t xml:space="preserve">Raio X Dentario </t>
  </si>
  <si>
    <t xml:space="preserve">Raio X com Fluoroscopia </t>
  </si>
  <si>
    <t xml:space="preserve">Raio X para Densitometria Ossea </t>
  </si>
  <si>
    <t xml:space="preserve">Raio X para Hemodinamica </t>
  </si>
  <si>
    <t xml:space="preserve">Tomógrafo Computadorizado </t>
  </si>
  <si>
    <t xml:space="preserve">Ressonancia Magnetica </t>
  </si>
  <si>
    <t xml:space="preserve">Ultrassom Doppler Colorido </t>
  </si>
  <si>
    <t xml:space="preserve">Ultrassom Ecografo </t>
  </si>
  <si>
    <t xml:space="preserve">Ultrassom Convencional </t>
  </si>
  <si>
    <t xml:space="preserve">PROCESSADORA DE FILME EXCLUSIVA PARA MAMOGRAFIA </t>
  </si>
  <si>
    <t xml:space="preserve">MAMOGRAFO COMPUTADORIZADO </t>
  </si>
  <si>
    <t xml:space="preserve">PET/CT </t>
  </si>
  <si>
    <t xml:space="preserve">2-EQUIPAMENTOS DE INFRA-ESTRUTURA</t>
  </si>
  <si>
    <t xml:space="preserve">AR CONDICIONADO </t>
  </si>
  <si>
    <t xml:space="preserve">CAMARA FRIGORIFICA </t>
  </si>
  <si>
    <t xml:space="preserve">Controle Ambiental/Ar-condicionado Central </t>
  </si>
  <si>
    <t xml:space="preserve">Grupo Gerador </t>
  </si>
  <si>
    <t xml:space="preserve">Usina de Oxigenio </t>
  </si>
  <si>
    <t xml:space="preserve">CAMARA PARA CONSERVACAO DE HEMODERIVADOS/IMUNO/TERMOLABEIS </t>
  </si>
  <si>
    <t xml:space="preserve">CAMARA PARA CONSERVACAO DE IMUNOBIOLOGICOS </t>
  </si>
  <si>
    <t xml:space="preserve">CONDENSADOR </t>
  </si>
  <si>
    <t xml:space="preserve">FREEZER CIENTIFICO </t>
  </si>
  <si>
    <t xml:space="preserve">GRUPO GERADOR (101 A 300 KVA) </t>
  </si>
  <si>
    <t xml:space="preserve">GRUPO GERADOR (8 A 100 KVA) </t>
  </si>
  <si>
    <t xml:space="preserve">GRUPO GERADOR (ACIMA DE 300 KVA) </t>
  </si>
  <si>
    <t xml:space="preserve">GRUPO GERADOR DE 1.500 KVA (MINIMO) </t>
  </si>
  <si>
    <t xml:space="preserve">GRUPO GERADOR PORTATIL (ATE 7 KVA) </t>
  </si>
  <si>
    <t xml:space="preserve">REFRIGERADOR </t>
  </si>
  <si>
    <t xml:space="preserve">7-EQUIPAMENTOS DE ODONTOLOGIA</t>
  </si>
  <si>
    <t xml:space="preserve">Equipo Odontologico </t>
  </si>
  <si>
    <t xml:space="preserve">Compressor Odontologico </t>
  </si>
  <si>
    <t xml:space="preserve">Fotopolimerizador </t>
  </si>
  <si>
    <t xml:space="preserve">Caneta de Alta Rotacao </t>
  </si>
  <si>
    <t xml:space="preserve">Caneta de Baixa Rotacao </t>
  </si>
  <si>
    <t xml:space="preserve">Amalgamador </t>
  </si>
  <si>
    <t xml:space="preserve">Aparelho de Profilaxia c/ Jato de Bicarbonato </t>
  </si>
  <si>
    <t xml:space="preserve">5-EQUIPAMENTOS PARA MANUTENCAO DA VIDA</t>
  </si>
  <si>
    <t xml:space="preserve">Bomba/Balao Intra-Aortico </t>
  </si>
  <si>
    <t xml:space="preserve">Bomba de Infusao </t>
  </si>
  <si>
    <t xml:space="preserve">Berço Aquecido </t>
  </si>
  <si>
    <t xml:space="preserve">Bilirrubinometro </t>
  </si>
  <si>
    <t xml:space="preserve">Debitometro </t>
  </si>
  <si>
    <t xml:space="preserve">Desfibrilador </t>
  </si>
  <si>
    <t xml:space="preserve">Equipamento de Fototerapia </t>
  </si>
  <si>
    <t xml:space="preserve">Incubadora </t>
  </si>
  <si>
    <t xml:space="preserve">Marcapasso Temporario </t>
  </si>
  <si>
    <t xml:space="preserve">Monitor de ECG </t>
  </si>
  <si>
    <t xml:space="preserve">Monitor de Pressao Invasivo </t>
  </si>
  <si>
    <t xml:space="preserve">Monitor de Pressao Nao-Invasivo </t>
  </si>
  <si>
    <t xml:space="preserve">Reanimador Pulmonar/AMBU </t>
  </si>
  <si>
    <t xml:space="preserve">Respirador/Ventilador </t>
  </si>
  <si>
    <t xml:space="preserve">MONITOR MULTIPARAMETRO </t>
  </si>
  <si>
    <t xml:space="preserve">4-EQUIPAMENTOS POR METODOS GRAFICOS</t>
  </si>
  <si>
    <t xml:space="preserve">Eletrocardiografo </t>
  </si>
  <si>
    <t xml:space="preserve">Eletroencefalografo </t>
  </si>
  <si>
    <t xml:space="preserve">3-EQUIPAMENTOS POR METODOS OPTICOS</t>
  </si>
  <si>
    <t xml:space="preserve">Endoscopio das Vias Respiratorias </t>
  </si>
  <si>
    <t xml:space="preserve">Endoscopio das Vias Urinarias </t>
  </si>
  <si>
    <t xml:space="preserve">Endoscopio Digestivo </t>
  </si>
  <si>
    <t xml:space="preserve">Equipamentos para Optometria </t>
  </si>
  <si>
    <t xml:space="preserve">Laparoscopio/Vídeo </t>
  </si>
  <si>
    <t xml:space="preserve">Microscopio Cirurgico </t>
  </si>
  <si>
    <t xml:space="preserve">CADEIRA OFTALMOLOGICA </t>
  </si>
  <si>
    <t xml:space="preserve">COLUNA OFTALMOLOGICA </t>
  </si>
  <si>
    <t xml:space="preserve">REFRATOR </t>
  </si>
  <si>
    <t xml:space="preserve">LENSOMETRO </t>
  </si>
  <si>
    <t xml:space="preserve">PROJETOR OU TABELA DE OPTOTIPOS </t>
  </si>
  <si>
    <t xml:space="preserve">RETINOSCOPIO </t>
  </si>
  <si>
    <t xml:space="preserve">OFTALMOSCOPIO </t>
  </si>
  <si>
    <t xml:space="preserve">CERATOMETRO </t>
  </si>
  <si>
    <t xml:space="preserve">TONOMETRO DE APLANACAO </t>
  </si>
  <si>
    <t xml:space="preserve">BIOMICROSCOPIO (LAMPADA DE FENDA) </t>
  </si>
  <si>
    <t xml:space="preserve">CAMPIMETRO </t>
  </si>
  <si>
    <t xml:space="preserve">6-OUTROS EQUIPAMENTOS</t>
  </si>
  <si>
    <t xml:space="preserve">CAMINHAO BAU REFRIGERADO </t>
  </si>
  <si>
    <t xml:space="preserve">EMBARCACAO PARA TRANSPORTE COM MOTOR POPA (ATE 12 PESSOAS) </t>
  </si>
  <si>
    <t xml:space="preserve">EMPILHADEIRA </t>
  </si>
  <si>
    <t xml:space="preserve">VEICULO UTILITARIO (TIPO FURGAO) </t>
  </si>
  <si>
    <t xml:space="preserve">Aparelho de Diatermia por Ultrassom/Ondas Curtas </t>
  </si>
  <si>
    <t xml:space="preserve">Aparelho de Eletroestimulacao </t>
  </si>
  <si>
    <t xml:space="preserve">Bomba de Infusao de Hemoderivados </t>
  </si>
  <si>
    <t xml:space="preserve">Equipamentos de Aferese </t>
  </si>
  <si>
    <t xml:space="preserve">Equipamento de Circulacao Extracorporea </t>
  </si>
  <si>
    <t xml:space="preserve">Equipamento para Hemodialise </t>
  </si>
  <si>
    <t xml:space="preserve">Forno de Bier </t>
  </si>
  <si>
    <t xml:space="preserve">VEICULO PICK-UP CABINE DUPLA 4X4 (DIESEL) </t>
  </si>
  <si>
    <t xml:space="preserve">http://cnes2.datasus.gov.br/Mod_Ind_Equipamento.asp?VEstado=00</t>
  </si>
  <si>
    <t xml:space="preserve">CIRÚRGICO</t>
  </si>
  <si>
    <t xml:space="preserve">Codigo</t>
  </si>
  <si>
    <t xml:space="preserve">Descrição</t>
  </si>
  <si>
    <t xml:space="preserve">Existente</t>
  </si>
  <si>
    <t xml:space="preserve">Sus</t>
  </si>
  <si>
    <t xml:space="preserve">BUCO MAXILO FACIAL  </t>
  </si>
  <si>
    <t xml:space="preserve">CARDIOLOGIA  </t>
  </si>
  <si>
    <t xml:space="preserve">CIRURGIA GERAL  </t>
  </si>
  <si>
    <t xml:space="preserve">ENDOCRINOLOGIA  </t>
  </si>
  <si>
    <t xml:space="preserve">GASTROENTEROLOGIA  </t>
  </si>
  <si>
    <t xml:space="preserve">GINECOLOGIA  </t>
  </si>
  <si>
    <t xml:space="preserve">NEFROLOGIAUROLOGIA  </t>
  </si>
  <si>
    <t xml:space="preserve">NEUROCIRURGIA  </t>
  </si>
  <si>
    <t xml:space="preserve">OFTALMOLOGIA  </t>
  </si>
  <si>
    <t xml:space="preserve">ONCOLOGIA  </t>
  </si>
  <si>
    <t xml:space="preserve">ORTOPEDIATRAUMATOLOGIA  </t>
  </si>
  <si>
    <t xml:space="preserve">OTORRINOLARINGOLOGIA  </t>
  </si>
  <si>
    <t xml:space="preserve">PLASTICA  </t>
  </si>
  <si>
    <t xml:space="preserve">TORACICA  </t>
  </si>
  <si>
    <t xml:space="preserve">TRANSPLANTE  </t>
  </si>
  <si>
    <t xml:space="preserve">QUEIMADO ADULTO  </t>
  </si>
  <si>
    <t xml:space="preserve">QUEIMADO PEDIATRICO  </t>
  </si>
  <si>
    <t xml:space="preserve">TOTAL CIRÚRGICO</t>
  </si>
  <si>
    <t xml:space="preserve">CLÍNICO</t>
  </si>
  <si>
    <t xml:space="preserve">AIDS  </t>
  </si>
  <si>
    <t xml:space="preserve">CLINICA GERAL  </t>
  </si>
  <si>
    <t xml:space="preserve">DERMATOLOGIA  </t>
  </si>
  <si>
    <t xml:space="preserve">GERIATRIA  </t>
  </si>
  <si>
    <t xml:space="preserve">HANSENOLOGIA  </t>
  </si>
  <si>
    <t xml:space="preserve">HEMATOLOGIA  </t>
  </si>
  <si>
    <t xml:space="preserve">NEFROUROLOGIA  </t>
  </si>
  <si>
    <t xml:space="preserve">NEONATOLOGIA  </t>
  </si>
  <si>
    <t xml:space="preserve">NEUROLOGIA  </t>
  </si>
  <si>
    <t xml:space="preserve">PNEUMOLOGIA  </t>
  </si>
  <si>
    <t xml:space="preserve">UNIDADE ISOLAMENTO  </t>
  </si>
  <si>
    <t xml:space="preserve">SAUDE MENTAL  </t>
  </si>
  <si>
    <t xml:space="preserve">TOTAL CLÍNICO</t>
  </si>
  <si>
    <t xml:space="preserve">OBSTÉTRICO</t>
  </si>
  <si>
    <t xml:space="preserve">OBSTETRICIA CIRURGICA  </t>
  </si>
  <si>
    <t xml:space="preserve">OBSTETRICIA CLINICA  </t>
  </si>
  <si>
    <t xml:space="preserve">TOTAL OBSTÉTRICO</t>
  </si>
  <si>
    <t xml:space="preserve">PEDIATRICO</t>
  </si>
  <si>
    <t xml:space="preserve">PEDIATRIA CLINICA  </t>
  </si>
  <si>
    <t xml:space="preserve">PEDIATRIA CIRURGICA  </t>
  </si>
  <si>
    <t xml:space="preserve">TOTAL PEDIÁTRICO</t>
  </si>
  <si>
    <t xml:space="preserve">OUTRAS ESPECIALIDADES</t>
  </si>
  <si>
    <t xml:space="preserve">CRONICOS  </t>
  </si>
  <si>
    <t xml:space="preserve">PSIQUIATRIA  </t>
  </si>
  <si>
    <t xml:space="preserve">REABILITACAO  </t>
  </si>
  <si>
    <t xml:space="preserve">PNEUMOLOGIA SANITARIA  </t>
  </si>
  <si>
    <t xml:space="preserve">ACOLHIMENTO NOTURNO  </t>
  </si>
  <si>
    <t xml:space="preserve">TOTAL OUTRAS ESPECIALIDADES</t>
  </si>
  <si>
    <t xml:space="preserve">HOSPITAL DIA</t>
  </si>
  <si>
    <t xml:space="preserve">CIRURGICO/DIAGNOSTICO/TERAPEUTICO  </t>
  </si>
  <si>
    <t xml:space="preserve">FIBROSE CISTICA  </t>
  </si>
  <si>
    <t xml:space="preserve">INTERCORRENCIA POS-TRANSPLANTE  </t>
  </si>
  <si>
    <t xml:space="preserve">TOTAL HOSPITAL DIA</t>
  </si>
  <si>
    <t xml:space="preserve">COMPLEMENTAR</t>
  </si>
  <si>
    <t xml:space="preserve">Habilitados</t>
  </si>
  <si>
    <t xml:space="preserve">UTI II ADULTO-SINDROME RESP. AGUDA GRAVE (SRAG)-COVID-19  </t>
  </si>
  <si>
    <t xml:space="preserve">UTI II PEDIATRICA-SINDROME RESP. AGUDA GRAVE (SRAG)-COVID-19  </t>
  </si>
  <si>
    <t xml:space="preserve">UNIDADE INTERMEDIARIA NEONATAL  </t>
  </si>
  <si>
    <t xml:space="preserve">UTI ADULTO - TIPO I  </t>
  </si>
  <si>
    <t xml:space="preserve">UTI ADULTO - TIPO II  </t>
  </si>
  <si>
    <t xml:space="preserve">UTI ADULTO - TIPO III  </t>
  </si>
  <si>
    <t xml:space="preserve">UTI PEDIATRICA - TIPO I  </t>
  </si>
  <si>
    <t xml:space="preserve">UTI PEDIATRICA - TIPO II  </t>
  </si>
  <si>
    <t xml:space="preserve">UTI PEDIATRICA - TIPO III  </t>
  </si>
  <si>
    <t xml:space="preserve">UTI NEONATAL - TIPO I  </t>
  </si>
  <si>
    <t xml:space="preserve">UTI NEONATAL - TIPO II  </t>
  </si>
  <si>
    <t xml:space="preserve">UTI NEONATAL - TIPO III  </t>
  </si>
  <si>
    <t xml:space="preserve">UTI DE QUEIMADOS  </t>
  </si>
  <si>
    <t xml:space="preserve">UTI CORONARIANA TIPO II - UCO TIPO II  </t>
  </si>
  <si>
    <t xml:space="preserve">UTI CORONARIANA TIPO III - UCO TIPO III  </t>
  </si>
  <si>
    <t xml:space="preserve">UNIDADE DE CUIDADOS INTERMEDIARIOS NEONATAL CONVENCIONAL  </t>
  </si>
  <si>
    <t xml:space="preserve">UNIDADE DE CUIDADOS INTERMEDIARIOS NEONATAL CANGURU  </t>
  </si>
  <si>
    <t xml:space="preserve">UNIDADE DE CUIDADOS INTERMEDIARIOS PEDIATRICO  </t>
  </si>
  <si>
    <t xml:space="preserve">UNIDADE DE CUIDADOS INTERMEDIARIOS ADULTO  </t>
  </si>
  <si>
    <t xml:space="preserve">SUPORTE VENTILATÓRIO PULMONAR - COVID-19  </t>
  </si>
  <si>
    <t xml:space="preserve">TOTAL COMPLEMENTAR</t>
  </si>
  <si>
    <t xml:space="preserve">Sumário</t>
  </si>
  <si>
    <t xml:space="preserve">TOTAL CLÍNICO/CIRÚRGICO</t>
  </si>
  <si>
    <t xml:space="preserve">TOTAL GERAL MENOS COMPLEMENTAR</t>
  </si>
  <si>
    <t xml:space="preserve">Fonte: </t>
  </si>
  <si>
    <t xml:space="preserve">http://cnes2.datasus.gov.br/Mod_Ind_Tipo_Leito.asp?VEstado=00</t>
  </si>
  <si>
    <t xml:space="preserve">Hospitalar:</t>
  </si>
  <si>
    <t xml:space="preserve">Ambulatorial:</t>
  </si>
  <si>
    <t xml:space="preserve">Social welfare professions</t>
  </si>
  <si>
    <t xml:space="preserve">elderly care professional</t>
  </si>
  <si>
    <t xml:space="preserve">practical nurse</t>
  </si>
  <si>
    <t xml:space="preserve">rehabilitation councellor</t>
  </si>
  <si>
    <t xml:space="preserve">school social worker in charge</t>
  </si>
  <si>
    <t xml:space="preserve">social service professional</t>
  </si>
  <si>
    <t xml:space="preserve">social worker</t>
  </si>
  <si>
    <t xml:space="preserve">Healthcare professions</t>
  </si>
  <si>
    <t xml:space="preserve">chiropractor</t>
  </si>
  <si>
    <t xml:space="preserve">dental specialist: </t>
  </si>
  <si>
    <t xml:space="preserve">clinical dentistry</t>
  </si>
  <si>
    <t xml:space="preserve">dental diagnostics</t>
  </si>
  <si>
    <t xml:space="preserve">oral and maxillofacial surgery</t>
  </si>
  <si>
    <t xml:space="preserve">oral public health</t>
  </si>
  <si>
    <t xml:space="preserve">orthodontics</t>
  </si>
  <si>
    <t xml:space="preserve">dental technician</t>
  </si>
  <si>
    <t xml:space="preserve">dentist</t>
  </si>
  <si>
    <t xml:space="preserve">dietician</t>
  </si>
  <si>
    <t xml:space="preserve">hospital cell biologist</t>
  </si>
  <si>
    <t xml:space="preserve">hospital chemist</t>
  </si>
  <si>
    <t xml:space="preserve">hospital geneticist</t>
  </si>
  <si>
    <t xml:space="preserve">hospital microbiologist</t>
  </si>
  <si>
    <t xml:space="preserve">hospital physicist</t>
  </si>
  <si>
    <t xml:space="preserve">medical laboratory technologist</t>
  </si>
  <si>
    <t xml:space="preserve">medical specialist: </t>
  </si>
  <si>
    <t xml:space="preserve">adolescent psychiatry</t>
  </si>
  <si>
    <t xml:space="preserve">Speciality</t>
  </si>
  <si>
    <t xml:space="preserve">Total</t>
  </si>
  <si>
    <t xml:space="preserve">Female</t>
  </si>
  <si>
    <t xml:space="preserve">anaesthetics and intensive care</t>
  </si>
  <si>
    <t xml:space="preserve">Adolescent Psychiatry </t>
  </si>
  <si>
    <t xml:space="preserve">cardiology</t>
  </si>
  <si>
    <t xml:space="preserve">Anaesthesiology and Intensive Care Medicine</t>
  </si>
  <si>
    <t xml:space="preserve">cardiothoracic surgery</t>
  </si>
  <si>
    <t xml:space="preserve">Cardiology  </t>
  </si>
  <si>
    <t xml:space="preserve">child neurology</t>
  </si>
  <si>
    <t xml:space="preserve">Cardiothoracic Surgery </t>
  </si>
  <si>
    <t xml:space="preserve">child psychiatry</t>
  </si>
  <si>
    <t xml:space="preserve">Child Neurology </t>
  </si>
  <si>
    <t xml:space="preserve">child surgery</t>
  </si>
  <si>
    <t xml:space="preserve">Child Psychiatry </t>
  </si>
  <si>
    <t xml:space="preserve">clinical chemistry</t>
  </si>
  <si>
    <t xml:space="preserve">Clinical Chemistry </t>
  </si>
  <si>
    <t xml:space="preserve">clinical genetics</t>
  </si>
  <si>
    <t xml:space="preserve">Clinical Genetics </t>
  </si>
  <si>
    <t xml:space="preserve">clinical haematology</t>
  </si>
  <si>
    <t xml:space="preserve">Clinical Haematology </t>
  </si>
  <si>
    <t xml:space="preserve">clinical microbiology</t>
  </si>
  <si>
    <t xml:space="preserve">Clinical Microbiology </t>
  </si>
  <si>
    <t xml:space="preserve">clinical neurophysiology</t>
  </si>
  <si>
    <t xml:space="preserve">Clinical Neurophysiology </t>
  </si>
  <si>
    <t xml:space="preserve">clinical pharmacology and pharmacotherapy</t>
  </si>
  <si>
    <t xml:space="preserve">Clinical Pharmacology and Pharmacotherapy</t>
  </si>
  <si>
    <t xml:space="preserve">clinical physiology and nuclear medicine</t>
  </si>
  <si>
    <t xml:space="preserve">Clinical Physiology and Nuclear Medicine</t>
  </si>
  <si>
    <t xml:space="preserve">dermatology and allergology</t>
  </si>
  <si>
    <t xml:space="preserve">Dermatology and Allergology</t>
  </si>
  <si>
    <t xml:space="preserve">emergency medicine</t>
  </si>
  <si>
    <t xml:space="preserve">Emergency Medicine </t>
  </si>
  <si>
    <t xml:space="preserve">endocrinology</t>
  </si>
  <si>
    <t xml:space="preserve">Endocrinology  </t>
  </si>
  <si>
    <t xml:space="preserve">forensic medicine</t>
  </si>
  <si>
    <t xml:space="preserve">Forensic Medicine </t>
  </si>
  <si>
    <t xml:space="preserve">forensic psychiatry</t>
  </si>
  <si>
    <t xml:space="preserve">Forensic Psychiatry </t>
  </si>
  <si>
    <t xml:space="preserve">gastroenterological surgery</t>
  </si>
  <si>
    <t xml:space="preserve">Gastroenterological Surgery </t>
  </si>
  <si>
    <t xml:space="preserve">gastroenterology</t>
  </si>
  <si>
    <t xml:space="preserve">Gastroenterology  </t>
  </si>
  <si>
    <t xml:space="preserve">general practise</t>
  </si>
  <si>
    <t xml:space="preserve">General Practice </t>
  </si>
  <si>
    <t xml:space="preserve">general surgery</t>
  </si>
  <si>
    <t xml:space="preserve">General Surgery </t>
  </si>
  <si>
    <t xml:space="preserve">geriatrics</t>
  </si>
  <si>
    <t xml:space="preserve">Geriatrics  </t>
  </si>
  <si>
    <t xml:space="preserve">hand surgery</t>
  </si>
  <si>
    <t xml:space="preserve">Hand Surgery </t>
  </si>
  <si>
    <t xml:space="preserve">infectious diseases</t>
  </si>
  <si>
    <t xml:space="preserve">Infectious Diseases </t>
  </si>
  <si>
    <t xml:space="preserve">internal medicine</t>
  </si>
  <si>
    <t xml:space="preserve">Internal Medicine </t>
  </si>
  <si>
    <t xml:space="preserve">nephrology</t>
  </si>
  <si>
    <t xml:space="preserve">Nephrology  </t>
  </si>
  <si>
    <t xml:space="preserve">neurology</t>
  </si>
  <si>
    <t xml:space="preserve">Neurology  </t>
  </si>
  <si>
    <t xml:space="preserve">neurosurgery</t>
  </si>
  <si>
    <t xml:space="preserve">Neurosurgery  </t>
  </si>
  <si>
    <t xml:space="preserve">obstetrics and gynaecology</t>
  </si>
  <si>
    <t xml:space="preserve">Obstetrics and Gynaecology</t>
  </si>
  <si>
    <t xml:space="preserve">occupational health</t>
  </si>
  <si>
    <t xml:space="preserve">Occupational Health </t>
  </si>
  <si>
    <t xml:space="preserve">oncology</t>
  </si>
  <si>
    <t xml:space="preserve">Oncology  </t>
  </si>
  <si>
    <t xml:space="preserve">ophthalmology</t>
  </si>
  <si>
    <t xml:space="preserve">Ophthalmology  </t>
  </si>
  <si>
    <t xml:space="preserve">Oral and Maxillofacial Surgery</t>
  </si>
  <si>
    <t xml:space="preserve">orthopaedics and traumatology</t>
  </si>
  <si>
    <t xml:space="preserve">Orthopaedics and Traumatology</t>
  </si>
  <si>
    <t xml:space="preserve">otorhinolaryngology</t>
  </si>
  <si>
    <t xml:space="preserve">Otolaryngology  </t>
  </si>
  <si>
    <t xml:space="preserve">paediatrics</t>
  </si>
  <si>
    <t xml:space="preserve">Paediatric Surgery </t>
  </si>
  <si>
    <t xml:space="preserve">pathology</t>
  </si>
  <si>
    <t xml:space="preserve">Paediatrics  </t>
  </si>
  <si>
    <t xml:space="preserve">phoniatrics</t>
  </si>
  <si>
    <t xml:space="preserve">Pathology  </t>
  </si>
  <si>
    <t xml:space="preserve">physiatrics</t>
  </si>
  <si>
    <t xml:space="preserve">Phoniatrics  </t>
  </si>
  <si>
    <t xml:space="preserve">plastic surgery</t>
  </si>
  <si>
    <t xml:space="preserve">Physical and Rehabilitation Medicine</t>
  </si>
  <si>
    <t xml:space="preserve">psychiatry</t>
  </si>
  <si>
    <t xml:space="preserve">Plastic Surgery </t>
  </si>
  <si>
    <t xml:space="preserve">public health</t>
  </si>
  <si>
    <t xml:space="preserve">Psychiatry  </t>
  </si>
  <si>
    <t xml:space="preserve">radiology</t>
  </si>
  <si>
    <t xml:space="preserve">Public Health </t>
  </si>
  <si>
    <t xml:space="preserve">respiratory medicine and allergology</t>
  </si>
  <si>
    <t xml:space="preserve">Radiology  </t>
  </si>
  <si>
    <t xml:space="preserve">rheumatology</t>
  </si>
  <si>
    <t xml:space="preserve">Respiratory Medicine and Allergology</t>
  </si>
  <si>
    <t xml:space="preserve">sports medicine</t>
  </si>
  <si>
    <t xml:space="preserve">Rheumatology  </t>
  </si>
  <si>
    <t xml:space="preserve">urology</t>
  </si>
  <si>
    <t xml:space="preserve">Sports Medicine </t>
  </si>
  <si>
    <t xml:space="preserve">vascular surgery</t>
  </si>
  <si>
    <t xml:space="preserve">Urology  </t>
  </si>
  <si>
    <t xml:space="preserve">midwife</t>
  </si>
  <si>
    <t xml:space="preserve">Vascular Surgery </t>
  </si>
  <si>
    <t xml:space="preserve">naprapath</t>
  </si>
  <si>
    <t xml:space="preserve">Addiction Medicine </t>
  </si>
  <si>
    <t xml:space="preserve">occupational therapist</t>
  </si>
  <si>
    <t xml:space="preserve">Adolescent Medicine </t>
  </si>
  <si>
    <t xml:space="preserve">optician</t>
  </si>
  <si>
    <t xml:space="preserve">Andrology  </t>
  </si>
  <si>
    <t xml:space="preserve">oral hygienist</t>
  </si>
  <si>
    <t xml:space="preserve">Cardiac Anaesthesia </t>
  </si>
  <si>
    <t xml:space="preserve">orthopaedic technician (orthotist - prosthetist)</t>
  </si>
  <si>
    <t xml:space="preserve">Child Anaesthesia and Intensive Care</t>
  </si>
  <si>
    <t xml:space="preserve">osteopath</t>
  </si>
  <si>
    <t xml:space="preserve">Child and School Health Care</t>
  </si>
  <si>
    <t xml:space="preserve">paramedic</t>
  </si>
  <si>
    <t xml:space="preserve">Child Psychotherapy </t>
  </si>
  <si>
    <t xml:space="preserve">pharmaceutical dispenser (Bachelor of Science in Pharmacy)</t>
  </si>
  <si>
    <t xml:space="preserve">Child Rheumatology </t>
  </si>
  <si>
    <t xml:space="preserve">pharmacist (Master of Science in Pharmacy)</t>
  </si>
  <si>
    <t xml:space="preserve">Diving Medicine and Hyperbaric Oxygen</t>
  </si>
  <si>
    <t xml:space="preserve">physician</t>
  </si>
  <si>
    <t xml:space="preserve">physiotherapist</t>
  </si>
  <si>
    <t xml:space="preserve">Eye Surgery </t>
  </si>
  <si>
    <t xml:space="preserve">podiatrist</t>
  </si>
  <si>
    <t xml:space="preserve">General Hospital Psychiatry</t>
  </si>
  <si>
    <t xml:space="preserve">Healthcare Information Technology</t>
  </si>
  <si>
    <t xml:space="preserve">psychologist</t>
  </si>
  <si>
    <t xml:space="preserve">Hospital Hygiene </t>
  </si>
  <si>
    <t xml:space="preserve">psychotherapist</t>
  </si>
  <si>
    <t xml:space="preserve">Insurance Medicine </t>
  </si>
  <si>
    <t xml:space="preserve">public health nurse</t>
  </si>
  <si>
    <t xml:space="preserve">Intensive Care Medicine</t>
  </si>
  <si>
    <t xml:space="preserve">radiographer</t>
  </si>
  <si>
    <t xml:space="preserve">International Health Care</t>
  </si>
  <si>
    <t xml:space="preserve">registered nurse</t>
  </si>
  <si>
    <t xml:space="preserve">Laboratory Haematology </t>
  </si>
  <si>
    <t xml:space="preserve">speech therapist</t>
  </si>
  <si>
    <t xml:space="preserve">Medical Aspects of Intellectual Disability</t>
  </si>
  <si>
    <t xml:space="preserve">trained masseur</t>
  </si>
  <si>
    <t xml:space="preserve">Medical Education </t>
  </si>
  <si>
    <t xml:space="preserve">Memory Diseases </t>
  </si>
  <si>
    <t xml:space="preserve">Military Medicine </t>
  </si>
  <si>
    <t xml:space="preserve">Musicians’ Medicine </t>
  </si>
  <si>
    <t xml:space="preserve">Neuroanaesthesiology (*) </t>
  </si>
  <si>
    <t xml:space="preserve">Obstetric Anaesthesiology </t>
  </si>
  <si>
    <t xml:space="preserve">Pain Management </t>
  </si>
  <si>
    <t xml:space="preserve">Palliative Medicine </t>
  </si>
  <si>
    <t xml:space="preserve">Pediatric Orthopaedics and Traumatology</t>
  </si>
  <si>
    <t xml:space="preserve">Pharmaceutical Medicine </t>
  </si>
  <si>
    <t xml:space="preserve">Prehospital Emergency Medicine</t>
  </si>
  <si>
    <t xml:space="preserve">Psychotherapy  </t>
  </si>
  <si>
    <t xml:space="preserve">Rehabilitation  </t>
  </si>
  <si>
    <t xml:space="preserve">Rheuma-Orthopaedics  </t>
  </si>
  <si>
    <t xml:space="preserve">Screening Mammography </t>
  </si>
  <si>
    <t xml:space="preserve">Sleep Medicine </t>
  </si>
  <si>
    <t xml:space="preserve">Traffic Medicine </t>
  </si>
  <si>
    <t xml:space="preserve">Training of Child Psychotherapy</t>
  </si>
  <si>
    <t xml:space="preserve">Training of Psychotherapy</t>
  </si>
  <si>
    <t xml:space="preserve">Travel Medicine </t>
  </si>
  <si>
    <t xml:space="preserve">Treatment of Diabetes</t>
  </si>
  <si>
    <t xml:space="preserve">Wound Management </t>
  </si>
  <si>
    <t xml:space="preserve">Professionals: https://www.oph.fi/en/services/regulated-professions-finland</t>
  </si>
  <si>
    <t xml:space="preserve">The healthcare system: https://www.eu-healthcare.fi/healthcare-in-finland/healthcare-system-in-finland/</t>
  </si>
  <si>
    <t xml:space="preserve">Database for individuals: https://julkiterhikki.valvira.fi/</t>
  </si>
  <si>
    <t xml:space="preserve">Demografia Medica: https://www.laakariliitto.fi/site/assets/files/5256/sll_taskutilasto_en_220620.pdf</t>
  </si>
  <si>
    <t xml:space="preserve">Médicos na Finlândia</t>
  </si>
  <si>
    <t xml:space="preserve">Enfermeiros na Finlândia</t>
  </si>
  <si>
    <t xml:space="preserve">Spécialité médecins: </t>
  </si>
  <si>
    <t xml:space="preserve">Medical Specialties</t>
  </si>
  <si>
    <t xml:space="preserve">Spécialité infirmiers</t>
  </si>
  <si>
    <t xml:space="preserve">Audioprothésistes </t>
  </si>
  <si>
    <t xml:space="preserve">Hearing Aid Practitioners </t>
  </si>
  <si>
    <t xml:space="preserve">Pathological anatomy and cytology</t>
  </si>
  <si>
    <t xml:space="preserve">Anatomie et cytologie pathologiques</t>
  </si>
  <si>
    <t xml:space="preserve">Pas de spécialisation</t>
  </si>
  <si>
    <t xml:space="preserve">Dentistes </t>
  </si>
  <si>
    <t xml:space="preserve">Dentists </t>
  </si>
  <si>
    <t xml:space="preserve">Anaesthesia and intensive care</t>
  </si>
  <si>
    <t xml:space="preserve">Anesthésie-réanimation</t>
  </si>
  <si>
    <t xml:space="preserve">D.E. puériculture</t>
  </si>
  <si>
    <t xml:space="preserve">Diététiciens </t>
  </si>
  <si>
    <t xml:space="preserve">Dieticians </t>
  </si>
  <si>
    <t xml:space="preserve">Medical biology</t>
  </si>
  <si>
    <t xml:space="preserve">Biologie médicale</t>
  </si>
  <si>
    <t xml:space="preserve">Autres spécialisations</t>
  </si>
  <si>
    <t xml:space="preserve">Ergothérapeutes </t>
  </si>
  <si>
    <t xml:space="preserve">Occupational therapists </t>
  </si>
  <si>
    <t xml:space="preserve">Cardiology and vascular diseases</t>
  </si>
  <si>
    <t xml:space="preserve">Cardiologie et maladies vasculaires</t>
  </si>
  <si>
    <t xml:space="preserve">Cadre sage-femme</t>
  </si>
  <si>
    <t xml:space="preserve">Infirmiers </t>
  </si>
  <si>
    <t xml:space="preserve">Nurses </t>
  </si>
  <si>
    <t xml:space="preserve">General surgery</t>
  </si>
  <si>
    <t xml:space="preserve">Chirurgie générale</t>
  </si>
  <si>
    <t xml:space="preserve">Infirmier anesthésiste</t>
  </si>
  <si>
    <t xml:space="preserve">Manipulateurs ERM </t>
  </si>
  <si>
    <t xml:space="preserve">MRA manipulators </t>
  </si>
  <si>
    <t xml:space="preserve">Maxillofacial surgery and stomatology</t>
  </si>
  <si>
    <t xml:space="preserve">Chirurgie maxillo-faciale et stomatologie</t>
  </si>
  <si>
    <t xml:space="preserve">Infirmier de bloc opératoire</t>
  </si>
  <si>
    <t xml:space="preserve">Masseurs-kinésithérapeutes </t>
  </si>
  <si>
    <t xml:space="preserve">Physiotherapists </t>
  </si>
  <si>
    <t xml:space="preserve">Orthopaedic surgery and traumatology</t>
  </si>
  <si>
    <t xml:space="preserve">Chirurgie orthopédique et traumatologie</t>
  </si>
  <si>
    <t xml:space="preserve">Infirmier cadre de santé publique</t>
  </si>
  <si>
    <t xml:space="preserve">Médecins </t>
  </si>
  <si>
    <t xml:space="preserve">Doctors </t>
  </si>
  <si>
    <t xml:space="preserve">Pediatric surgery</t>
  </si>
  <si>
    <t xml:space="preserve">Chirurgie infantile</t>
  </si>
  <si>
    <t xml:space="preserve">Cadre infirmier</t>
  </si>
  <si>
    <t xml:space="preserve">Opticiens-lunetiers </t>
  </si>
  <si>
    <t xml:space="preserve">Opticians </t>
  </si>
  <si>
    <t xml:space="preserve">Plastic, reconstructive and aesthetic surgery</t>
  </si>
  <si>
    <t xml:space="preserve">Chirurgie plastique reconstructrice et esthétique</t>
  </si>
  <si>
    <t xml:space="preserve">Cadre infirmier psychiatrique</t>
  </si>
  <si>
    <t xml:space="preserve">Orthophonistes </t>
  </si>
  <si>
    <t xml:space="preserve">Speech therapists </t>
  </si>
  <si>
    <t xml:space="preserve">Thoracic and cardiovascular surgery</t>
  </si>
  <si>
    <t xml:space="preserve">Chirurgie thoracique et cardio-vasculaire</t>
  </si>
  <si>
    <t xml:space="preserve">Infirmier anesthésiste autorisé (L477-1)</t>
  </si>
  <si>
    <t xml:space="preserve">Orthoptistes </t>
  </si>
  <si>
    <t xml:space="preserve">Orthoptists </t>
  </si>
  <si>
    <t xml:space="preserve">Urological surgery</t>
  </si>
  <si>
    <t xml:space="preserve">Chirurgie urologique</t>
  </si>
  <si>
    <t xml:space="preserve">Infirmier de bloc opératoire autorisé (L477-1)</t>
  </si>
  <si>
    <t xml:space="preserve">Pédicures-podologues </t>
  </si>
  <si>
    <t xml:space="preserve">Chiropodists </t>
  </si>
  <si>
    <t xml:space="preserve">Vascular surgery</t>
  </si>
  <si>
    <t xml:space="preserve">Chirurgie vasculaire</t>
  </si>
  <si>
    <t xml:space="preserve">Infirmière puéricultrice autorisée (L477-1)</t>
  </si>
  <si>
    <t xml:space="preserve">Pharmaciens </t>
  </si>
  <si>
    <t xml:space="preserve">Pharmacists </t>
  </si>
  <si>
    <t xml:space="preserve">Visceral and digestive surgery</t>
  </si>
  <si>
    <t xml:space="preserve">Chirurgie viscérale et digestive</t>
  </si>
  <si>
    <t xml:space="preserve">Cadre de santé</t>
  </si>
  <si>
    <t xml:space="preserve">Professionnels de l'appareillage </t>
  </si>
  <si>
    <t xml:space="preserve">Fitting professionals </t>
  </si>
  <si>
    <t xml:space="preserve">Dermatology and venereology</t>
  </si>
  <si>
    <t xml:space="preserve">Dermatologie et vénéréologie</t>
  </si>
  <si>
    <t xml:space="preserve">Psychologues </t>
  </si>
  <si>
    <t xml:space="preserve">Psychologists </t>
  </si>
  <si>
    <t xml:space="preserve">Endocrinology and metabolism</t>
  </si>
  <si>
    <t xml:space="preserve">Endocrinologie et métabolisme</t>
  </si>
  <si>
    <t xml:space="preserve">Psychomotriciens </t>
  </si>
  <si>
    <t xml:space="preserve">Psychomotricians </t>
  </si>
  <si>
    <t xml:space="preserve">Medical genetics</t>
  </si>
  <si>
    <t xml:space="preserve">Génétique médicale</t>
  </si>
  <si>
    <t xml:space="preserve">Sages-femmes </t>
  </si>
  <si>
    <t xml:space="preserve">Midwives </t>
  </si>
  <si>
    <t xml:space="preserve">Geriatrics</t>
  </si>
  <si>
    <t xml:space="preserve">Gériatrie</t>
  </si>
  <si>
    <t xml:space="preserve">Techniciens de laboratoire </t>
  </si>
  <si>
    <t xml:space="preserve">Laboratory technicians </t>
  </si>
  <si>
    <t xml:space="preserve">Medical gynaecology</t>
  </si>
  <si>
    <t xml:space="preserve">Gynécologie médicale</t>
  </si>
  <si>
    <t xml:space="preserve">Gynaecology and obstetrics</t>
  </si>
  <si>
    <t xml:space="preserve">Gynécologie-obstétrique</t>
  </si>
  <si>
    <t xml:space="preserve">https://drees.shinyapps.io/demographie-ps/</t>
  </si>
  <si>
    <t xml:space="preserve">Hematology</t>
  </si>
  <si>
    <t xml:space="preserve">Hématologie</t>
  </si>
  <si>
    <t xml:space="preserve">Gastroenterology and hepatology</t>
  </si>
  <si>
    <t xml:space="preserve">Gastro-entérologie et hépatologie</t>
  </si>
  <si>
    <t xml:space="preserve">Occupational medicine</t>
  </si>
  <si>
    <t xml:space="preserve">Médecine du travail</t>
  </si>
  <si>
    <t xml:space="preserve">Internal medicine</t>
  </si>
  <si>
    <t xml:space="preserve">Médecine interne</t>
  </si>
  <si>
    <t xml:space="preserve">Nuclear medicine</t>
  </si>
  <si>
    <t xml:space="preserve">Médecine nucléaire</t>
  </si>
  <si>
    <t xml:space="preserve">Physical medicine and rehabilitation</t>
  </si>
  <si>
    <t xml:space="preserve">Médecine physique et réadaptation</t>
  </si>
  <si>
    <t xml:space="preserve">Nephrology</t>
  </si>
  <si>
    <t xml:space="preserve">Néphrologie</t>
  </si>
  <si>
    <t xml:space="preserve">Neurosurgery</t>
  </si>
  <si>
    <t xml:space="preserve">Neurochirurgie</t>
  </si>
  <si>
    <t xml:space="preserve">Neurology</t>
  </si>
  <si>
    <t xml:space="preserve">Neurologie</t>
  </si>
  <si>
    <t xml:space="preserve">O.R.L and cervico-facial surgery</t>
  </si>
  <si>
    <t xml:space="preserve">O.R.L et chirurgie cervico-faciale</t>
  </si>
  <si>
    <t xml:space="preserve">Oncology medical option</t>
  </si>
  <si>
    <t xml:space="preserve">Oncologie option médicale</t>
  </si>
  <si>
    <t xml:space="preserve">Ophthalmology</t>
  </si>
  <si>
    <t xml:space="preserve">Ophtalmologie</t>
  </si>
  <si>
    <t xml:space="preserve">Pediatrics</t>
  </si>
  <si>
    <t xml:space="preserve">Pédiatrie</t>
  </si>
  <si>
    <t xml:space="preserve">Pneumology</t>
  </si>
  <si>
    <t xml:space="preserve">Pneumologie</t>
  </si>
  <si>
    <t xml:space="preserve">Psychiatry</t>
  </si>
  <si>
    <t xml:space="preserve">Psychiatrie</t>
  </si>
  <si>
    <t xml:space="preserve">Radiodiagnosis and medical imaging</t>
  </si>
  <si>
    <t xml:space="preserve">Radiodiagnostic et imagerie médicale</t>
  </si>
  <si>
    <t xml:space="preserve">Radiotherapy</t>
  </si>
  <si>
    <t xml:space="preserve">Radiothérapie</t>
  </si>
  <si>
    <t xml:space="preserve">Medical reanimation</t>
  </si>
  <si>
    <t xml:space="preserve">Réanimation médicale</t>
  </si>
  <si>
    <t xml:space="preserve">Medical research</t>
  </si>
  <si>
    <t xml:space="preserve">Recherche médicale</t>
  </si>
  <si>
    <t xml:space="preserve">Rheumatology</t>
  </si>
  <si>
    <t xml:space="preserve">Rhumatologie</t>
  </si>
  <si>
    <t xml:space="preserve">Public health and social medicine</t>
  </si>
  <si>
    <t xml:space="preserve">Santé publique et médecine sociale</t>
  </si>
  <si>
    <t xml:space="preserve">General medicine</t>
  </si>
  <si>
    <t xml:space="preserve">Médecine générale</t>
  </si>
  <si>
    <t xml:space="preserve">Radiodiagnostics and radiotherapy</t>
  </si>
  <si>
    <t xml:space="preserve">Radio-diagnostique et radiothérapie</t>
  </si>
  <si>
    <t xml:space="preserve">Oral surgery</t>
  </si>
  <si>
    <t xml:space="preserve">Chirurgie orale</t>
  </si>
  <si>
    <t xml:space="preserve">Allergology</t>
  </si>
  <si>
    <t xml:space="preserve">Allergologie</t>
  </si>
  <si>
    <t xml:space="preserve">Infectious and tropical diseases</t>
  </si>
  <si>
    <t xml:space="preserve">Maladies infectieuses et tropicales</t>
  </si>
  <si>
    <t xml:space="preserve">Emergency medicine</t>
  </si>
  <si>
    <t xml:space="preserve">Médecine d'urgence</t>
  </si>
  <si>
    <t xml:space="preserve">Forensic medicine and medical expertise</t>
  </si>
  <si>
    <t xml:space="preserve">Médecine légale et expertises médicales</t>
  </si>
  <si>
    <t xml:space="preserve">Vascular medicine</t>
  </si>
  <si>
    <t xml:space="preserve">Médecine vasculaire</t>
  </si>
  <si>
    <t xml:space="preserve">Endocrinology - diabetology - nutrition</t>
  </si>
  <si>
    <t xml:space="preserve">Endocrinologie - diabétologie - nutrition</t>
  </si>
  <si>
    <t xml:space="preserve">Bio-medicine - general biology option</t>
  </si>
  <si>
    <t xml:space="preserve">Bio médecine option biologie générale</t>
  </si>
  <si>
    <t xml:space="preserve">Bio-medicine option: Molecular medicine, general phar</t>
  </si>
  <si>
    <t xml:space="preserve">Bio médecine option médecine moléculaire géné phar</t>
  </si>
  <si>
    <t xml:space="preserve">Bio medicine option haematology and immunology</t>
  </si>
  <si>
    <t xml:space="preserve">Bio médecine option hémato et immunologie</t>
  </si>
  <si>
    <t xml:space="preserve">Bio medicine option infectious agents</t>
  </si>
  <si>
    <t xml:space="preserve">Bio médecine option agents infectieux</t>
  </si>
  <si>
    <t xml:space="preserve">Bio medicine option bio reproduction</t>
  </si>
  <si>
    <t xml:space="preserve">Bio médecine option bio reproduction</t>
  </si>
  <si>
    <t xml:space="preserve">Maxillofacial surgery</t>
  </si>
  <si>
    <t xml:space="preserve">Chirurgie maxillo-faciale</t>
  </si>
  <si>
    <t xml:space="preserve">Pediatric surgery, option pediatric visceral surgery</t>
  </si>
  <si>
    <t xml:space="preserve">Chirurgie pédiatrique, option chirurgie viscérale pédiatrique</t>
  </si>
  <si>
    <t xml:space="preserve">Paediatric surgery, paediatric orthopaedic option</t>
  </si>
  <si>
    <t xml:space="preserve">Chirurgie pédiatrique, option orthopédique pédiatrique</t>
  </si>
  <si>
    <t xml:space="preserve">Internal Medicine and Clinical Immunology</t>
  </si>
  <si>
    <t xml:space="preserve">Médecine interne et immunologie clinique</t>
  </si>
  <si>
    <t xml:space="preserve">The healthcare system: https://www.eu-healthcare.fi/health-services-abroad/country-specific-information-about-health-services/france/</t>
  </si>
  <si>
    <t xml:space="preserve">https://www.expatica.com/fr/healthcare/healthcare-basics/a-guide-to-the-french-healthcare-system-101166/</t>
  </si>
  <si>
    <t xml:space="preserve">https://www.cleiss.fr/particuliers/venir/soins/ue/systeme-de-sante-en-france_en.html</t>
  </si>
  <si>
    <t xml:space="preserve">https://fr.usembassy.gov/medical-professionals-and-hospitals-in-the-south-of-france/</t>
  </si>
  <si>
    <t xml:space="preserve">Manage shortages and maldistribution of skills: https://www.legifrance.gouv.fr/loda/id/JORFTEXT000022481406/</t>
  </si>
  <si>
    <t xml:space="preserve">https://solidarites-sante.gouv.fr/systeme-de-sante-et-medico-social/masante2022/lutter-contre-les-deserts-medicaux/</t>
  </si>
  <si>
    <t xml:space="preserve">https://healthworkforce.eu/specific-country-information-sheet-france/</t>
  </si>
  <si>
    <t xml:space="preserve">Professionals: https://www.vie-publique.fr/fiches/37855-categories-de-professionnels-de-sante-code-se-la-sante-publique</t>
  </si>
  <si>
    <t xml:space="preserve">https://drees.solidarites-sante.gouv.fr/sources-outils-et-enquetes/la-demographie-des-professionnels-de-sante</t>
  </si>
  <si>
    <t xml:space="preserve">Médicos na França</t>
  </si>
  <si>
    <t xml:space="preserve">Enfermeiros na França</t>
  </si>
  <si>
    <t xml:space="preserve">Supply 2013</t>
  </si>
  <si>
    <t xml:space="preserve">Physicians</t>
  </si>
  <si>
    <t xml:space="preserve">Nurses</t>
  </si>
  <si>
    <t xml:space="preserve">Multipliers</t>
  </si>
  <si>
    <t xml:space="preserve">All other</t>
  </si>
  <si>
    <t xml:space="preserve">Need 2013</t>
  </si>
  <si>
    <t xml:space="preserve">High Income</t>
  </si>
  <si>
    <t xml:space="preserve">Upper middle</t>
  </si>
  <si>
    <t xml:space="preserve">Lower middle</t>
  </si>
  <si>
    <t xml:space="preserve">Low </t>
  </si>
  <si>
    <t xml:space="preserve">World</t>
  </si>
  <si>
    <t xml:space="preserve">Forecast Supply 2030</t>
  </si>
  <si>
    <t xml:space="preserve">% +</t>
  </si>
  <si>
    <t xml:space="preserve">Forecast Need 2030</t>
  </si>
  <si>
    <t xml:space="preserve">Table 3</t>
  </si>
  <si>
    <t xml:space="preserve">https://apps.who.int/iris/bitstream/handle/10665/250330/9789241511407-eng.pdf?sequence=1&amp;isAllowed=y</t>
  </si>
  <si>
    <t xml:space="preserve">Table 2</t>
  </si>
  <si>
    <t xml:space="preserve">Illustrative, since many high income countries has SDG higher than 4.45 physicians per 1000 inhabitant</t>
  </si>
  <si>
    <t xml:space="preserve">Word Bank classification of countries:</t>
  </si>
  <si>
    <t xml:space="preserve">https://datahelpdesk.worldbank.org/knowledgebase/articles/906519</t>
  </si>
  <si>
    <t xml:space="preserve">The WHO establishes a proportion of 2.5 nurse for physician</t>
  </si>
  <si>
    <t xml:space="preserve">Information to the paper:</t>
  </si>
  <si>
    <t xml:space="preserve">SDG (2030)</t>
  </si>
  <si>
    <t xml:space="preserve">Nurses, midwives</t>
  </si>
  <si>
    <t xml:space="preserve">Community-based health workers</t>
  </si>
  <si>
    <t xml:space="preserve">Total per 1000 inhab</t>
  </si>
  <si>
    <t xml:space="preserve">Pop 2030</t>
  </si>
  <si>
    <t xml:space="preserve">CTScanner</t>
  </si>
  <si>
    <t xml:space="preserve">MRI units</t>
  </si>
  <si>
    <t xml:space="preserve">Mammography</t>
  </si>
  <si>
    <t xml:space="preserve">Radiatherapy</t>
  </si>
  <si>
    <t xml:space="preserve">p/k</t>
  </si>
  <si>
    <t xml:space="preserve">p/M</t>
  </si>
  <si>
    <t xml:space="preserve">Forecast Demand 2030</t>
  </si>
  <si>
    <t xml:space="preserve">https://www.gov.br/saude/pt-br/acesso-a-informacao/acoes-e-programas/per-sus/arquivos/censo-de-radioterapia.pdf</t>
  </si>
  <si>
    <t xml:space="preserve">Dentists</t>
  </si>
  <si>
    <t xml:space="preserve">Pharmacists</t>
  </si>
  <si>
    <t xml:space="preserve">Physiotherapist</t>
  </si>
  <si>
    <t xml:space="preserve">1 per 150,000</t>
  </si>
  <si>
    <t xml:space="preserve">1 per 10,000</t>
  </si>
  <si>
    <t xml:space="preserve">https://cdn.who.int/media/docs/default-source/ncds/governance/global-oral-health-strategy-feedback.pdf</t>
  </si>
  <si>
    <t xml:space="preserve">http://www.eajournals.org/wp-content/uploads/Effect-of-Human-Capital-Investment-on-Organizational-Performance-of-Pharmaceutical-Companies-in-Kenya.pdf</t>
  </si>
  <si>
    <t xml:space="preserve">Per 1000</t>
  </si>
  <si>
    <t xml:space="preserve">Param DEM</t>
  </si>
  <si>
    <t xml:space="preserve">Primary</t>
  </si>
  <si>
    <t xml:space="preserve">.</t>
  </si>
  <si>
    <t xml:space="preserve">Secondary</t>
  </si>
  <si>
    <t xml:space="preserve">Tertiary</t>
  </si>
  <si>
    <t xml:space="preserve">? = Find true value from demographics on year of cell yellow</t>
  </si>
  <si>
    <t xml:space="preserve">Check total</t>
  </si>
  <si>
    <t xml:space="preserve">br</t>
  </si>
  <si>
    <t xml:space="preserve">Requirement BC</t>
  </si>
  <si>
    <t xml:space="preserve">Demand</t>
  </si>
  <si>
    <t xml:space="preserve">https://www.laakariliitto.fi/en/</t>
  </si>
  <si>
    <t xml:space="preserve">https://data.oecd.org/healtheqt/computed-tomography-ct-scanners.htm</t>
  </si>
  <si>
    <t xml:space="preserve">fi</t>
  </si>
  <si>
    <t xml:space="preserve">https://www.sciencedirect.com/science/article/pii/S2772662222000443</t>
  </si>
  <si>
    <t xml:space="preserve">fr</t>
  </si>
  <si>
    <t xml:space="preserve">Physicians </t>
  </si>
  <si>
    <t xml:space="preserve">OtherCadres </t>
  </si>
  <si>
    <t xml:space="preserve">CommunityBased</t>
  </si>
  <si>
    <t xml:space="preserve">Beds </t>
  </si>
  <si>
    <t xml:space="preserve">https://www.statista.com/statistics/763755/number-employees-health-social-services-sector-brazil/</t>
  </si>
  <si>
    <t xml:space="preserve">:</t>
  </si>
  <si>
    <t xml:space="preserve">:=</t>
  </si>
  <si>
    <t xml:space="preserve">https://stats.oecd.org/index.aspx?queryid=60702#</t>
  </si>
  <si>
    <t xml:space="preserve">https://data.worldbank.org/indicator/SH.MED.NUMW.P3?locations=FI-BR-FR</t>
  </si>
  <si>
    <t xml:space="preserve">https://data.worldbank.org/indicator/SH.MED.PHYS.ZS?locations=FI-BR-FR</t>
  </si>
  <si>
    <t xml:space="preserve">https://www.fm.usp.br/fmusp/conteudo/DemografiaMedica2020_9DEZ.pdf</t>
  </si>
  <si>
    <t xml:space="preserve">;</t>
  </si>
  <si>
    <t xml:space="preserve">http://www.cofen.gov.br/enfermagem-em-numeros</t>
  </si>
  <si>
    <t xml:space="preserve">https://egestorab.saude.gov.br/paginas/acessoPublico/relatorios/relHistoricoCoberturaACS.xhtml</t>
  </si>
  <si>
    <t xml:space="preserve">https://eurocarers.org/country-profiles/finland/</t>
  </si>
  <si>
    <t xml:space="preserve">https://eurocarers.org/country-profiles/france/</t>
  </si>
  <si>
    <t xml:space="preserve">https://ec.europa.eu/eurostat/databrowser/view/hlth_rs_prsns/default/table?lang=en</t>
  </si>
  <si>
    <t xml:space="preserve">https://ec.europa.eu/eurostat/statistics-explained/index.php?title=Healthcare_personnel_statistics_-_nursing_and_caring_professionals#Healthcare_personnel_.E2.80.93_caring_personnel</t>
  </si>
  <si>
    <t xml:space="preserve">http://www.mtecbo.gov.br/cbosite/pages/pesquisas/BuscaPorCodigo.jsf</t>
  </si>
  <si>
    <t xml:space="preserve">https://aps.saude.gov.br/ape/esf/</t>
  </si>
  <si>
    <t xml:space="preserve">Param Qmin</t>
  </si>
  <si>
    <t xml:space="preserve">Last data (2022, per 1000 pop)</t>
  </si>
  <si>
    <t xml:space="preserve">Arithmetic</t>
  </si>
  <si>
    <t xml:space="preserve">per million</t>
  </si>
  <si>
    <t xml:space="preserve"> param DEM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</si>
</sst>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General"/>
    <numFmt numFmtId="166" formatCode="0.0"/>
    <numFmt numFmtId="167" formatCode="0"/>
    <numFmt numFmtId="168" formatCode="0.00"/>
    <numFmt numFmtId="169" formatCode="#,##0.00"/>
    <numFmt numFmtId="170" formatCode="#,##0"/>
    <numFmt numFmtId="171" formatCode="#,##0.0"/>
    <numFmt numFmtId="172" formatCode="0.000"/>
    <numFmt numFmtId="173" formatCode="0%"/>
    <numFmt numFmtId="174" formatCode="0.00%"/>
    <numFmt numFmtId="175" formatCode="#,##0.0000"/>
    <numFmt numFmtId="176" formatCode="#,##0.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6"/>
      <name val="Times New Roman"/>
      <family val="1"/>
      <charset val="1"/>
    </font>
    <font>
      <b val="true"/>
      <i val="true"/>
      <sz val="10"/>
      <name val="Arial"/>
      <family val="2"/>
      <charset val="1"/>
    </font>
    <font>
      <u val="singl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E8F2A1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odel-parameter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0-Best-HealthCare-Workforce-and-Equipmen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lha1"/>
      <sheetName val="Folha2"/>
      <sheetName val="cost"/>
      <sheetName val="beds"/>
    </sheetNames>
    <sheetDataSet>
      <sheetData sheetId="0"/>
      <sheetData sheetId="1"/>
      <sheetData sheetId="2"/>
      <sheetData sheetId="3">
        <row r="9">
          <cell r="E9">
            <v>2.45391588785047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0"/>
      <sheetName val="14.1"/>
    </sheetNames>
    <sheetDataSet>
      <sheetData sheetId="0">
        <row r="39">
          <cell r="I39">
            <v>4.066</v>
          </cell>
          <cell r="J39">
            <v>12.732</v>
          </cell>
          <cell r="K39">
            <v>6.265654</v>
          </cell>
          <cell r="L39">
            <v>9.302</v>
          </cell>
          <cell r="M39">
            <v>4.49</v>
          </cell>
          <cell r="N39">
            <v>26.56</v>
          </cell>
          <cell r="O39">
            <v>21.839</v>
          </cell>
          <cell r="P39">
            <v>18.69</v>
          </cell>
          <cell r="Q39">
            <v>10.5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ofen.gov.br/enfermagem-em-numeros" TargetMode="External"/><Relationship Id="rId2" Type="http://schemas.openxmlformats.org/officeDocument/2006/relationships/hyperlink" Target="http://www.cofen.gov.br/enfermagem-em-numeros" TargetMode="External"/><Relationship Id="rId3" Type="http://schemas.openxmlformats.org/officeDocument/2006/relationships/hyperlink" Target="https://website.cfo.org.br/estatisticas/quantidade-geral-de-entidades-e-profissionais-ativos/" TargetMode="External"/><Relationship Id="rId4" Type="http://schemas.openxmlformats.org/officeDocument/2006/relationships/hyperlink" Target="https://website.cfo.org.br/estatisticas/quantidade-geral-de-entidades-e-profissionais-ativos/" TargetMode="External"/><Relationship Id="rId5" Type="http://schemas.openxmlformats.org/officeDocument/2006/relationships/hyperlink" Target="https://doi.org/10.1590/2317-6431-2015-1665" TargetMode="External"/><Relationship Id="rId6" Type="http://schemas.openxmlformats.org/officeDocument/2006/relationships/hyperlink" Target="https://viacarreira.com/tecnico-em-radiologia/" TargetMode="External"/><Relationship Id="rId7" Type="http://schemas.openxmlformats.org/officeDocument/2006/relationships/hyperlink" Target="https://www.nhs.uk/conditions/homeopathy/" TargetMode="External"/><Relationship Id="rId8" Type="http://schemas.openxmlformats.org/officeDocument/2006/relationships/hyperlink" Target="https://www.hopkinsmedicine.org/health/wellness-and-prevention/acupuncture" TargetMode="External"/><Relationship Id="rId9" Type="http://schemas.openxmlformats.org/officeDocument/2006/relationships/hyperlink" Target="http://www.cfess.org.br/visualizar/menu/local/perguntas-frequentes" TargetMode="External"/><Relationship Id="rId10" Type="http://schemas.openxmlformats.org/officeDocument/2006/relationships/hyperlink" Target="https://www.guiadacarreira.com.br/profissao/mercado-trabalho-educacao-fisica" TargetMode="External"/><Relationship Id="rId11" Type="http://schemas.openxmlformats.org/officeDocument/2006/relationships/hyperlink" Target="https://www.cff.org.br/pagina.php?id=801&amp;titulo=Boletins" TargetMode="External"/><Relationship Id="rId12" Type="http://schemas.openxmlformats.org/officeDocument/2006/relationships/hyperlink" Target="https://doi.org/10.1590/1809-2950/17027025032018" TargetMode="External"/><Relationship Id="rId13" Type="http://schemas.openxmlformats.org/officeDocument/2006/relationships/hyperlink" Target="http://pesquisa.cfn.org.br/" TargetMode="External"/><Relationship Id="rId14" Type="http://schemas.openxmlformats.org/officeDocument/2006/relationships/hyperlink" Target="http://www2.cfp.org.br/infografico/quantos-somos/" TargetMode="External"/><Relationship Id="rId15" Type="http://schemas.openxmlformats.org/officeDocument/2006/relationships/hyperlink" Target="http://www.conselho.saude.gov.br/ultimas_noticias/2011/13_out_terapeutaocupacional.html" TargetMode="External"/><Relationship Id="rId16" Type="http://schemas.openxmlformats.org/officeDocument/2006/relationships/hyperlink" Target="http://www.cofen.gov.br/enfermagem-em-numeros" TargetMode="External"/><Relationship Id="rId17" Type="http://schemas.openxmlformats.org/officeDocument/2006/relationships/hyperlink" Target="http://www.cofen.gov.br/enfermagem-em-numeros" TargetMode="External"/><Relationship Id="rId18" Type="http://schemas.openxmlformats.org/officeDocument/2006/relationships/hyperlink" Target="https://doi.org/10.11606/s1518-8787.2021055003005" TargetMode="External"/><Relationship Id="rId19" Type="http://schemas.openxmlformats.org/officeDocument/2006/relationships/hyperlink" Target="https://website.cfo.org.br/estatisticas/quantidade-geral-de-entidades-e-profissionais-ativos/" TargetMode="External"/><Relationship Id="rId20" Type="http://schemas.openxmlformats.org/officeDocument/2006/relationships/hyperlink" Target="https://website.cfo.org.br/estatisticas/quantidade-geral-de-entidades-e-profissionais-ativos/" TargetMode="External"/><Relationship Id="rId21" Type="http://schemas.openxmlformats.org/officeDocument/2006/relationships/hyperlink" Target="https://doi.org/10.1590/2317-6431-2015-1665" TargetMode="External"/><Relationship Id="rId22" Type="http://schemas.openxmlformats.org/officeDocument/2006/relationships/hyperlink" Target="https://viacarreira.com/tecnico-em-radiologia/" TargetMode="External"/><Relationship Id="rId23" Type="http://schemas.openxmlformats.org/officeDocument/2006/relationships/hyperlink" Target="https://www.fm.usp.br/fmusp/conteudo/DemografiaMedica2020_9DEZ.pdf" TargetMode="External"/><Relationship Id="rId24" Type="http://schemas.openxmlformats.org/officeDocument/2006/relationships/hyperlink" Target="https://portal.cfm.org.br/noticias/explode-numero-de-medicos-no-brasil-mas-distorcoes-na-distribuicao-dos-profissionais-ainda-e-desafio-para-gestores/" TargetMode="External"/><Relationship Id="rId25" Type="http://schemas.openxmlformats.org/officeDocument/2006/relationships/hyperlink" Target="https://www.scin.scot.nhs.uk/wp-content/uploads/2017/08/PET-CT-Review-of-Indications-2016-Report-V2-1.pdf" TargetMode="External"/><Relationship Id="rId26" Type="http://schemas.openxmlformats.org/officeDocument/2006/relationships/hyperlink" Target="https://www.auntminnie.com/index.aspx?sec=ser&amp;sub=def&amp;pag=dis&amp;ItemID=96465" TargetMode="External"/><Relationship Id="rId27" Type="http://schemas.openxmlformats.org/officeDocument/2006/relationships/hyperlink" Target="https://www.google.com/url?sa=t&amp;rct=j&amp;q=&amp;esrc=s&amp;source=web&amp;cd=&amp;ved=2ahUKEwim2ta09oD6AhUOqYsKHV_UDrYQFnoECAYQAQ&amp;url=https%3A%2F%2Fapps.who.int%2Firis%2Frest%2Fbitstreams%2F62679%2Fretrieve&amp;usg=AOvVaw2mT-gnRV1sRg_anOo5KsBx" TargetMode="External"/><Relationship Id="rId28" Type="http://schemas.openxmlformats.org/officeDocument/2006/relationships/hyperlink" Target="http://cnes2.datasus.gov.br/Mod_Ind_Equipamento.asp?VEstado=00" TargetMode="External"/><Relationship Id="rId29" Type="http://schemas.openxmlformats.org/officeDocument/2006/relationships/hyperlink" Target="http://cnes2.datasus.gov.br/Mod_Ind_Tipo_Leito.asp?VEstado=00" TargetMode="External"/><Relationship Id="rId30" Type="http://schemas.openxmlformats.org/officeDocument/2006/relationships/hyperlink" Target="https://www.eu-healthcare.fi/health-services-abroad/country-specific-information-about-health-services/brazil/" TargetMode="External"/><Relationship Id="rId31" Type="http://schemas.openxmlformats.org/officeDocument/2006/relationships/hyperlink" Target="https://ec.europa.eu/eurostat/web/nuts/background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nes2.datasus.gov.br/Mod_Ind_Equipamento.asp?VEstado=00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julkiterhikki.valvira.fi/" TargetMode="External"/><Relationship Id="rId2" Type="http://schemas.openxmlformats.org/officeDocument/2006/relationships/hyperlink" Target="https://www.laakariliitto.fi/site/assets/files/5256/sll_taskutilasto_en_220620.pdf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eu-healthcare.fi/health-services-abroad/country-specific-information-about-health-services/france/" TargetMode="External"/><Relationship Id="rId2" Type="http://schemas.openxmlformats.org/officeDocument/2006/relationships/hyperlink" Target="https://www.legifrance.gouv.fr/loda/id/JORFTEXT000022481406/" TargetMode="External"/><Relationship Id="rId3" Type="http://schemas.openxmlformats.org/officeDocument/2006/relationships/hyperlink" Target="https://www.vie-publique.fr/fiches/37855-categories-de-professionnels-de-sante-code-se-la-sante-publiqu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3" min="3" style="0" width="79.05"/>
    <col collapsed="false" customWidth="true" hidden="false" outlineLevel="0" max="4" min="4" style="0" width="12.13"/>
    <col collapsed="false" customWidth="true" hidden="false" outlineLevel="0" max="5" min="5" style="0" width="76.18"/>
    <col collapsed="false" customWidth="true" hidden="false" outlineLevel="0" max="6" min="6" style="0" width="7.22"/>
    <col collapsed="false" customWidth="true" hidden="false" outlineLevel="0" max="11" min="7" style="0" width="8.06"/>
    <col collapsed="false" customWidth="true" hidden="false" outlineLevel="0" max="12" min="12" style="0" width="3.61"/>
    <col collapsed="false" customWidth="true" hidden="false" outlineLevel="0" max="14" min="14" style="0" width="14.21"/>
    <col collapsed="false" customWidth="true" hidden="false" outlineLevel="0" max="16" min="16" style="0" width="3.89"/>
    <col collapsed="false" customWidth="true" hidden="false" outlineLevel="0" max="18" min="18" style="0" width="14.21"/>
  </cols>
  <sheetData>
    <row r="2" customFormat="false" ht="12.8" hidden="false" customHeight="false" outlineLevel="0" collapsed="false">
      <c r="B2" s="0" t="s">
        <v>0</v>
      </c>
      <c r="F2" s="1" t="s">
        <v>1</v>
      </c>
      <c r="G2" s="1"/>
      <c r="H2" s="1"/>
      <c r="I2" s="2" t="s">
        <v>2</v>
      </c>
      <c r="J2" s="2"/>
      <c r="K2" s="2"/>
      <c r="M2" s="2" t="s">
        <v>3</v>
      </c>
      <c r="N2" s="2"/>
      <c r="O2" s="2"/>
      <c r="Q2" s="2" t="s">
        <v>4</v>
      </c>
      <c r="R2" s="2"/>
      <c r="S2" s="2"/>
    </row>
    <row r="3" customFormat="false" ht="12.8" hidden="false" customHeight="false" outlineLevel="0" collapsed="false">
      <c r="B3" s="3" t="s">
        <v>5</v>
      </c>
      <c r="C3" s="3"/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/>
      <c r="M3" s="4" t="s">
        <v>11</v>
      </c>
      <c r="N3" s="4" t="s">
        <v>12</v>
      </c>
      <c r="O3" s="4" t="s">
        <v>13</v>
      </c>
      <c r="P3" s="4"/>
      <c r="Q3" s="4" t="s">
        <v>11</v>
      </c>
      <c r="R3" s="4" t="s">
        <v>12</v>
      </c>
      <c r="S3" s="4" t="s">
        <v>13</v>
      </c>
    </row>
    <row r="4" customFormat="false" ht="12.8" hidden="false" customHeight="false" outlineLevel="0" collapsed="false">
      <c r="B4" s="5" t="n">
        <v>1.1</v>
      </c>
      <c r="C4" s="3" t="s">
        <v>14</v>
      </c>
      <c r="D4" s="4" t="n">
        <f aca="false">B4</f>
        <v>1.1</v>
      </c>
      <c r="E4" s="6" t="str">
        <f aca="false">VLOOKUP(D4,$B$4:$C$97,2,0)</f>
        <v>Generalist medical practitioners (Médico generalista + Médico da família + preventiva social)</v>
      </c>
      <c r="F4" s="7" t="n">
        <f aca="false">VLOOKUP(D4,'BR-Demografia-Medica'!$C$2:$E$40,3,0)</f>
        <v>27.63</v>
      </c>
      <c r="G4" s="7"/>
      <c r="H4" s="7"/>
      <c r="I4" s="4" t="n">
        <v>50</v>
      </c>
      <c r="J4" s="4" t="n">
        <v>14.3</v>
      </c>
      <c r="K4" s="4" t="n">
        <v>10.7</v>
      </c>
      <c r="L4" s="4"/>
      <c r="M4" s="4"/>
      <c r="N4" s="4"/>
      <c r="O4" s="4"/>
      <c r="P4" s="4"/>
      <c r="Q4" s="4"/>
      <c r="R4" s="4"/>
      <c r="S4" s="4"/>
    </row>
    <row r="5" customFormat="false" ht="12.8" hidden="false" customHeight="false" outlineLevel="0" collapsed="false">
      <c r="B5" s="5" t="n">
        <v>2.1</v>
      </c>
      <c r="C5" s="8" t="s">
        <v>15</v>
      </c>
      <c r="D5" s="4" t="n">
        <f aca="false">B5</f>
        <v>2.1</v>
      </c>
      <c r="E5" s="6" t="str">
        <f aca="false">VLOOKUP(D5,$B$4:$C$97,2,0)</f>
        <v>Nurses (Enfermeiro) (fonte)</v>
      </c>
      <c r="F5" s="9" t="n">
        <f aca="false">(670461/200000000)*100000</f>
        <v>335.2305</v>
      </c>
      <c r="G5" s="9"/>
      <c r="H5" s="9"/>
      <c r="I5" s="4" t="n">
        <v>50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8" hidden="false" customHeight="false" outlineLevel="0" collapsed="false">
      <c r="B6" s="3" t="n">
        <v>3.1</v>
      </c>
      <c r="C6" s="8" t="s">
        <v>16</v>
      </c>
      <c r="D6" s="4" t="n">
        <f aca="false">B6</f>
        <v>3.1</v>
      </c>
      <c r="E6" s="6" t="str">
        <f aca="false">VLOOKUP(D6,$B$4:$C$97,2,0)</f>
        <v>Nurse technologists (técnico / auxiliar de enfermagem) (fonte)</v>
      </c>
      <c r="F6" s="9" t="n">
        <f aca="false">((16060831+447420)/200000000)*100000</f>
        <v>8254.1255</v>
      </c>
      <c r="G6" s="9"/>
      <c r="H6" s="9"/>
      <c r="I6" s="4" t="n">
        <v>50</v>
      </c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12.8" hidden="false" customHeight="false" outlineLevel="0" collapsed="false">
      <c r="B7" s="3" t="n">
        <v>4.1</v>
      </c>
      <c r="C7" s="3" t="s">
        <v>17</v>
      </c>
      <c r="D7" s="4" t="n">
        <f aca="false">B7</f>
        <v>4.1</v>
      </c>
      <c r="E7" s="6" t="str">
        <f aca="false">VLOOKUP(D7,$B$4:$C$97,2,0)</f>
        <v>Community health agent (Agente Comunitários da Saúde) * (fonte)  (fonte-doi)</v>
      </c>
      <c r="F7" s="9" t="n">
        <f aca="false">(268879/200000000)*100000</f>
        <v>134.4395</v>
      </c>
      <c r="G7" s="9"/>
      <c r="H7" s="9"/>
      <c r="I7" s="4" t="n">
        <v>50</v>
      </c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2.8" hidden="false" customHeight="false" outlineLevel="0" collapsed="false">
      <c r="B8" s="5" t="n">
        <v>5.1</v>
      </c>
      <c r="C8" s="8" t="s">
        <v>18</v>
      </c>
      <c r="D8" s="4" t="n">
        <f aca="false">B8</f>
        <v>5.1</v>
      </c>
      <c r="E8" s="6" t="str">
        <f aca="false">VLOOKUP(D8,$B$4:$C$97,2,0)</f>
        <v>Dentist (Dentista) (fonte)</v>
      </c>
      <c r="F8" s="9" t="n">
        <f aca="false">(380681/200000000)*100000</f>
        <v>190.3405</v>
      </c>
      <c r="G8" s="9"/>
      <c r="H8" s="9"/>
      <c r="I8" s="4" t="n">
        <v>50</v>
      </c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2.8" hidden="false" customHeight="false" outlineLevel="0" collapsed="false">
      <c r="B9" s="3" t="n">
        <v>6.1</v>
      </c>
      <c r="C9" s="8" t="s">
        <v>19</v>
      </c>
      <c r="D9" s="4" t="n">
        <f aca="false">B9</f>
        <v>6.1</v>
      </c>
      <c r="E9" s="6" t="str">
        <f aca="false">VLOOKUP(D9,$B$4:$C$97,2,0)</f>
        <v>Dental technician (Técnico em saúde bucal) (fonte)</v>
      </c>
      <c r="F9" s="9" t="n">
        <f aca="false">((24332+39085+162786+6988)/200000000)*100000</f>
        <v>116.5955</v>
      </c>
      <c r="G9" s="9"/>
      <c r="H9" s="9"/>
      <c r="I9" s="4" t="n">
        <v>50</v>
      </c>
      <c r="J9" s="4"/>
      <c r="K9" s="4"/>
      <c r="L9" s="4"/>
      <c r="M9" s="4"/>
      <c r="N9" s="4"/>
      <c r="O9" s="4"/>
      <c r="P9" s="4"/>
      <c r="Q9" s="4"/>
      <c r="R9" s="4"/>
      <c r="S9" s="4"/>
    </row>
    <row r="10" customFormat="false" ht="12.8" hidden="false" customHeight="false" outlineLevel="0" collapsed="false">
      <c r="B10" s="5" t="n">
        <v>7.1</v>
      </c>
      <c r="C10" s="3" t="s">
        <v>20</v>
      </c>
      <c r="D10" s="4" t="n">
        <f aca="false">B10</f>
        <v>7.1</v>
      </c>
      <c r="E10" s="6" t="str">
        <f aca="false">VLOOKUP(D10,$B$4:$C$97,2,0)</f>
        <v>Gynaecologists / Obstetricians  (Ginecologista / obstetra)</v>
      </c>
      <c r="F10" s="7" t="n">
        <f aca="false">VLOOKUP(D10,'BR-Demografia-Medica'!$C$2:$E$40,3,0)</f>
        <v>15.85</v>
      </c>
      <c r="G10" s="7"/>
      <c r="H10" s="7"/>
      <c r="I10" s="4"/>
      <c r="J10" s="4" t="n">
        <v>11.2</v>
      </c>
      <c r="K10" s="4" t="n">
        <v>13.8</v>
      </c>
      <c r="L10" s="4"/>
      <c r="M10" s="4"/>
      <c r="N10" s="4"/>
      <c r="O10" s="4"/>
      <c r="P10" s="4"/>
      <c r="Q10" s="4"/>
      <c r="R10" s="4"/>
      <c r="S10" s="4"/>
    </row>
    <row r="11" customFormat="false" ht="12.8" hidden="false" customHeight="false" outlineLevel="0" collapsed="false">
      <c r="B11" s="5" t="n">
        <v>8.1</v>
      </c>
      <c r="C11" s="3" t="s">
        <v>21</v>
      </c>
      <c r="D11" s="4" t="n">
        <f aca="false">B11</f>
        <v>8.1</v>
      </c>
      <c r="E11" s="6" t="str">
        <f aca="false">VLOOKUP(D11,$B$4:$C$97,2,0)</f>
        <v>Paediatricians (Pediatra)</v>
      </c>
      <c r="F11" s="7" t="n">
        <f aca="false">VLOOKUP(D11,'BR-Demografia-Medica'!$C$2:$E$40,3,0)</f>
        <v>20.79</v>
      </c>
      <c r="G11" s="7"/>
      <c r="H11" s="7"/>
      <c r="I11" s="4"/>
      <c r="J11" s="4" t="n">
        <v>13.8</v>
      </c>
      <c r="K11" s="4" t="n">
        <v>11.2</v>
      </c>
      <c r="L11" s="4"/>
      <c r="M11" s="4"/>
      <c r="N11" s="4"/>
      <c r="O11" s="4"/>
      <c r="P11" s="4"/>
      <c r="Q11" s="4"/>
      <c r="R11" s="4"/>
      <c r="S11" s="4"/>
    </row>
    <row r="12" customFormat="false" ht="12.8" hidden="false" customHeight="false" outlineLevel="0" collapsed="false">
      <c r="B12" s="5" t="n">
        <v>9.1</v>
      </c>
      <c r="C12" s="3" t="s">
        <v>22</v>
      </c>
      <c r="D12" s="4" t="n">
        <f aca="false">B12</f>
        <v>9.1</v>
      </c>
      <c r="E12" s="6" t="str">
        <f aca="false">VLOOKUP(D12,$B$4:$C$97,2,0)</f>
        <v>Psychiatrists (Psiquiatra)</v>
      </c>
      <c r="F12" s="7" t="n">
        <f aca="false">VLOOKUP(D12,'BR-Demografia-Medica'!$C$2:$E$40,3,0)</f>
        <v>5.7</v>
      </c>
      <c r="G12" s="7"/>
      <c r="H12" s="7"/>
      <c r="I12" s="4"/>
      <c r="J12" s="4" t="n">
        <v>3.8</v>
      </c>
      <c r="K12" s="4" t="n">
        <v>2</v>
      </c>
      <c r="L12" s="4"/>
      <c r="M12" s="4"/>
      <c r="N12" s="4"/>
      <c r="O12" s="4"/>
      <c r="P12" s="4"/>
      <c r="Q12" s="4"/>
      <c r="R12" s="4"/>
      <c r="S12" s="4"/>
    </row>
    <row r="13" customFormat="false" ht="12.8" hidden="false" customHeight="false" outlineLevel="0" collapsed="false">
      <c r="B13" s="5" t="n">
        <v>10.1</v>
      </c>
      <c r="C13" s="3" t="s">
        <v>23</v>
      </c>
      <c r="D13" s="4" t="n">
        <f aca="false">B13</f>
        <v>10.1</v>
      </c>
      <c r="E13" s="6" t="str">
        <f aca="false">VLOOKUP(D13,$B$4:$C$97,2,0)</f>
        <v>Geriatrician (Geriatra)</v>
      </c>
      <c r="F13" s="7" t="n">
        <f aca="false">VLOOKUP(D13,'BR-Demografia-Medica'!$C$2:$E$40,3,0)</f>
        <v>1.02</v>
      </c>
      <c r="G13" s="7"/>
      <c r="H13" s="7"/>
      <c r="I13" s="4"/>
      <c r="J13" s="4"/>
      <c r="K13" s="4" t="n">
        <v>1</v>
      </c>
      <c r="L13" s="4"/>
      <c r="M13" s="4"/>
      <c r="N13" s="4"/>
      <c r="O13" s="4"/>
      <c r="P13" s="4"/>
      <c r="Q13" s="4"/>
      <c r="R13" s="4"/>
      <c r="S13" s="4"/>
    </row>
    <row r="14" customFormat="false" ht="12.8" hidden="false" customHeight="false" outlineLevel="0" collapsed="false">
      <c r="B14" s="5" t="n">
        <v>11.1</v>
      </c>
      <c r="C14" s="3" t="s">
        <v>24</v>
      </c>
      <c r="D14" s="4" t="n">
        <f aca="false">B14</f>
        <v>11.1</v>
      </c>
      <c r="E14" s="6" t="str">
        <f aca="false">VLOOKUP(D14,$B$4:$C$97,2,0)</f>
        <v>Labor physician (Médico do trabalho + tráfego + esporte) *</v>
      </c>
      <c r="F14" s="7" t="n">
        <f aca="false">VLOOKUP(D14,'BR-Demografia-Medica'!$C$2:$E$40,3,0)</f>
        <v>13.22</v>
      </c>
      <c r="G14" s="7"/>
      <c r="H14" s="7"/>
      <c r="I14" s="4"/>
      <c r="J14" s="4"/>
      <c r="K14" s="4" t="n">
        <v>1</v>
      </c>
      <c r="L14" s="4"/>
      <c r="M14" s="4"/>
      <c r="N14" s="4"/>
      <c r="O14" s="4"/>
      <c r="P14" s="4"/>
      <c r="Q14" s="4"/>
      <c r="R14" s="4"/>
      <c r="S14" s="4"/>
    </row>
    <row r="15" customFormat="false" ht="12.8" hidden="false" customHeight="false" outlineLevel="0" collapsed="false">
      <c r="B15" s="5" t="n">
        <v>13.1</v>
      </c>
      <c r="C15" s="3" t="s">
        <v>25</v>
      </c>
      <c r="D15" s="4" t="n">
        <f aca="false">B15</f>
        <v>13.1</v>
      </c>
      <c r="E15" s="6" t="str">
        <f aca="false">VLOOKUP(D15,$B$4:$C$97,2,0)</f>
        <v>Homeopathic Doctor (Médico Homeopata) **</v>
      </c>
      <c r="F15" s="7" t="n">
        <f aca="false">VLOOKUP(D15,'BR-Demografia-Medica'!$C$2:$E$40,3,0)</f>
        <v>1.3</v>
      </c>
      <c r="G15" s="7"/>
      <c r="H15" s="7"/>
      <c r="I15" s="4"/>
      <c r="J15" s="4"/>
      <c r="K15" s="4" t="n">
        <v>1</v>
      </c>
      <c r="L15" s="4"/>
      <c r="M15" s="4"/>
      <c r="N15" s="4"/>
      <c r="O15" s="4"/>
      <c r="P15" s="4"/>
      <c r="Q15" s="4"/>
      <c r="R15" s="4"/>
      <c r="S15" s="4"/>
    </row>
    <row r="16" customFormat="false" ht="12.8" hidden="false" customHeight="false" outlineLevel="0" collapsed="false">
      <c r="B16" s="5" t="n">
        <v>14.1</v>
      </c>
      <c r="C16" s="3" t="s">
        <v>26</v>
      </c>
      <c r="D16" s="4" t="n">
        <f aca="false">B16</f>
        <v>14.1</v>
      </c>
      <c r="E16" s="6" t="str">
        <f aca="false">VLOOKUP(D16,$B$4:$C$97,2,0)</f>
        <v>Acupuncturist (Médico Acupunturista) ***</v>
      </c>
      <c r="F16" s="7" t="n">
        <f aca="false">VLOOKUP(D16,'BR-Demografia-Medica'!$C$2:$E$40,3,0)</f>
        <v>1.81</v>
      </c>
      <c r="G16" s="7"/>
      <c r="H16" s="7"/>
      <c r="I16" s="4"/>
      <c r="J16" s="4"/>
      <c r="K16" s="4" t="n">
        <v>1</v>
      </c>
      <c r="L16" s="4"/>
      <c r="M16" s="4"/>
      <c r="N16" s="4"/>
      <c r="O16" s="4"/>
      <c r="P16" s="4"/>
      <c r="Q16" s="4"/>
      <c r="R16" s="4"/>
      <c r="S16" s="4"/>
    </row>
    <row r="17" customFormat="false" ht="12.8" hidden="false" customHeight="false" outlineLevel="0" collapsed="false">
      <c r="B17" s="3" t="n">
        <v>15.1</v>
      </c>
      <c r="C17" s="3" t="s">
        <v>27</v>
      </c>
      <c r="D17" s="4" t="n">
        <f aca="false">B17</f>
        <v>15.1</v>
      </c>
      <c r="E17" s="6" t="str">
        <f aca="false">VLOOKUP(D17,$B$4:$C$97,2,0)</f>
        <v>Social worker (Assistente Social)</v>
      </c>
      <c r="F17" s="9" t="n">
        <v>100</v>
      </c>
      <c r="G17" s="9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customFormat="false" ht="12.8" hidden="false" customHeight="false" outlineLevel="0" collapsed="false">
      <c r="B18" s="3" t="n">
        <v>16.1</v>
      </c>
      <c r="C18" s="3" t="s">
        <v>28</v>
      </c>
      <c r="D18" s="4" t="n">
        <f aca="false">B18</f>
        <v>16.1</v>
      </c>
      <c r="E18" s="6" t="str">
        <f aca="false">VLOOKUP(D18,$B$4:$C$97,2,0)</f>
        <v>Physical educator (Educador Físico)</v>
      </c>
      <c r="F18" s="9" t="n">
        <f aca="false">(160000/200000000)*100000</f>
        <v>80</v>
      </c>
      <c r="G18" s="9"/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customFormat="false" ht="12.8" hidden="false" customHeight="false" outlineLevel="0" collapsed="false">
      <c r="B19" s="5" t="n">
        <v>17.1</v>
      </c>
      <c r="C19" s="3" t="s">
        <v>29</v>
      </c>
      <c r="D19" s="4" t="n">
        <f aca="false">B19</f>
        <v>17.1</v>
      </c>
      <c r="E19" s="6" t="str">
        <f aca="false">VLOOKUP(D19,$B$4:$C$97,2,0)</f>
        <v>Pharmacists (Farmacêutico)</v>
      </c>
      <c r="F19" s="9" t="n">
        <f aca="false">(234000/200000000)*100000</f>
        <v>117</v>
      </c>
      <c r="G19" s="9"/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customFormat="false" ht="12.8" hidden="false" customHeight="false" outlineLevel="0" collapsed="false">
      <c r="B20" s="5" t="n">
        <v>18.1</v>
      </c>
      <c r="C20" s="3" t="s">
        <v>30</v>
      </c>
      <c r="D20" s="4" t="n">
        <f aca="false">B20</f>
        <v>18.1</v>
      </c>
      <c r="E20" s="6" t="str">
        <f aca="false">VLOOKUP(D20,$B$4:$C$97,2,0)</f>
        <v>Physiotherapists (Fisioterapeuta)</v>
      </c>
      <c r="F20" s="9" t="n">
        <f aca="false">(206000/200000000)*100000</f>
        <v>103</v>
      </c>
      <c r="G20" s="9"/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customFormat="false" ht="12.8" hidden="false" customHeight="false" outlineLevel="0" collapsed="false">
      <c r="B21" s="5" t="n">
        <v>19.1</v>
      </c>
      <c r="C21" s="8" t="s">
        <v>31</v>
      </c>
      <c r="D21" s="4" t="n">
        <f aca="false">B21</f>
        <v>19.1</v>
      </c>
      <c r="E21" s="6" t="str">
        <f aca="false">VLOOKUP(D21,$B$4:$C$97,2,0)</f>
        <v>Speech therapist and Audiologist (Fonoaudiologista) (Fonte)</v>
      </c>
      <c r="F21" s="9" t="n">
        <f aca="false">(40000/200000000)*100000</f>
        <v>20</v>
      </c>
      <c r="G21" s="9"/>
      <c r="H21" s="9"/>
      <c r="I21" s="4" t="n">
        <v>10</v>
      </c>
      <c r="J21" s="4" t="n">
        <v>2</v>
      </c>
      <c r="K21" s="4" t="n">
        <v>1</v>
      </c>
      <c r="L21" s="4"/>
      <c r="M21" s="4"/>
      <c r="N21" s="4"/>
      <c r="O21" s="4"/>
      <c r="P21" s="4"/>
      <c r="Q21" s="4"/>
      <c r="R21" s="4"/>
      <c r="S21" s="4"/>
    </row>
    <row r="22" customFormat="false" ht="12.8" hidden="false" customHeight="false" outlineLevel="0" collapsed="false">
      <c r="B22" s="5" t="n">
        <v>20.1</v>
      </c>
      <c r="C22" s="3" t="s">
        <v>32</v>
      </c>
      <c r="D22" s="4" t="n">
        <f aca="false">B22</f>
        <v>20.1</v>
      </c>
      <c r="E22" s="6" t="str">
        <f aca="false">VLOOKUP(D22,$B$4:$C$97,2,0)</f>
        <v>Nutritionist (Nutricionista + Nutrólogo)</v>
      </c>
      <c r="F22" s="9" t="n">
        <f aca="false">(158000/200000000)*100000 + 3</f>
        <v>82</v>
      </c>
      <c r="G22" s="9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customFormat="false" ht="12.8" hidden="false" customHeight="false" outlineLevel="0" collapsed="false">
      <c r="B23" s="5" t="n">
        <v>21.1</v>
      </c>
      <c r="C23" s="3" t="s">
        <v>33</v>
      </c>
      <c r="D23" s="4" t="n">
        <f aca="false">B23</f>
        <v>21.1</v>
      </c>
      <c r="E23" s="6" t="str">
        <f aca="false">VLOOKUP(D23,$B$4:$C$97,2,0)</f>
        <v>Psycologist (Psicólogo)</v>
      </c>
      <c r="F23" s="9" t="n">
        <f aca="false">(428000/200000000)*100000</f>
        <v>214</v>
      </c>
      <c r="G23" s="9"/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customFormat="false" ht="12.8" hidden="false" customHeight="false" outlineLevel="0" collapsed="false">
      <c r="B24" s="3" t="n">
        <v>22.1</v>
      </c>
      <c r="C24" s="3" t="s">
        <v>34</v>
      </c>
      <c r="D24" s="4" t="n">
        <f aca="false">B24</f>
        <v>22.1</v>
      </c>
      <c r="E24" s="6" t="str">
        <f aca="false">VLOOKUP(D24,$B$4:$C$97,2,0)</f>
        <v>Occupational Therapist (Terapeuta Ocupacional)</v>
      </c>
      <c r="F24" s="9" t="n">
        <f aca="false">(17000/200000000)*100000</f>
        <v>8.5</v>
      </c>
      <c r="G24" s="9"/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customFormat="false" ht="12.8" hidden="false" customHeight="false" outlineLevel="0" collapsed="false">
      <c r="D25" s="4" t="n">
        <f aca="false">B39</f>
        <v>23.2</v>
      </c>
      <c r="E25" s="6" t="str">
        <f aca="false">VLOOKUP(D25,$B$4:$C$97,2,0)</f>
        <v>General surgeon (Cirurgião geral)</v>
      </c>
      <c r="F25" s="7" t="n">
        <f aca="false">VLOOKUP(D25,'BR-Demografia-Medica'!$C$2:$E$40,3,0)</f>
        <v>18.36</v>
      </c>
      <c r="G25" s="7"/>
      <c r="H25" s="7"/>
      <c r="I25" s="4"/>
      <c r="J25" s="4" t="n">
        <v>11.5</v>
      </c>
      <c r="K25" s="4" t="n">
        <v>4.5</v>
      </c>
      <c r="L25" s="4"/>
      <c r="M25" s="4"/>
      <c r="N25" s="4"/>
      <c r="O25" s="4"/>
      <c r="P25" s="4"/>
      <c r="Q25" s="4"/>
      <c r="R25" s="4"/>
      <c r="S25" s="4"/>
    </row>
    <row r="26" customFormat="false" ht="12.8" hidden="false" customHeight="false" outlineLevel="0" collapsed="false">
      <c r="D26" s="4" t="n">
        <f aca="false">B40</f>
        <v>24.2</v>
      </c>
      <c r="E26" s="6" t="str">
        <f aca="false">VLOOKUP(D26,$B$4:$C$97,2,0)</f>
        <v>Cardiologist (Cardiologista)</v>
      </c>
      <c r="F26" s="7" t="n">
        <f aca="false">VLOOKUP(D26,'BR-Demografia-Medica'!$C$2:$E$40,3,0)</f>
        <v>8.47</v>
      </c>
      <c r="G26" s="7"/>
      <c r="H26" s="7"/>
      <c r="I26" s="4"/>
      <c r="J26" s="4" t="n">
        <v>3.4</v>
      </c>
      <c r="K26" s="4" t="n">
        <v>3.1</v>
      </c>
      <c r="L26" s="4"/>
      <c r="M26" s="4"/>
      <c r="N26" s="4"/>
      <c r="O26" s="4"/>
      <c r="P26" s="4"/>
      <c r="Q26" s="4"/>
      <c r="R26" s="4"/>
      <c r="S26" s="4"/>
    </row>
    <row r="27" customFormat="false" ht="12.8" hidden="false" customHeight="false" outlineLevel="0" collapsed="false">
      <c r="B27" s="3" t="s">
        <v>35</v>
      </c>
      <c r="C27" s="3"/>
      <c r="D27" s="4" t="n">
        <f aca="false">B41</f>
        <v>25.2</v>
      </c>
      <c r="E27" s="6" t="str">
        <f aca="false">VLOOKUP(D27,$B$4:$C$97,2,0)</f>
        <v>Endocrinologist (Endocrinologista)</v>
      </c>
      <c r="F27" s="7" t="n">
        <f aca="false">VLOOKUP(D27,'BR-Demografia-Medica'!$C$2:$E$40,3,0)</f>
        <v>2.8</v>
      </c>
      <c r="G27" s="7"/>
      <c r="H27" s="7"/>
      <c r="I27" s="4"/>
      <c r="J27" s="4" t="n">
        <v>1.1</v>
      </c>
      <c r="K27" s="4" t="n">
        <v>0.4</v>
      </c>
      <c r="L27" s="4"/>
      <c r="M27" s="4"/>
      <c r="N27" s="4"/>
      <c r="O27" s="4"/>
      <c r="P27" s="4"/>
      <c r="Q27" s="4"/>
      <c r="R27" s="4"/>
      <c r="S27" s="4"/>
    </row>
    <row r="28" customFormat="false" ht="12.8" hidden="false" customHeight="false" outlineLevel="0" collapsed="false">
      <c r="B28" s="5" t="n">
        <v>1.1</v>
      </c>
      <c r="C28" s="3" t="str">
        <f aca="false">VLOOKUP(B28,$B$4:$C$25,2,0)</f>
        <v>Generalist medical practitioners (Médico generalista + Médico da família + preventiva social)</v>
      </c>
      <c r="D28" s="4" t="n">
        <f aca="false">B42</f>
        <v>26.2</v>
      </c>
      <c r="E28" s="6" t="str">
        <f aca="false">VLOOKUP(D28,$B$4:$C$97,2,0)</f>
        <v>Nephrologist (Nefrologista)</v>
      </c>
      <c r="F28" s="7" t="n">
        <f aca="false">VLOOKUP(D28,'BR-Demografia-Medica'!$C$2:$E$40,3,0)</f>
        <v>2.33</v>
      </c>
      <c r="G28" s="7"/>
      <c r="H28" s="7"/>
      <c r="I28" s="4"/>
      <c r="J28" s="4" t="n">
        <v>1.5</v>
      </c>
      <c r="K28" s="4" t="n">
        <v>1.1</v>
      </c>
      <c r="L28" s="4"/>
      <c r="M28" s="4"/>
      <c r="N28" s="4"/>
      <c r="O28" s="4"/>
      <c r="P28" s="4"/>
      <c r="Q28" s="4"/>
      <c r="R28" s="4"/>
      <c r="S28" s="4"/>
    </row>
    <row r="29" customFormat="false" ht="12.8" hidden="false" customHeight="false" outlineLevel="0" collapsed="false">
      <c r="B29" s="5" t="n">
        <v>2.1</v>
      </c>
      <c r="C29" s="3" t="str">
        <f aca="false">VLOOKUP(B29,$B$4:$C$25,2,0)</f>
        <v>Nurses (Enfermeiro) (fonte)</v>
      </c>
      <c r="D29" s="4" t="n">
        <f aca="false">B43</f>
        <v>27.2</v>
      </c>
      <c r="E29" s="6" t="str">
        <f aca="false">VLOOKUP(D29,$B$4:$C$97,2,0)</f>
        <v>Neurologist (Neurologista)</v>
      </c>
      <c r="F29" s="7" t="n">
        <f aca="false">VLOOKUP(D29,'BR-Demografia-Medica'!$C$2:$E$40,3,0)</f>
        <v>4.5</v>
      </c>
      <c r="G29" s="7"/>
      <c r="H29" s="7"/>
      <c r="I29" s="4"/>
      <c r="J29" s="4" t="n">
        <v>2.9</v>
      </c>
      <c r="K29" s="4" t="n">
        <v>0.6</v>
      </c>
      <c r="L29" s="4"/>
      <c r="M29" s="4"/>
      <c r="N29" s="4"/>
      <c r="O29" s="4"/>
      <c r="P29" s="4"/>
      <c r="Q29" s="4"/>
      <c r="R29" s="4"/>
      <c r="S29" s="4"/>
    </row>
    <row r="30" customFormat="false" ht="12.8" hidden="false" customHeight="false" outlineLevel="0" collapsed="false">
      <c r="B30" s="5" t="n">
        <v>5.1</v>
      </c>
      <c r="C30" s="3" t="str">
        <f aca="false">VLOOKUP(B30,$B$4:$C$25,2,0)</f>
        <v>Dentist (Dentista) (fonte)</v>
      </c>
      <c r="D30" s="4" t="n">
        <f aca="false">B44</f>
        <v>28.2</v>
      </c>
      <c r="E30" s="6" t="str">
        <f aca="false">VLOOKUP(D30,$B$4:$C$97,2,0)</f>
        <v>Ophthalmologist (Oftalmologista)</v>
      </c>
      <c r="F30" s="7" t="n">
        <f aca="false">VLOOKUP(D30,'BR-Demografia-Medica'!$C$2:$E$40,3,0)</f>
        <v>7.39</v>
      </c>
      <c r="G30" s="7"/>
      <c r="H30" s="7"/>
      <c r="I30" s="4"/>
      <c r="J30" s="4" t="n">
        <v>2.7</v>
      </c>
      <c r="K30" s="4" t="n">
        <v>1.3</v>
      </c>
      <c r="L30" s="4"/>
      <c r="M30" s="4"/>
      <c r="N30" s="4"/>
      <c r="O30" s="4"/>
      <c r="P30" s="4"/>
      <c r="Q30" s="4"/>
      <c r="R30" s="4"/>
      <c r="S30" s="4"/>
    </row>
    <row r="31" customFormat="false" ht="12.8" hidden="false" customHeight="false" outlineLevel="0" collapsed="false">
      <c r="B31" s="5" t="n">
        <v>7.1</v>
      </c>
      <c r="C31" s="3" t="str">
        <f aca="false">VLOOKUP(B31,$B$4:$C$25,2,0)</f>
        <v>Gynaecologists / Obstetricians  (Ginecologista / obstetra)</v>
      </c>
      <c r="D31" s="4" t="n">
        <f aca="false">B45</f>
        <v>29.2</v>
      </c>
      <c r="E31" s="6" t="str">
        <f aca="false">VLOOKUP(D31,$B$4:$C$97,2,0)</f>
        <v>Otolaryngologist (Otorrinolaringologista)</v>
      </c>
      <c r="F31" s="7" t="n">
        <f aca="false">VLOOKUP(D31,'BR-Demografia-Medica'!$C$2:$E$40,3,0)</f>
        <v>3.42</v>
      </c>
      <c r="G31" s="7"/>
      <c r="H31" s="7"/>
      <c r="I31" s="4"/>
      <c r="J31" s="4" t="n">
        <v>1.7</v>
      </c>
      <c r="K31" s="4" t="n">
        <v>1.3</v>
      </c>
      <c r="L31" s="4"/>
      <c r="M31" s="4"/>
      <c r="N31" s="4"/>
      <c r="O31" s="4"/>
      <c r="P31" s="4"/>
      <c r="Q31" s="4"/>
      <c r="R31" s="4"/>
      <c r="S31" s="4"/>
    </row>
    <row r="32" customFormat="false" ht="12.8" hidden="false" customHeight="false" outlineLevel="0" collapsed="false">
      <c r="B32" s="5" t="n">
        <v>8.1</v>
      </c>
      <c r="C32" s="3" t="str">
        <f aca="false">VLOOKUP(B32,$B$4:$C$25,2,0)</f>
        <v>Paediatricians (Pediatra)</v>
      </c>
      <c r="D32" s="4" t="n">
        <f aca="false">B46</f>
        <v>30.2</v>
      </c>
      <c r="E32" s="6" t="str">
        <f aca="false">VLOOKUP(D32,$B$4:$C$97,2,0)</f>
        <v>Dermatologist (Dermatologista)</v>
      </c>
      <c r="F32" s="7" t="n">
        <f aca="false">VLOOKUP(D32,'BR-Demografia-Medica'!$C$2:$E$40,3,0)</f>
        <v>4.61</v>
      </c>
      <c r="G32" s="7"/>
      <c r="H32" s="7"/>
      <c r="I32" s="4"/>
      <c r="J32" s="4" t="n">
        <v>1.5</v>
      </c>
      <c r="K32" s="4" t="n">
        <v>0.8</v>
      </c>
      <c r="L32" s="4"/>
      <c r="M32" s="4"/>
      <c r="N32" s="4"/>
      <c r="O32" s="4"/>
      <c r="P32" s="4"/>
      <c r="Q32" s="4"/>
      <c r="R32" s="4"/>
      <c r="S32" s="4"/>
    </row>
    <row r="33" customFormat="false" ht="12.8" hidden="false" customHeight="false" outlineLevel="0" collapsed="false">
      <c r="B33" s="5" t="n">
        <v>9.1</v>
      </c>
      <c r="C33" s="3" t="str">
        <f aca="false">VLOOKUP(B33,$B$4:$C$25,2,0)</f>
        <v>Psychiatrists (Psiquiatra)</v>
      </c>
      <c r="D33" s="4" t="n">
        <f aca="false">B47</f>
        <v>31.2</v>
      </c>
      <c r="E33" s="6" t="str">
        <f aca="false">VLOOKUP(D33,$B$4:$C$97,2,0)</f>
        <v>Pulmonologist (Pneumologista)</v>
      </c>
      <c r="F33" s="7" t="n">
        <f aca="false">VLOOKUP(D33,'BR-Demografia-Medica'!$C$2:$E$40,3,0)</f>
        <v>1.74</v>
      </c>
      <c r="G33" s="7"/>
      <c r="H33" s="7"/>
      <c r="I33" s="4"/>
      <c r="J33" s="4" t="n">
        <v>2.3</v>
      </c>
      <c r="K33" s="4" t="n">
        <v>0.7</v>
      </c>
      <c r="L33" s="4"/>
      <c r="M33" s="4"/>
      <c r="N33" s="4"/>
      <c r="O33" s="4"/>
      <c r="P33" s="4"/>
      <c r="Q33" s="4"/>
      <c r="R33" s="4"/>
      <c r="S33" s="4"/>
    </row>
    <row r="34" customFormat="false" ht="12.8" hidden="false" customHeight="false" outlineLevel="0" collapsed="false">
      <c r="B34" s="5" t="n">
        <v>10.1</v>
      </c>
      <c r="C34" s="3" t="str">
        <f aca="false">VLOOKUP(B34,$B$4:$C$25,2,0)</f>
        <v>Geriatrician (Geriatra)</v>
      </c>
      <c r="D34" s="4" t="n">
        <f aca="false">B48</f>
        <v>32.2</v>
      </c>
      <c r="E34" s="6" t="str">
        <f aca="false">VLOOKUP(D34,$B$4:$C$97,2,0)</f>
        <v>Rheumatologist (Reumatologista)</v>
      </c>
      <c r="F34" s="7" t="n">
        <f aca="false">VLOOKUP(D34,'BR-Demografia-Medica'!$C$2:$E$40,3,0)</f>
        <v>1.3</v>
      </c>
      <c r="G34" s="7"/>
      <c r="H34" s="7"/>
      <c r="I34" s="4"/>
      <c r="J34" s="4" t="n">
        <v>0.6</v>
      </c>
      <c r="K34" s="4" t="n">
        <v>0.4</v>
      </c>
      <c r="L34" s="4"/>
      <c r="M34" s="4"/>
      <c r="N34" s="4"/>
      <c r="O34" s="4"/>
      <c r="P34" s="4"/>
      <c r="Q34" s="4"/>
      <c r="R34" s="4"/>
      <c r="S34" s="4"/>
    </row>
    <row r="35" customFormat="false" ht="12.8" hidden="false" customHeight="false" outlineLevel="0" collapsed="false">
      <c r="B35" s="5" t="n">
        <v>18.1</v>
      </c>
      <c r="C35" s="3" t="str">
        <f aca="false">VLOOKUP(B35,$B$4:$C$25,2,0)</f>
        <v>Physiotherapists (Fisioterapeuta)</v>
      </c>
      <c r="D35" s="4" t="n">
        <f aca="false">B49</f>
        <v>33.2</v>
      </c>
      <c r="E35" s="6" t="str">
        <f aca="false">VLOOKUP(D35,$B$4:$C$97,2,0)</f>
        <v>Urologist (Urologista)</v>
      </c>
      <c r="F35" s="7" t="n">
        <f aca="false">VLOOKUP(D35,'BR-Demografia-Medica'!$C$2:$E$40,3,0)</f>
        <v>2.82</v>
      </c>
      <c r="G35" s="7"/>
      <c r="H35" s="7"/>
      <c r="I35" s="4"/>
      <c r="J35" s="4" t="n">
        <v>1.5</v>
      </c>
      <c r="K35" s="4" t="n">
        <v>1.5</v>
      </c>
      <c r="L35" s="4"/>
      <c r="M35" s="4"/>
      <c r="N35" s="4"/>
      <c r="O35" s="4"/>
      <c r="P35" s="4"/>
      <c r="Q35" s="4"/>
      <c r="R35" s="4"/>
      <c r="S35" s="4"/>
    </row>
    <row r="36" customFormat="false" ht="12.8" hidden="false" customHeight="false" outlineLevel="0" collapsed="false">
      <c r="B36" s="5" t="n">
        <v>19.1</v>
      </c>
      <c r="C36" s="3" t="str">
        <f aca="false">VLOOKUP(B36,$B$4:$C$25,2,0)</f>
        <v>Speech therapist and Audiologist (Fonoaudiologista) (Fonte)</v>
      </c>
      <c r="D36" s="4" t="n">
        <f aca="false">B50</f>
        <v>34.2</v>
      </c>
      <c r="E36" s="6" t="str">
        <f aca="false">VLOOKUP(D36,$B$4:$C$97,2,0)</f>
        <v>Orthopedist (Ortopedista)</v>
      </c>
      <c r="F36" s="7" t="n">
        <f aca="false">VLOOKUP(D36,'BR-Demografia-Medica'!$C$2:$E$40,3,0)</f>
        <v>8.52</v>
      </c>
      <c r="G36" s="7"/>
      <c r="H36" s="7"/>
      <c r="I36" s="4"/>
      <c r="J36" s="4" t="n">
        <v>9.3</v>
      </c>
      <c r="K36" s="4" t="n">
        <v>0.7</v>
      </c>
      <c r="L36" s="4"/>
      <c r="M36" s="4"/>
      <c r="N36" s="4"/>
      <c r="O36" s="4"/>
      <c r="P36" s="4"/>
      <c r="Q36" s="4"/>
      <c r="R36" s="4"/>
      <c r="S36" s="4"/>
    </row>
    <row r="37" customFormat="false" ht="12.8" hidden="false" customHeight="false" outlineLevel="0" collapsed="false">
      <c r="B37" s="5" t="n">
        <v>20.1</v>
      </c>
      <c r="C37" s="3" t="str">
        <f aca="false">VLOOKUP(B37,$B$4:$C$25,2,0)</f>
        <v>Nutritionist (Nutricionista + Nutrólogo)</v>
      </c>
      <c r="D37" s="4" t="n">
        <f aca="false">B51</f>
        <v>35.2</v>
      </c>
      <c r="E37" s="6" t="str">
        <f aca="false">VLOOKUP(D37,$B$4:$C$97,2,0)</f>
        <v>Radiologist (Radiologista)</v>
      </c>
      <c r="F37" s="7" t="n">
        <f aca="false">VLOOKUP(D37,'BR-Demografia-Medica'!$C$2:$E$40,3,0)</f>
        <v>7.19</v>
      </c>
      <c r="G37" s="7"/>
      <c r="H37" s="7"/>
      <c r="I37" s="4"/>
      <c r="J37" s="4"/>
      <c r="K37" s="4" t="n">
        <v>1.6</v>
      </c>
      <c r="L37" s="4"/>
      <c r="M37" s="4"/>
      <c r="N37" s="4"/>
      <c r="O37" s="4"/>
      <c r="P37" s="4"/>
      <c r="Q37" s="4"/>
      <c r="R37" s="4"/>
      <c r="S37" s="4"/>
    </row>
    <row r="38" customFormat="false" ht="12.8" hidden="false" customHeight="false" outlineLevel="0" collapsed="false">
      <c r="B38" s="5" t="n">
        <v>21.1</v>
      </c>
      <c r="C38" s="3" t="str">
        <f aca="false">VLOOKUP(B38,$B$4:$C$25,2,0)</f>
        <v>Psycologist (Psicólogo)</v>
      </c>
      <c r="D38" s="4" t="n">
        <f aca="false">B52</f>
        <v>36.2</v>
      </c>
      <c r="E38" s="6" t="str">
        <f aca="false">VLOOKUP(D38,$B$4:$C$97,2,0)</f>
        <v>Radiology technologists (Tecnico em radiologia) (fonte)</v>
      </c>
      <c r="F38" s="9" t="n">
        <f aca="false">(35000/200000000)*100000</f>
        <v>17.5</v>
      </c>
      <c r="G38" s="9"/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customFormat="false" ht="12.8" hidden="false" customHeight="false" outlineLevel="0" collapsed="false">
      <c r="B39" s="10" t="n">
        <v>23.2</v>
      </c>
      <c r="C39" s="3" t="s">
        <v>36</v>
      </c>
      <c r="D39" s="4" t="n">
        <f aca="false">B82</f>
        <v>38.3</v>
      </c>
      <c r="E39" s="6" t="str">
        <f aca="false">VLOOKUP(D39,$B$4:$C$97,2,0)</f>
        <v>Angiology / vascular surgery (Angiologista / Cirurgião vascular)</v>
      </c>
      <c r="F39" s="7" t="n">
        <f aca="false">VLOOKUP(D39,'BR-Demografia-Medica'!$C$2:$E$40,3,0)</f>
        <v>3.13</v>
      </c>
      <c r="G39" s="7"/>
      <c r="H39" s="7"/>
      <c r="I39" s="4"/>
      <c r="J39" s="4"/>
      <c r="K39" s="4" t="n">
        <v>1.5</v>
      </c>
      <c r="L39" s="4"/>
      <c r="M39" s="4"/>
      <c r="N39" s="4"/>
      <c r="O39" s="4"/>
      <c r="P39" s="4"/>
      <c r="Q39" s="4"/>
      <c r="R39" s="4"/>
      <c r="S39" s="4"/>
    </row>
    <row r="40" customFormat="false" ht="12.8" hidden="false" customHeight="false" outlineLevel="0" collapsed="false">
      <c r="B40" s="10" t="n">
        <v>24.2</v>
      </c>
      <c r="C40" s="3" t="s">
        <v>37</v>
      </c>
      <c r="D40" s="4" t="n">
        <f aca="false">B83</f>
        <v>39.3</v>
      </c>
      <c r="E40" s="6" t="str">
        <f aca="false">VLOOKUP(D40,$B$4:$C$97,2,0)</f>
        <v>Gastroenterologist / proctologist (Gastroenterologista / proctologista)</v>
      </c>
      <c r="F40" s="7" t="n">
        <f aca="false">VLOOKUP(D40,'BR-Demografia-Medica'!$C$2:$E$40,3,0)</f>
        <v>5.37</v>
      </c>
      <c r="G40" s="7"/>
      <c r="H40" s="7"/>
      <c r="I40" s="4"/>
      <c r="J40" s="4"/>
      <c r="K40" s="4" t="n">
        <v>2.5</v>
      </c>
      <c r="L40" s="4"/>
      <c r="M40" s="4"/>
      <c r="N40" s="4"/>
      <c r="O40" s="4"/>
      <c r="P40" s="4"/>
      <c r="Q40" s="4"/>
      <c r="R40" s="4"/>
      <c r="S40" s="4"/>
    </row>
    <row r="41" customFormat="false" ht="12.8" hidden="false" customHeight="false" outlineLevel="0" collapsed="false">
      <c r="B41" s="10" t="n">
        <v>25.2</v>
      </c>
      <c r="C41" s="3" t="s">
        <v>38</v>
      </c>
      <c r="D41" s="4" t="n">
        <f aca="false">B84</f>
        <v>40.3</v>
      </c>
      <c r="E41" s="6" t="str">
        <f aca="false">VLOOKUP(D41,$B$4:$C$97,2,0)</f>
        <v>Alergista (allergist)</v>
      </c>
      <c r="F41" s="7" t="n">
        <f aca="false">VLOOKUP(D41,'BR-Demografia-Medica'!$C$2:$E$40,3,0)</f>
        <v>0.91</v>
      </c>
      <c r="G41" s="7"/>
      <c r="H41" s="7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</row>
    <row r="42" customFormat="false" ht="12.8" hidden="false" customHeight="false" outlineLevel="0" collapsed="false">
      <c r="B42" s="10" t="n">
        <v>26.2</v>
      </c>
      <c r="C42" s="3" t="s">
        <v>39</v>
      </c>
      <c r="D42" s="4" t="n">
        <f aca="false">B85</f>
        <v>41.3</v>
      </c>
      <c r="E42" s="6" t="str">
        <f aca="false">VLOOKUP(D42,$B$4:$C$97,2,0)</f>
        <v>Pediatric Surgeon (Cirurgião Pediatra)</v>
      </c>
      <c r="F42" s="7" t="n">
        <f aca="false">VLOOKUP(D42,'BR-Demografia-Medica'!$C$2:$E$40,3,0)</f>
        <v>0.72</v>
      </c>
      <c r="G42" s="7"/>
      <c r="H42" s="7"/>
      <c r="I42" s="4"/>
      <c r="J42" s="4"/>
      <c r="K42" s="4" t="n">
        <v>2</v>
      </c>
      <c r="L42" s="4"/>
      <c r="M42" s="4"/>
      <c r="N42" s="4"/>
      <c r="O42" s="4"/>
      <c r="P42" s="4"/>
      <c r="Q42" s="4"/>
      <c r="R42" s="4"/>
      <c r="S42" s="4"/>
    </row>
    <row r="43" customFormat="false" ht="12.8" hidden="false" customHeight="false" outlineLevel="0" collapsed="false">
      <c r="B43" s="10" t="n">
        <v>27.2</v>
      </c>
      <c r="C43" s="3" t="s">
        <v>40</v>
      </c>
      <c r="D43" s="4" t="n">
        <f aca="false">B86</f>
        <v>42.3</v>
      </c>
      <c r="E43" s="6" t="str">
        <f aca="false">VLOOKUP(D43,$B$4:$C$97,2,0)</f>
        <v>Plastic surgeon (Cirurgião Plástico)</v>
      </c>
      <c r="F43" s="7" t="n">
        <f aca="false">VLOOKUP(D43,'BR-Demografia-Medica'!$C$2:$E$40,3,0)</f>
        <v>3.37</v>
      </c>
      <c r="G43" s="7"/>
      <c r="H43" s="7"/>
      <c r="I43" s="4"/>
      <c r="J43" s="4"/>
      <c r="K43" s="4" t="n">
        <v>2</v>
      </c>
      <c r="L43" s="4"/>
      <c r="M43" s="4"/>
      <c r="N43" s="4"/>
      <c r="O43" s="4"/>
      <c r="P43" s="4"/>
      <c r="Q43" s="4"/>
      <c r="R43" s="4"/>
      <c r="S43" s="4"/>
    </row>
    <row r="44" customFormat="false" ht="12.8" hidden="false" customHeight="false" outlineLevel="0" collapsed="false">
      <c r="B44" s="10" t="n">
        <v>28.2</v>
      </c>
      <c r="C44" s="3" t="s">
        <v>41</v>
      </c>
      <c r="D44" s="4" t="n">
        <f aca="false">B87</f>
        <v>43.3</v>
      </c>
      <c r="E44" s="6" t="str">
        <f aca="false">VLOOKUP(D44,$B$4:$C$97,2,0)</f>
        <v>Hematologist (Hematologista)</v>
      </c>
      <c r="F44" s="7" t="n">
        <f aca="false">VLOOKUP(D44,'BR-Demografia-Medica'!$C$2:$E$40,3,0)</f>
        <v>1.4</v>
      </c>
      <c r="G44" s="7"/>
      <c r="H44" s="7"/>
      <c r="I44" s="4"/>
      <c r="J44" s="4"/>
      <c r="K44" s="4" t="n">
        <v>1</v>
      </c>
      <c r="L44" s="4"/>
      <c r="M44" s="4"/>
      <c r="N44" s="4"/>
      <c r="O44" s="4"/>
      <c r="P44" s="4"/>
      <c r="Q44" s="4"/>
      <c r="R44" s="4"/>
      <c r="S44" s="4"/>
    </row>
    <row r="45" customFormat="false" ht="12.8" hidden="false" customHeight="false" outlineLevel="0" collapsed="false">
      <c r="B45" s="10" t="n">
        <v>29.2</v>
      </c>
      <c r="C45" s="3" t="s">
        <v>42</v>
      </c>
      <c r="D45" s="4" t="n">
        <f aca="false">B88</f>
        <v>44.3</v>
      </c>
      <c r="E45" s="6" t="str">
        <f aca="false">VLOOKUP(D45,$B$4:$C$97,2,0)</f>
        <v>Infectologist (Infectologista)</v>
      </c>
      <c r="F45" s="7" t="n">
        <f aca="false">VLOOKUP(D45,'BR-Demografia-Medica'!$C$2:$E$40,3,0)</f>
        <v>1.95</v>
      </c>
      <c r="G45" s="7"/>
      <c r="H45" s="7"/>
      <c r="I45" s="4"/>
      <c r="J45" s="4"/>
      <c r="K45" s="4" t="n">
        <v>1</v>
      </c>
      <c r="L45" s="4"/>
      <c r="M45" s="4"/>
      <c r="N45" s="4"/>
      <c r="O45" s="4"/>
      <c r="P45" s="4"/>
      <c r="Q45" s="4"/>
      <c r="R45" s="4"/>
      <c r="S45" s="4"/>
    </row>
    <row r="46" customFormat="false" ht="12.8" hidden="false" customHeight="false" outlineLevel="0" collapsed="false">
      <c r="B46" s="10" t="n">
        <v>30.2</v>
      </c>
      <c r="C46" s="3" t="s">
        <v>43</v>
      </c>
      <c r="D46" s="4" t="n">
        <f aca="false">B89</f>
        <v>45.3</v>
      </c>
      <c r="E46" s="6" t="str">
        <f aca="false">VLOOKUP(D46,$B$4:$C$97,2,0)</f>
        <v>Mastologist (Mastologista)</v>
      </c>
      <c r="F46" s="7" t="n">
        <f aca="false">VLOOKUP(D46,'BR-Demografia-Medica'!$C$2:$E$40,3,0)</f>
        <v>1.19</v>
      </c>
      <c r="G46" s="7"/>
      <c r="H46" s="7"/>
      <c r="I46" s="4"/>
      <c r="J46" s="4"/>
      <c r="K46" s="4" t="n">
        <v>1</v>
      </c>
      <c r="L46" s="4"/>
      <c r="M46" s="4"/>
      <c r="N46" s="4"/>
      <c r="O46" s="4"/>
      <c r="P46" s="4"/>
      <c r="Q46" s="4"/>
      <c r="R46" s="4"/>
      <c r="S46" s="4"/>
    </row>
    <row r="47" customFormat="false" ht="12.8" hidden="false" customHeight="false" outlineLevel="0" collapsed="false">
      <c r="B47" s="10" t="n">
        <v>31.2</v>
      </c>
      <c r="C47" s="3" t="s">
        <v>44</v>
      </c>
      <c r="D47" s="4" t="n">
        <f aca="false">B90</f>
        <v>46.3</v>
      </c>
      <c r="E47" s="6" t="str">
        <f aca="false">VLOOKUP(D47,$B$4:$C$97,2,0)</f>
        <v>Nuclear Doctor (Médico Nuclear)</v>
      </c>
      <c r="F47" s="7" t="n">
        <f aca="false">VLOOKUP(D47,'BR-Demografia-Medica'!$C$2:$E$40,3,0)</f>
        <v>0.48</v>
      </c>
      <c r="G47" s="7"/>
      <c r="H47" s="7"/>
      <c r="I47" s="4"/>
      <c r="J47" s="4"/>
      <c r="K47" s="4" t="n">
        <v>0.5</v>
      </c>
      <c r="L47" s="4"/>
      <c r="M47" s="4"/>
      <c r="N47" s="4"/>
      <c r="O47" s="4"/>
      <c r="P47" s="4"/>
      <c r="Q47" s="4"/>
      <c r="R47" s="4"/>
      <c r="S47" s="4"/>
    </row>
    <row r="48" customFormat="false" ht="12.8" hidden="false" customHeight="false" outlineLevel="0" collapsed="false">
      <c r="B48" s="10" t="n">
        <v>32.2</v>
      </c>
      <c r="C48" s="3" t="s">
        <v>45</v>
      </c>
      <c r="D48" s="4" t="n">
        <f aca="false">B91</f>
        <v>47.3</v>
      </c>
      <c r="E48" s="6" t="str">
        <f aca="false">VLOOKUP(D48,$B$4:$C$97,2,0)</f>
        <v>Oncologist (Oncologista)</v>
      </c>
      <c r="F48" s="7" t="n">
        <f aca="false">VLOOKUP(D48,'BR-Demografia-Medica'!$C$2:$E$40,3,0)</f>
        <v>2.62</v>
      </c>
      <c r="G48" s="7"/>
      <c r="H48" s="7"/>
      <c r="I48" s="4"/>
      <c r="J48" s="4"/>
      <c r="K48" s="4" t="n">
        <v>3</v>
      </c>
      <c r="L48" s="4"/>
      <c r="M48" s="4"/>
      <c r="N48" s="4"/>
      <c r="O48" s="4"/>
      <c r="P48" s="4"/>
      <c r="Q48" s="4"/>
      <c r="R48" s="4"/>
      <c r="S48" s="4"/>
    </row>
    <row r="49" customFormat="false" ht="12.8" hidden="false" customHeight="false" outlineLevel="0" collapsed="false">
      <c r="B49" s="10" t="n">
        <v>33.2</v>
      </c>
      <c r="C49" s="3" t="s">
        <v>46</v>
      </c>
      <c r="D49" s="4" t="n">
        <f aca="false">B92</f>
        <v>48.3</v>
      </c>
      <c r="E49" s="6" t="str">
        <f aca="false">VLOOKUP(D49,$B$4:$C$97,2,0)</f>
        <v>Intensive Care physician (Médico intensivista)</v>
      </c>
      <c r="F49" s="7" t="n">
        <f aca="false">VLOOKUP(D49,'BR-Demografia-Medica'!$C$2:$E$40,3,0)</f>
        <v>3.39</v>
      </c>
      <c r="G49" s="7"/>
      <c r="H49" s="7"/>
      <c r="I49" s="4"/>
      <c r="J49" s="4"/>
      <c r="K49" s="4" t="n">
        <v>3</v>
      </c>
      <c r="L49" s="4"/>
      <c r="M49" s="4"/>
      <c r="N49" s="4"/>
      <c r="O49" s="4"/>
      <c r="P49" s="4"/>
      <c r="Q49" s="4"/>
      <c r="R49" s="4"/>
      <c r="S49" s="4"/>
    </row>
    <row r="50" customFormat="false" ht="12.8" hidden="false" customHeight="false" outlineLevel="0" collapsed="false">
      <c r="B50" s="10" t="n">
        <v>34.2</v>
      </c>
      <c r="C50" s="3" t="s">
        <v>47</v>
      </c>
      <c r="D50" s="4" t="n">
        <f aca="false">B93</f>
        <v>49.3</v>
      </c>
      <c r="E50" s="6" t="str">
        <f aca="false">VLOOKUP(D50,$B$4:$C$97,2,0)</f>
        <v>Anesthetist (Anestesista)</v>
      </c>
      <c r="F50" s="7" t="n">
        <f aca="false">VLOOKUP(D50,'BR-Demografia-Medica'!$C$2:$E$40,3,0)</f>
        <v>12.13</v>
      </c>
      <c r="G50" s="7"/>
      <c r="H50" s="7"/>
      <c r="I50" s="4"/>
      <c r="J50" s="4"/>
      <c r="K50" s="4" t="n">
        <v>10</v>
      </c>
      <c r="L50" s="4"/>
      <c r="M50" s="4"/>
      <c r="N50" s="4"/>
      <c r="O50" s="4"/>
      <c r="P50" s="4"/>
      <c r="Q50" s="4"/>
      <c r="R50" s="4"/>
      <c r="S50" s="4"/>
    </row>
    <row r="51" customFormat="false" ht="12.8" hidden="false" customHeight="false" outlineLevel="0" collapsed="false">
      <c r="B51" s="10" t="n">
        <v>35.2</v>
      </c>
      <c r="C51" s="3" t="s">
        <v>48</v>
      </c>
      <c r="D51" s="4" t="n">
        <f aca="false">B94</f>
        <v>50.3</v>
      </c>
      <c r="E51" s="6" t="str">
        <f aca="false">VLOOKUP(D51,$B$4:$C$97,2,0)</f>
        <v>Digestive system surgeon (Cirurgião do aparelho digestivo)</v>
      </c>
      <c r="F51" s="7" t="n">
        <f aca="false">VLOOKUP(D51,'BR-Demografia-Medica'!$C$2:$E$40,3,0)</f>
        <v>1.54</v>
      </c>
      <c r="G51" s="7"/>
      <c r="H51" s="7"/>
      <c r="I51" s="4"/>
      <c r="J51" s="4"/>
      <c r="K51" s="4" t="n">
        <v>2</v>
      </c>
      <c r="L51" s="4"/>
      <c r="M51" s="4"/>
      <c r="N51" s="4"/>
      <c r="O51" s="4"/>
      <c r="P51" s="4"/>
      <c r="Q51" s="4"/>
      <c r="R51" s="4"/>
      <c r="S51" s="4"/>
    </row>
    <row r="52" customFormat="false" ht="12.8" hidden="false" customHeight="false" outlineLevel="0" collapsed="false">
      <c r="B52" s="10" t="n">
        <v>36.2</v>
      </c>
      <c r="C52" s="8" t="s">
        <v>49</v>
      </c>
      <c r="D52" s="4" t="n">
        <f aca="false">B95</f>
        <v>51.3</v>
      </c>
      <c r="E52" s="6" t="str">
        <f aca="false">VLOOKUP(D52,$B$4:$C$97,2,0)</f>
        <v>Head and neck surgeon (Cirurgião de cabeça e pescoço)</v>
      </c>
      <c r="F52" s="7" t="n">
        <f aca="false">VLOOKUP(D52,'BR-Demografia-Medica'!$C$2:$E$40,3,0)</f>
        <v>0.57</v>
      </c>
      <c r="G52" s="7"/>
      <c r="H52" s="7"/>
      <c r="I52" s="4"/>
      <c r="J52" s="4"/>
      <c r="K52" s="4" t="n">
        <v>1</v>
      </c>
      <c r="L52" s="4"/>
      <c r="M52" s="4"/>
      <c r="N52" s="4"/>
      <c r="O52" s="4"/>
      <c r="P52" s="4"/>
      <c r="Q52" s="4"/>
      <c r="R52" s="4"/>
      <c r="S52" s="4"/>
    </row>
    <row r="53" customFormat="false" ht="12.8" hidden="false" customHeight="false" outlineLevel="0" collapsed="false">
      <c r="B53" s="4"/>
      <c r="C53" s="4"/>
      <c r="D53" s="4" t="n">
        <f aca="false">B96</f>
        <v>52.3</v>
      </c>
      <c r="E53" s="6" t="str">
        <f aca="false">VLOOKUP(D53,$B$4:$C$97,2,0)</f>
        <v>Thoracic surgeon (Cirurgião torácico)</v>
      </c>
      <c r="F53" s="7" t="n">
        <f aca="false">VLOOKUP(D53,'BR-Demografia-Medica'!$C$2:$E$40,3,0)</f>
        <v>0.53</v>
      </c>
      <c r="G53" s="7"/>
      <c r="H53" s="7"/>
      <c r="I53" s="4"/>
      <c r="J53" s="4"/>
      <c r="K53" s="4" t="n">
        <v>1</v>
      </c>
      <c r="L53" s="4"/>
      <c r="M53" s="4"/>
      <c r="N53" s="4"/>
      <c r="O53" s="4"/>
      <c r="P53" s="4"/>
      <c r="Q53" s="4"/>
      <c r="R53" s="4"/>
      <c r="S53" s="4"/>
    </row>
    <row r="54" customFormat="false" ht="12.8" hidden="false" customHeight="false" outlineLevel="0" collapsed="false">
      <c r="B54" s="4"/>
      <c r="C54" s="4"/>
      <c r="D54" s="4" t="n">
        <f aca="false">B97</f>
        <v>53.3</v>
      </c>
      <c r="E54" s="6" t="str">
        <f aca="false">VLOOKUP(D54,$B$4:$C$97,2,0)</f>
        <v>Cardiovascular surgeon (Cirurgião cardiovascular)</v>
      </c>
      <c r="F54" s="7" t="n">
        <f aca="false">VLOOKUP(D54,'BR-Demografia-Medica'!$C$2:$E$40,3,0)</f>
        <v>1.15</v>
      </c>
      <c r="G54" s="7"/>
      <c r="H54" s="7"/>
      <c r="I54" s="4"/>
      <c r="J54" s="4"/>
      <c r="K54" s="4" t="n">
        <v>1</v>
      </c>
      <c r="L54" s="4"/>
      <c r="M54" s="4"/>
      <c r="N54" s="4"/>
      <c r="O54" s="4"/>
      <c r="P54" s="4"/>
      <c r="Q54" s="4"/>
      <c r="R54" s="4"/>
      <c r="S54" s="4"/>
    </row>
    <row r="55" customFormat="false" ht="12.8" hidden="false" customHeight="false" outlineLevel="0" collapsed="false">
      <c r="B55" s="3" t="s">
        <v>50</v>
      </c>
      <c r="C55" s="3"/>
      <c r="S55" s="4"/>
    </row>
    <row r="56" customFormat="false" ht="12.8" hidden="false" customHeight="false" outlineLevel="0" collapsed="false">
      <c r="B56" s="5" t="n">
        <v>1.1</v>
      </c>
      <c r="C56" s="3" t="str">
        <f aca="false">VLOOKUP(B56,$B$4:$C$25,2,0)</f>
        <v>Generalist medical practitioners (Médico generalista + Médico da família + preventiva social)</v>
      </c>
      <c r="D56" s="0" t="s">
        <v>51</v>
      </c>
      <c r="E56" s="0" t="s">
        <v>52</v>
      </c>
      <c r="F56" s="11" t="n">
        <f aca="false">'BR-Demografia-Medica'!E43</f>
        <v>237.016509433962</v>
      </c>
      <c r="G56" s="4" t="n">
        <f aca="false">100*4.6</f>
        <v>460</v>
      </c>
      <c r="H56" s="4" t="n">
        <f aca="false">100*6.5</f>
        <v>650</v>
      </c>
      <c r="J56" s="0" t="s">
        <v>53</v>
      </c>
      <c r="K56" s="0" t="s">
        <v>54</v>
      </c>
      <c r="L56" s="4"/>
      <c r="M56" s="4"/>
      <c r="N56" s="4"/>
      <c r="O56" s="4"/>
      <c r="P56" s="4"/>
      <c r="Q56" s="4"/>
      <c r="R56" s="4"/>
      <c r="S56" s="4"/>
    </row>
    <row r="57" customFormat="false" ht="12.8" hidden="false" customHeight="false" outlineLevel="0" collapsed="false">
      <c r="B57" s="5" t="n">
        <v>2.1</v>
      </c>
      <c r="C57" s="3" t="str">
        <f aca="false">VLOOKUP(B57,$B$4:$C$25,2,0)</f>
        <v>Nurses (Enfermeiro) (fonte)</v>
      </c>
      <c r="D57" s="4"/>
      <c r="E57" s="6" t="s">
        <v>55</v>
      </c>
      <c r="F57" s="4" t="n">
        <f aca="false">100*7.4</f>
        <v>740</v>
      </c>
      <c r="G57" s="4" t="n">
        <f aca="false">100*14.9</f>
        <v>1490</v>
      </c>
      <c r="H57" s="4" t="n">
        <f aca="false">100*11.5</f>
        <v>1150</v>
      </c>
      <c r="I57" s="4"/>
      <c r="J57" s="4"/>
      <c r="K57" s="6" t="s">
        <v>56</v>
      </c>
      <c r="L57" s="4"/>
      <c r="M57" s="4"/>
      <c r="N57" s="4"/>
      <c r="O57" s="4"/>
      <c r="P57" s="4"/>
      <c r="Q57" s="4"/>
      <c r="R57" s="4"/>
      <c r="S57" s="4"/>
    </row>
    <row r="58" customFormat="false" ht="12.8" hidden="false" customHeight="false" outlineLevel="0" collapsed="false">
      <c r="B58" s="5" t="n">
        <v>5.1</v>
      </c>
      <c r="C58" s="3" t="str">
        <f aca="false">VLOOKUP(B58,$B$4:$C$25,2,0)</f>
        <v>Dentist (Dentista) (fonte)</v>
      </c>
      <c r="D58" s="4"/>
      <c r="E58" s="0" t="s">
        <v>57</v>
      </c>
      <c r="F58" s="4" t="n">
        <f aca="false">100*2.1</f>
        <v>210</v>
      </c>
      <c r="G58" s="4" t="n">
        <f aca="false">100*3.6</f>
        <v>360</v>
      </c>
      <c r="H58" s="4" t="n">
        <f aca="false">100*5.9</f>
        <v>590</v>
      </c>
      <c r="I58" s="4"/>
      <c r="J58" s="4"/>
      <c r="K58" s="6" t="s">
        <v>58</v>
      </c>
      <c r="L58" s="4"/>
      <c r="M58" s="4"/>
      <c r="N58" s="4"/>
      <c r="O58" s="4"/>
      <c r="P58" s="4"/>
      <c r="Q58" s="4"/>
      <c r="R58" s="4"/>
      <c r="S58" s="4"/>
    </row>
    <row r="59" customFormat="false" ht="12.8" hidden="false" customHeight="false" outlineLevel="0" collapsed="false">
      <c r="B59" s="5" t="n">
        <v>7.1</v>
      </c>
      <c r="C59" s="3" t="str">
        <f aca="false">VLOOKUP(B59,$B$4:$C$25,2,0)</f>
        <v>Gynaecologists / Obstetricians  (Ginecologista / obstetra)</v>
      </c>
      <c r="D59" s="4"/>
      <c r="E59" s="0" t="s">
        <v>59</v>
      </c>
      <c r="F59" s="4" t="n">
        <v>55</v>
      </c>
      <c r="G59" s="4" t="n">
        <v>76</v>
      </c>
      <c r="H59" s="4" t="n">
        <v>59</v>
      </c>
      <c r="I59" s="4"/>
      <c r="J59" s="4"/>
      <c r="K59" s="6" t="s">
        <v>60</v>
      </c>
      <c r="L59" s="4"/>
      <c r="M59" s="4"/>
      <c r="N59" s="4"/>
      <c r="O59" s="4"/>
      <c r="P59" s="4"/>
      <c r="Q59" s="4"/>
      <c r="R59" s="4"/>
      <c r="S59" s="4"/>
    </row>
    <row r="60" customFormat="false" ht="12.8" hidden="false" customHeight="false" outlineLevel="0" collapsed="false">
      <c r="B60" s="5" t="n">
        <v>8.1</v>
      </c>
      <c r="C60" s="3" t="str">
        <f aca="false">VLOOKUP(B60,$B$4:$C$25,2,0)</f>
        <v>Paediatricians (Pediatra)</v>
      </c>
      <c r="D60" s="4"/>
      <c r="E60" s="6" t="s">
        <v>61</v>
      </c>
      <c r="F60" s="11" t="n">
        <f aca="false">F56-F59</f>
        <v>182.016509433962</v>
      </c>
      <c r="G60" s="4" t="n">
        <f aca="false">G56-G59</f>
        <v>384</v>
      </c>
      <c r="H60" s="4" t="n">
        <f aca="false">H56-H59</f>
        <v>591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customFormat="false" ht="12.8" hidden="false" customHeight="false" outlineLevel="0" collapsed="false">
      <c r="B61" s="5" t="n">
        <v>9.1</v>
      </c>
      <c r="C61" s="3" t="str">
        <f aca="false">VLOOKUP(B61,$B$4:$C$25,2,0)</f>
        <v>Psychiatrists (Psiquiatra)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customFormat="false" ht="12.8" hidden="false" customHeight="false" outlineLevel="0" collapsed="false">
      <c r="B62" s="5" t="n">
        <v>10.1</v>
      </c>
      <c r="C62" s="3" t="str">
        <f aca="false">VLOOKUP(B62,$B$4:$C$25,2,0)</f>
        <v>Geriatrician (Geriatra)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customFormat="false" ht="12.8" hidden="false" customHeight="false" outlineLevel="0" collapsed="false">
      <c r="B63" s="5" t="n">
        <v>11.1</v>
      </c>
      <c r="C63" s="3" t="s">
        <v>62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customFormat="false" ht="12.8" hidden="false" customHeight="false" outlineLevel="0" collapsed="false">
      <c r="B64" s="5" t="n">
        <v>13.1</v>
      </c>
      <c r="C64" s="3" t="s">
        <v>25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customFormat="false" ht="12.8" hidden="false" customHeight="false" outlineLevel="0" collapsed="false">
      <c r="B65" s="5" t="n">
        <v>14.1</v>
      </c>
      <c r="C65" s="3" t="s">
        <v>26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customFormat="false" ht="12.8" hidden="false" customHeight="false" outlineLevel="0" collapsed="false">
      <c r="B66" s="5" t="n">
        <v>17.1</v>
      </c>
      <c r="C66" s="3" t="s">
        <v>29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customFormat="false" ht="12.8" hidden="false" customHeight="false" outlineLevel="0" collapsed="false">
      <c r="B67" s="5" t="n">
        <v>18.1</v>
      </c>
      <c r="C67" s="3" t="str">
        <f aca="false">VLOOKUP(B67,$B$4:$C$25,2,0)</f>
        <v>Physiotherapists (Fisioterapeuta)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customFormat="false" ht="12.8" hidden="false" customHeight="false" outlineLevel="0" collapsed="false">
      <c r="B68" s="10" t="n">
        <v>23.2</v>
      </c>
      <c r="C68" s="3" t="str">
        <f aca="false">VLOOKUP(B68,$B$39:$C$53,2,0)</f>
        <v>General surgeon (Cirurgião geral)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customFormat="false" ht="12.8" hidden="false" customHeight="false" outlineLevel="0" collapsed="false">
      <c r="B69" s="10" t="n">
        <v>24.2</v>
      </c>
      <c r="C69" s="3" t="str">
        <f aca="false">VLOOKUP(B69,$B$39:$C$53,2,0)</f>
        <v>Cardiologist (Cardiologista)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customFormat="false" ht="12.8" hidden="false" customHeight="false" outlineLevel="0" collapsed="false">
      <c r="B70" s="10" t="n">
        <v>25.2</v>
      </c>
      <c r="C70" s="3" t="str">
        <f aca="false">VLOOKUP(B70,$B$39:$C$53,2,0)</f>
        <v>Endocrinologist (Endocrinologista)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customFormat="false" ht="12.8" hidden="false" customHeight="false" outlineLevel="0" collapsed="false">
      <c r="B71" s="10" t="n">
        <v>26.2</v>
      </c>
      <c r="C71" s="3" t="str">
        <f aca="false">VLOOKUP(B71,$B$39:$C$53,2,0)</f>
        <v>Nephrologist (Nefrologista)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customFormat="false" ht="12.8" hidden="false" customHeight="false" outlineLevel="0" collapsed="false">
      <c r="B72" s="10" t="n">
        <v>27.2</v>
      </c>
      <c r="C72" s="3" t="str">
        <f aca="false">VLOOKUP(B72,$B$39:$C$53,2,0)</f>
        <v>Neurologist (Neurologista)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customFormat="false" ht="12.8" hidden="false" customHeight="false" outlineLevel="0" collapsed="false">
      <c r="B73" s="10" t="n">
        <v>28.2</v>
      </c>
      <c r="C73" s="3" t="str">
        <f aca="false">VLOOKUP(B73,$B$39:$C$53,2,0)</f>
        <v>Ophthalmologist (Oftalmologista)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customFormat="false" ht="12.8" hidden="false" customHeight="false" outlineLevel="0" collapsed="false">
      <c r="B74" s="10" t="n">
        <v>29.2</v>
      </c>
      <c r="C74" s="3" t="str">
        <f aca="false">VLOOKUP(B74,$B$39:$C$53,2,0)</f>
        <v>Otolaryngologist (Otorrinolaringologista)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customFormat="false" ht="12.8" hidden="false" customHeight="false" outlineLevel="0" collapsed="false">
      <c r="B75" s="10" t="n">
        <v>30.2</v>
      </c>
      <c r="C75" s="3" t="str">
        <f aca="false">VLOOKUP(B75,$B$39:$C$53,2,0)</f>
        <v>Dermatologist (Dermatologista)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customFormat="false" ht="12.8" hidden="false" customHeight="false" outlineLevel="0" collapsed="false">
      <c r="B76" s="10" t="n">
        <v>31.2</v>
      </c>
      <c r="C76" s="3" t="str">
        <f aca="false">VLOOKUP(B76,$B$39:$C$53,2,0)</f>
        <v>Pulmonologist (Pneumologista)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customFormat="false" ht="12.8" hidden="false" customHeight="false" outlineLevel="0" collapsed="false">
      <c r="B77" s="10" t="n">
        <v>32.2</v>
      </c>
      <c r="C77" s="3" t="str">
        <f aca="false">VLOOKUP(B77,$B$39:$C$53,2,0)</f>
        <v>Rheumatologist (Reumatologista)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customFormat="false" ht="12.8" hidden="false" customHeight="false" outlineLevel="0" collapsed="false">
      <c r="B78" s="10" t="n">
        <v>33.2</v>
      </c>
      <c r="C78" s="3" t="str">
        <f aca="false">VLOOKUP(B78,$B$39:$C$53,2,0)</f>
        <v>Urologist (Urologista)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customFormat="false" ht="12.8" hidden="false" customHeight="false" outlineLevel="0" collapsed="false">
      <c r="B79" s="10" t="n">
        <v>34.2</v>
      </c>
      <c r="C79" s="3" t="str">
        <f aca="false">VLOOKUP(B79,$B$39:$C$53,2,0)</f>
        <v>Orthopedist (Ortopedista)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customFormat="false" ht="12.8" hidden="false" customHeight="false" outlineLevel="0" collapsed="false">
      <c r="B80" s="10" t="n">
        <v>35.2</v>
      </c>
      <c r="C80" s="3" t="str">
        <f aca="false">VLOOKUP(B80,$B$39:$C$53,2,0)</f>
        <v>Radiologist (Radiologista)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customFormat="false" ht="12.8" hidden="false" customHeight="false" outlineLevel="0" collapsed="false">
      <c r="B81" s="10" t="n">
        <v>36.2</v>
      </c>
      <c r="C81" s="3" t="str">
        <f aca="false">VLOOKUP(B81,$B$39:$C$53,2,0)</f>
        <v>Radiology technologists (Tecnico em radiologia) (fonte)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customFormat="false" ht="12.8" hidden="false" customHeight="false" outlineLevel="0" collapsed="false">
      <c r="B82" s="3" t="n">
        <v>38.3</v>
      </c>
      <c r="C82" s="3" t="s">
        <v>63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customFormat="false" ht="12.8" hidden="false" customHeight="false" outlineLevel="0" collapsed="false">
      <c r="B83" s="3" t="n">
        <v>39.3</v>
      </c>
      <c r="C83" s="3" t="s">
        <v>64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customFormat="false" ht="12.8" hidden="false" customHeight="false" outlineLevel="0" collapsed="false">
      <c r="B84" s="3" t="n">
        <v>40.3</v>
      </c>
      <c r="C84" s="3" t="s">
        <v>65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customFormat="false" ht="12.8" hidden="false" customHeight="false" outlineLevel="0" collapsed="false">
      <c r="B85" s="3" t="n">
        <v>41.3</v>
      </c>
      <c r="C85" s="3" t="s">
        <v>66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customFormat="false" ht="12.8" hidden="false" customHeight="false" outlineLevel="0" collapsed="false">
      <c r="B86" s="3" t="n">
        <v>42.3</v>
      </c>
      <c r="C86" s="3" t="s">
        <v>67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customFormat="false" ht="12.8" hidden="false" customHeight="false" outlineLevel="0" collapsed="false">
      <c r="B87" s="3" t="n">
        <v>43.3</v>
      </c>
      <c r="C87" s="3" t="s">
        <v>68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customFormat="false" ht="12.8" hidden="false" customHeight="false" outlineLevel="0" collapsed="false">
      <c r="B88" s="3" t="n">
        <v>44.3</v>
      </c>
      <c r="C88" s="3" t="s">
        <v>69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customFormat="false" ht="12.8" hidden="false" customHeight="false" outlineLevel="0" collapsed="false">
      <c r="B89" s="3" t="n">
        <v>45.3</v>
      </c>
      <c r="C89" s="3" t="s">
        <v>70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customFormat="false" ht="12.8" hidden="false" customHeight="false" outlineLevel="0" collapsed="false">
      <c r="B90" s="3" t="n">
        <v>46.3</v>
      </c>
      <c r="C90" s="3" t="s">
        <v>71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customFormat="false" ht="12.8" hidden="false" customHeight="false" outlineLevel="0" collapsed="false">
      <c r="B91" s="3" t="n">
        <v>47.3</v>
      </c>
      <c r="C91" s="3" t="s">
        <v>72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customFormat="false" ht="12.8" hidden="false" customHeight="false" outlineLevel="0" collapsed="false">
      <c r="B92" s="3" t="n">
        <v>48.3</v>
      </c>
      <c r="C92" s="3" t="s">
        <v>73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customFormat="false" ht="12.8" hidden="false" customHeight="false" outlineLevel="0" collapsed="false">
      <c r="B93" s="3" t="n">
        <v>49.3</v>
      </c>
      <c r="C93" s="3" t="s">
        <v>74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customFormat="false" ht="12.8" hidden="false" customHeight="false" outlineLevel="0" collapsed="false">
      <c r="B94" s="3" t="n">
        <v>50.3</v>
      </c>
      <c r="C94" s="3" t="s">
        <v>75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customFormat="false" ht="12.8" hidden="false" customHeight="false" outlineLevel="0" collapsed="false">
      <c r="B95" s="3" t="n">
        <v>51.3</v>
      </c>
      <c r="C95" s="3" t="s">
        <v>76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customFormat="false" ht="12.8" hidden="false" customHeight="false" outlineLevel="0" collapsed="false">
      <c r="B96" s="3" t="n">
        <v>52.3</v>
      </c>
      <c r="C96" s="3" t="s">
        <v>77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2.8" hidden="false" customHeight="false" outlineLevel="0" collapsed="false">
      <c r="B97" s="3" t="n">
        <v>53.3</v>
      </c>
      <c r="C97" s="3" t="s">
        <v>78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2.8" hidden="false" customHeight="false" outlineLevel="0" collapsed="false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2.8" hidden="false" customHeight="false" outlineLevel="0" collapsed="false">
      <c r="B99" s="0" t="s">
        <v>79</v>
      </c>
      <c r="C99" s="0" t="s">
        <v>80</v>
      </c>
      <c r="D99" s="4" t="n">
        <f aca="false">(F99/200000000)*1000</f>
        <v>4.98697575</v>
      </c>
      <c r="E99" s="4"/>
      <c r="F99" s="4" t="n">
        <f aca="false">SUM(F4:F54)*100</f>
        <v>997395.15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2.8" hidden="false" customHeight="false" outlineLevel="0" collapsed="false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customFormat="false" ht="12.8" hidden="false" customHeight="false" outlineLevel="0" collapsed="false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customFormat="false" ht="12.8" hidden="false" customHeight="false" outlineLevel="0" collapsed="false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customFormat="false" ht="12.8" hidden="false" customHeight="false" outlineLevel="0" collapsed="false">
      <c r="B103" s="0" t="s">
        <v>81</v>
      </c>
      <c r="D103" s="4"/>
      <c r="E103" s="4"/>
      <c r="F103" s="4"/>
      <c r="G103" s="4" t="s">
        <v>82</v>
      </c>
      <c r="H103" s="4" t="s">
        <v>83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customFormat="false" ht="12.8" hidden="false" customHeight="false" outlineLevel="0" collapsed="false">
      <c r="C104" s="0" t="s">
        <v>84</v>
      </c>
      <c r="D104" s="12" t="n">
        <f aca="false">(F104/200000000)*1000</f>
        <v>2.62546</v>
      </c>
      <c r="E104" s="4"/>
      <c r="F104" s="4" t="n">
        <f aca="false">SUM('BR-Equipamentos'!D218:D219)</f>
        <v>525092</v>
      </c>
      <c r="G104" s="4" t="n">
        <f aca="false">'BR-Equipamentos'!D218</f>
        <v>218365</v>
      </c>
      <c r="H104" s="4" t="n">
        <f aca="false">'BR-Equipamentos'!D219</f>
        <v>306727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2.8" hidden="false" customHeight="false" outlineLevel="0" collapsed="false">
      <c r="C105" s="0" t="s">
        <v>85</v>
      </c>
      <c r="D105" s="4"/>
      <c r="E105" s="4"/>
      <c r="F105" s="4" t="n">
        <f aca="false">SUM('BR-Equipamentos'!D22:D28)</f>
        <v>84921</v>
      </c>
      <c r="G105" s="4"/>
      <c r="H105" s="4"/>
      <c r="I105" s="4"/>
      <c r="J105" s="4" t="n">
        <v>2520</v>
      </c>
      <c r="K105" s="4" t="n">
        <v>1080</v>
      </c>
      <c r="L105" s="4"/>
      <c r="M105" s="4"/>
      <c r="N105" s="4"/>
      <c r="O105" s="4"/>
      <c r="P105" s="4"/>
      <c r="Q105" s="4"/>
      <c r="R105" s="4"/>
      <c r="S105" s="4"/>
    </row>
    <row r="106" customFormat="false" ht="12.8" hidden="false" customHeight="false" outlineLevel="0" collapsed="false">
      <c r="C106" s="0" t="s">
        <v>86</v>
      </c>
      <c r="D106" s="4"/>
      <c r="E106" s="4"/>
      <c r="F106" s="4" t="n">
        <f aca="false">'BR-Equipamentos'!D20+'BR-Equipamentos'!D21+'BR-Equipamentos'!D35</f>
        <v>6680</v>
      </c>
      <c r="G106" s="4"/>
      <c r="H106" s="4"/>
      <c r="I106" s="4"/>
      <c r="J106" s="4" t="n">
        <v>2838</v>
      </c>
      <c r="K106" s="4" t="n">
        <v>1251</v>
      </c>
      <c r="L106" s="4"/>
      <c r="M106" s="4"/>
      <c r="N106" s="4"/>
      <c r="O106" s="4"/>
      <c r="P106" s="4"/>
      <c r="Q106" s="4"/>
      <c r="R106" s="4"/>
      <c r="S106" s="4"/>
    </row>
    <row r="107" customFormat="false" ht="12.8" hidden="false" customHeight="false" outlineLevel="0" collapsed="false">
      <c r="C107" s="0" t="s">
        <v>87</v>
      </c>
      <c r="D107" s="4"/>
      <c r="E107" s="4"/>
      <c r="F107" s="4" t="n">
        <v>822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2.8" hidden="false" customHeight="false" outlineLevel="0" collapsed="false">
      <c r="C108" s="0" t="s">
        <v>88</v>
      </c>
      <c r="D108" s="4"/>
      <c r="E108" s="4"/>
      <c r="F108" s="4" t="n">
        <f aca="false">'BR-Equipamentos'!D29</f>
        <v>6319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2.8" hidden="false" customHeight="false" outlineLevel="0" collapsed="false">
      <c r="C109" s="0" t="s">
        <v>89</v>
      </c>
      <c r="D109" s="4"/>
      <c r="E109" s="4"/>
      <c r="F109" s="4" t="n">
        <f aca="false">'BR-Equipamentos'!D36</f>
        <v>121</v>
      </c>
      <c r="G109" s="4"/>
      <c r="H109" s="4"/>
      <c r="I109" s="4"/>
      <c r="J109" s="4" t="n">
        <v>3192</v>
      </c>
      <c r="K109" s="4" t="n">
        <v>1368</v>
      </c>
      <c r="L109" s="4"/>
      <c r="M109" s="4"/>
      <c r="N109" s="4"/>
      <c r="O109" s="4"/>
      <c r="P109" s="4"/>
      <c r="Q109" s="4"/>
      <c r="R109" s="4"/>
      <c r="S109" s="4"/>
    </row>
    <row r="110" customFormat="false" ht="12.8" hidden="false" customHeight="false" outlineLevel="0" collapsed="false">
      <c r="C110" s="0" t="s">
        <v>90</v>
      </c>
      <c r="D110" s="4"/>
      <c r="E110" s="4"/>
      <c r="F110" s="4" t="n">
        <f aca="false">'BR-Equipamentos'!D30</f>
        <v>3211</v>
      </c>
      <c r="G110" s="4"/>
      <c r="H110" s="4"/>
      <c r="I110" s="4"/>
      <c r="J110" s="4" t="n">
        <v>2100</v>
      </c>
      <c r="K110" s="4" t="n">
        <v>900</v>
      </c>
      <c r="L110" s="4"/>
      <c r="M110" s="4"/>
      <c r="N110" s="4"/>
      <c r="O110" s="4"/>
      <c r="P110" s="4"/>
      <c r="Q110" s="4"/>
      <c r="R110" s="4"/>
      <c r="S110" s="4"/>
    </row>
    <row r="111" customFormat="false" ht="12.8" hidden="false" customHeight="false" outlineLevel="0" collapsed="false">
      <c r="C111" s="13" t="s">
        <v>91</v>
      </c>
      <c r="D111" s="4"/>
      <c r="E111" s="4"/>
      <c r="F111" s="4" t="n">
        <f aca="false">SUM('BR-Equipamentos'!D31:D33)</f>
        <v>50236</v>
      </c>
      <c r="G111" s="4"/>
      <c r="H111" s="4"/>
      <c r="I111" s="4"/>
      <c r="J111" s="4" t="n">
        <v>1270</v>
      </c>
      <c r="K111" s="4" t="n">
        <v>544</v>
      </c>
      <c r="L111" s="4"/>
      <c r="M111" s="4"/>
      <c r="N111" s="4"/>
      <c r="O111" s="4"/>
      <c r="P111" s="4"/>
      <c r="Q111" s="4"/>
      <c r="R111" s="4"/>
      <c r="S111" s="4"/>
    </row>
    <row r="119" customFormat="false" ht="12.8" hidden="false" customHeight="false" outlineLevel="0" collapsed="false">
      <c r="B119" s="0" t="s">
        <v>92</v>
      </c>
      <c r="C119" s="0" t="s">
        <v>93</v>
      </c>
    </row>
    <row r="120" customFormat="false" ht="12.8" hidden="false" customHeight="false" outlineLevel="0" collapsed="false">
      <c r="B120" s="0" t="s">
        <v>94</v>
      </c>
      <c r="C120" s="14" t="s">
        <v>95</v>
      </c>
    </row>
    <row r="121" customFormat="false" ht="12.8" hidden="false" customHeight="false" outlineLevel="0" collapsed="false">
      <c r="B121" s="0" t="s">
        <v>96</v>
      </c>
      <c r="C121" s="14" t="s">
        <v>97</v>
      </c>
    </row>
    <row r="122" customFormat="false" ht="12.8" hidden="false" customHeight="false" outlineLevel="0" collapsed="false">
      <c r="C122" s="0" t="s">
        <v>98</v>
      </c>
    </row>
    <row r="124" customFormat="false" ht="12.8" hidden="false" customHeight="false" outlineLevel="0" collapsed="false">
      <c r="B124" s="15" t="s">
        <v>99</v>
      </c>
      <c r="C124" s="15" t="s">
        <v>100</v>
      </c>
    </row>
    <row r="125" customFormat="false" ht="12.8" hidden="false" customHeight="false" outlineLevel="0" collapsed="false">
      <c r="B125" s="15" t="s">
        <v>99</v>
      </c>
      <c r="C125" s="15" t="s">
        <v>101</v>
      </c>
    </row>
    <row r="126" customFormat="false" ht="12.8" hidden="false" customHeight="false" outlineLevel="0" collapsed="false">
      <c r="B126" s="15" t="s">
        <v>99</v>
      </c>
      <c r="C126" s="15" t="s">
        <v>102</v>
      </c>
    </row>
    <row r="127" customFormat="false" ht="12.8" hidden="false" customHeight="false" outlineLevel="0" collapsed="false">
      <c r="B127" s="15" t="s">
        <v>99</v>
      </c>
      <c r="C127" s="15" t="s">
        <v>103</v>
      </c>
    </row>
    <row r="128" customFormat="false" ht="12.8" hidden="false" customHeight="false" outlineLevel="0" collapsed="false">
      <c r="B128" s="15" t="s">
        <v>99</v>
      </c>
      <c r="C128" s="15" t="s">
        <v>104</v>
      </c>
    </row>
    <row r="129" customFormat="false" ht="12.8" hidden="false" customHeight="false" outlineLevel="0" collapsed="false">
      <c r="B129" s="15" t="s">
        <v>99</v>
      </c>
      <c r="C129" s="15" t="s">
        <v>105</v>
      </c>
    </row>
    <row r="130" customFormat="false" ht="12.8" hidden="false" customHeight="false" outlineLevel="0" collapsed="false">
      <c r="B130" s="15" t="s">
        <v>99</v>
      </c>
      <c r="C130" s="15" t="s">
        <v>106</v>
      </c>
    </row>
    <row r="131" customFormat="false" ht="12.8" hidden="false" customHeight="false" outlineLevel="0" collapsed="false">
      <c r="B131" s="15" t="s">
        <v>99</v>
      </c>
      <c r="C131" s="15" t="s">
        <v>107</v>
      </c>
    </row>
    <row r="132" customFormat="false" ht="12.8" hidden="false" customHeight="false" outlineLevel="0" collapsed="false">
      <c r="B132" s="15" t="s">
        <v>99</v>
      </c>
      <c r="C132" s="15" t="s">
        <v>108</v>
      </c>
    </row>
    <row r="133" customFormat="false" ht="12.8" hidden="false" customHeight="false" outlineLevel="0" collapsed="false">
      <c r="B133" s="15" t="s">
        <v>99</v>
      </c>
      <c r="C133" s="15" t="s">
        <v>109</v>
      </c>
    </row>
    <row r="134" customFormat="false" ht="12.8" hidden="false" customHeight="false" outlineLevel="0" collapsed="false">
      <c r="B134" s="15" t="s">
        <v>99</v>
      </c>
      <c r="C134" s="15" t="s">
        <v>110</v>
      </c>
    </row>
    <row r="135" customFormat="false" ht="12.8" hidden="false" customHeight="false" outlineLevel="0" collapsed="false">
      <c r="B135" s="15" t="s">
        <v>99</v>
      </c>
      <c r="C135" s="15" t="s">
        <v>111</v>
      </c>
    </row>
    <row r="136" customFormat="false" ht="12.8" hidden="false" customHeight="false" outlineLevel="0" collapsed="false">
      <c r="B136" s="15" t="s">
        <v>99</v>
      </c>
      <c r="C136" s="15" t="s">
        <v>112</v>
      </c>
    </row>
    <row r="137" customFormat="false" ht="12.8" hidden="false" customHeight="false" outlineLevel="0" collapsed="false">
      <c r="B137" s="15" t="s">
        <v>99</v>
      </c>
      <c r="C137" s="15" t="s">
        <v>113</v>
      </c>
    </row>
    <row r="138" customFormat="false" ht="12.8" hidden="false" customHeight="false" outlineLevel="0" collapsed="false">
      <c r="B138" s="15" t="s">
        <v>99</v>
      </c>
      <c r="C138" s="15" t="s">
        <v>114</v>
      </c>
    </row>
    <row r="139" customFormat="false" ht="12.8" hidden="false" customHeight="false" outlineLevel="0" collapsed="false">
      <c r="B139" s="15" t="s">
        <v>99</v>
      </c>
      <c r="C139" s="14" t="s">
        <v>115</v>
      </c>
    </row>
    <row r="140" customFormat="false" ht="13.4" hidden="false" customHeight="false" outlineLevel="0" collapsed="false">
      <c r="C140" s="14" t="s">
        <v>116</v>
      </c>
    </row>
    <row r="141" customFormat="false" ht="12.8" hidden="false" customHeight="false" outlineLevel="0" collapsed="false">
      <c r="C141" s="0" t="s">
        <v>117</v>
      </c>
    </row>
    <row r="142" customFormat="false" ht="12.8" hidden="false" customHeight="false" outlineLevel="0" collapsed="false">
      <c r="C142" s="0" t="s">
        <v>118</v>
      </c>
    </row>
    <row r="143" customFormat="false" ht="12.8" hidden="false" customHeight="false" outlineLevel="0" collapsed="false">
      <c r="C143" s="0" t="s">
        <v>119</v>
      </c>
    </row>
    <row r="145" customFormat="false" ht="12.8" hidden="false" customHeight="false" outlineLevel="0" collapsed="false">
      <c r="B145" s="0" t="s">
        <v>120</v>
      </c>
      <c r="C145" s="14" t="s">
        <v>121</v>
      </c>
    </row>
    <row r="146" customFormat="false" ht="12.8" hidden="false" customHeight="false" outlineLevel="0" collapsed="false">
      <c r="C146" s="14" t="s">
        <v>122</v>
      </c>
    </row>
    <row r="147" customFormat="false" ht="12.8" hidden="false" customHeight="false" outlineLevel="0" collapsed="false">
      <c r="C147" s="14" t="s">
        <v>123</v>
      </c>
    </row>
    <row r="148" customFormat="false" ht="12.8" hidden="false" customHeight="false" outlineLevel="0" collapsed="false">
      <c r="C148" s="14" t="s">
        <v>124</v>
      </c>
    </row>
    <row r="149" customFormat="false" ht="12.8" hidden="false" customHeight="false" outlineLevel="0" collapsed="false">
      <c r="C149" s="14" t="s">
        <v>125</v>
      </c>
    </row>
    <row r="151" customFormat="false" ht="12.8" hidden="false" customHeight="false" outlineLevel="0" collapsed="false">
      <c r="C151" s="14" t="s">
        <v>126</v>
      </c>
    </row>
    <row r="152" customFormat="false" ht="12.8" hidden="false" customHeight="false" outlineLevel="0" collapsed="false">
      <c r="C152" s="14" t="s">
        <v>127</v>
      </c>
    </row>
    <row r="154" customFormat="false" ht="12.8" hidden="false" customHeight="false" outlineLevel="0" collapsed="false">
      <c r="B154" s="0" t="s">
        <v>128</v>
      </c>
      <c r="C154" s="0" t="s">
        <v>129</v>
      </c>
    </row>
    <row r="155" customFormat="false" ht="12.8" hidden="false" customHeight="false" outlineLevel="0" collapsed="false">
      <c r="C155" s="0" t="s">
        <v>130</v>
      </c>
    </row>
  </sheetData>
  <mergeCells count="7">
    <mergeCell ref="F2:H2"/>
    <mergeCell ref="I2:K2"/>
    <mergeCell ref="M2:O2"/>
    <mergeCell ref="Q2:S2"/>
    <mergeCell ref="B3:C3"/>
    <mergeCell ref="B27:C27"/>
    <mergeCell ref="B55:C55"/>
  </mergeCells>
  <hyperlinks>
    <hyperlink ref="C5" r:id="rId1" display="Nurses (Enfermeiro) (fonte)"/>
    <hyperlink ref="C6" r:id="rId2" display="Nurse technologists (técnico / auxiliar de enfermagem) (fonte)"/>
    <hyperlink ref="C8" r:id="rId3" display="Dentist (Dentista) (fonte)"/>
    <hyperlink ref="C9" r:id="rId4" display="Dental technician (Técnico em saúde bucal) (fonte)"/>
    <hyperlink ref="C21" r:id="rId5" display="Speech therapist and Audiologist (Fonoaudiologista) (Fonte)"/>
    <hyperlink ref="C52" r:id="rId6" display="Radiology technologists (Tecnico em radiologia) (fonte)"/>
    <hyperlink ref="C120" r:id="rId7" display="NHS sugere a retirada : https://www.nhs.uk/conditions/homeopathy/"/>
    <hyperlink ref="C121" r:id="rId8" display="Geralmente não é necessariamente médico: https://www.hopkinsmedicine.org/health/wellness-and-prevention/acupuncture"/>
    <hyperlink ref="C124" r:id="rId9" display="Atualmente 200 mil assistente social (90% mulheres): http://www.cfess.org.br/visualizar/menu/local/perguntas-frequentes"/>
    <hyperlink ref="C125" r:id="rId10" display="Atualmente 160 mil educadores físicos: https://www.guiadacarreira.com.br/profissao/mercado-trabalho-educacao-fisica"/>
    <hyperlink ref="C126" r:id="rId11" display="Atualmente 234 mil farmacêuticos: https://www.cff.org.br/pagina.php?id=801&amp;titulo=Boletins"/>
    <hyperlink ref="C127" r:id="rId12" display="Atualmente 234 mil farmacêuticos: https://doi.org/10.1590/1809-2950/17027025032018"/>
    <hyperlink ref="C129" r:id="rId13" display="Atualmente 158 mil nutricionistas: http://pesquisa.cfn.org.br/"/>
    <hyperlink ref="C130" r:id="rId14" display="Atualmente 428 mil psicólogos: http://www2.cfp.org.br/infografico/quantos-somos/"/>
    <hyperlink ref="C131" r:id="rId15" display="Atualmente 17 mil terapeutas ocupacionais: http://www.conselho.saude.gov.br/ultimas_noticias/2011/13_out_terapeutaocupacional.html"/>
    <hyperlink ref="C132" r:id="rId16" display="Atualmente 670 mil Enfermeiros: http://www.cofen.gov.br/enfermagem-em-numeros "/>
    <hyperlink ref="C133" r:id="rId17" display="Atualmente 1600 mil Técnicos em enfermagem: http://www.cofen.gov.br/enfermagem-em-numeros"/>
    <hyperlink ref="C134" r:id="rId18" display="Atualmente 258 mil agentes comunitários: https://doi.org/10.11606/s1518-8787.2021055003005  "/>
    <hyperlink ref="C135" r:id="rId19" display="Atualmente 380 mil dentistas: https://website.cfo.org.br/estatisticas/quantidade-geral-de-entidades-e-profissionais-ativos/"/>
    <hyperlink ref="C136" r:id="rId20" display="Atualmente 230 mil aux. Dentistas: https://website.cfo.org.br/estatisticas/quantidade-geral-de-entidades-e-profissionais-ativos/"/>
    <hyperlink ref="C137" r:id="rId21" display="Atualmente 40 mil fonoaudiólogos: https://doi.org/10.1590/2317-6431-2015-1665"/>
    <hyperlink ref="C138" r:id="rId22" display="Atualmente 35 mil técnicos em radioloia: https://viacarreira.com/tecnico-em-radiologia/"/>
    <hyperlink ref="C139" r:id="rId23" display="Demografia médica: https://www.fm.usp.br/fmusp/conteudo/DemografiaMedica2020_9DEZ.pdf"/>
    <hyperlink ref="C140" r:id="rId24" display="Problema distrib médica: https://portal.cfm.org.br/noticias/explode-numero-de-medicos-no-brasil-mas-distorcoes-na-distribuicao-dos-profissionais-ainda-e-desafio-para-gestores/"/>
    <hyperlink ref="C145" r:id="rId25" display="PET Scan: https://www.scin.scot.nhs.uk/wp-content/uploads/2017/08/PET-CT-Review-of-Indications-2016-Report-V2-1.pdf"/>
    <hyperlink ref="C146" r:id="rId26" display="MRI: https://www.auntminnie.com/index.aspx?sec=ser&amp;sub=def&amp;pag=dis&amp;ItemID=96465"/>
    <hyperlink ref="C147" r:id="rId27" display="X-Ray: https://www.google.com/url?sa=t&amp;rct=j&amp;q=&amp;esrc=s&amp;source=web&amp;cd=&amp;ved=2ahUKEwim2ta09oD6AhUOqYsKHV_UDrYQFnoECAYQAQ&amp;url=https%3A%2F%2Fapps.who.int%2Firis%2Frest%2Fbitstreams%2F62679%2Fretrieve&amp;usg=AOvVaw2mT-gnRV1sRg_anOo5KsBx"/>
    <hyperlink ref="C148" r:id="rId28" display="Equipamentos: http://cnes2.datasus.gov.br/Mod_Ind_Equipamento.asp?VEstado=00"/>
    <hyperlink ref="C149" r:id="rId29" display="Leitos: http://cnes2.datasus.gov.br/Mod_Ind_Tipo_Leito.asp?VEstado=00"/>
    <hyperlink ref="C151" r:id="rId30" display="The healthcare system: https://www.eu-healthcare.fi/health-services-abroad/country-specific-information-about-health-services/brazil/"/>
    <hyperlink ref="C152" r:id="rId31" display="Location: https://ec.europa.eu/eurostat/web/nuts/backgrou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44"/>
  <sheetViews>
    <sheetView showFormulas="false" showGridLines="true" showRowColHeaders="true" showZeros="true" rightToLeft="false" tabSelected="false" showOutlineSymbols="true" defaultGridColor="true" view="normal" topLeftCell="A3" colorId="64" zoomScale="160" zoomScaleNormal="160" zoomScalePageLayoutView="100" workbookViewId="0">
      <selection pane="topLeft" activeCell="F41" activeCellId="0" sqref="F4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5.14"/>
    <col collapsed="false" customWidth="true" hidden="false" outlineLevel="0" max="4" min="4" style="0" width="76.18"/>
  </cols>
  <sheetData>
    <row r="2" customFormat="false" ht="12.8" hidden="false" customHeight="false" outlineLevel="0" collapsed="false">
      <c r="B2" s="0" t="n">
        <v>1</v>
      </c>
      <c r="C2" s="0" t="n">
        <v>14.1</v>
      </c>
      <c r="D2" s="0" t="s">
        <v>26</v>
      </c>
      <c r="E2" s="0" t="n">
        <v>1.81</v>
      </c>
    </row>
    <row r="3" customFormat="false" ht="12.8" hidden="false" customHeight="false" outlineLevel="0" collapsed="false">
      <c r="B3" s="0" t="n">
        <v>2</v>
      </c>
      <c r="C3" s="0" t="n">
        <v>40.3</v>
      </c>
      <c r="D3" s="0" t="s">
        <v>65</v>
      </c>
      <c r="E3" s="0" t="n">
        <v>0.91</v>
      </c>
    </row>
    <row r="4" customFormat="false" ht="12.8" hidden="false" customHeight="false" outlineLevel="0" collapsed="false">
      <c r="B4" s="0" t="n">
        <v>3</v>
      </c>
      <c r="C4" s="0" t="n">
        <v>49.3</v>
      </c>
      <c r="D4" s="0" t="s">
        <v>74</v>
      </c>
      <c r="E4" s="0" t="n">
        <v>12.13</v>
      </c>
    </row>
    <row r="5" customFormat="false" ht="12.8" hidden="false" customHeight="false" outlineLevel="0" collapsed="false">
      <c r="B5" s="0" t="n">
        <v>4</v>
      </c>
      <c r="C5" s="0" t="n">
        <v>38.3</v>
      </c>
      <c r="D5" s="0" t="s">
        <v>63</v>
      </c>
      <c r="E5" s="0" t="n">
        <f aca="false">0.8+2.33</f>
        <v>3.13</v>
      </c>
    </row>
    <row r="6" customFormat="false" ht="12.8" hidden="false" customHeight="false" outlineLevel="0" collapsed="false">
      <c r="B6" s="0" t="n">
        <v>5</v>
      </c>
      <c r="C6" s="0" t="n">
        <v>24.2</v>
      </c>
      <c r="D6" s="0" t="s">
        <v>37</v>
      </c>
      <c r="E6" s="0" t="n">
        <v>8.47</v>
      </c>
    </row>
    <row r="7" customFormat="false" ht="12.8" hidden="false" customHeight="false" outlineLevel="0" collapsed="false">
      <c r="B7" s="0" t="n">
        <v>6</v>
      </c>
      <c r="C7" s="0" t="n">
        <v>53.3</v>
      </c>
      <c r="D7" s="0" t="s">
        <v>78</v>
      </c>
      <c r="E7" s="0" t="n">
        <v>1.15</v>
      </c>
    </row>
    <row r="8" customFormat="false" ht="12.8" hidden="false" customHeight="false" outlineLevel="0" collapsed="false">
      <c r="B8" s="0" t="n">
        <v>7</v>
      </c>
      <c r="C8" s="0" t="n">
        <v>30.2</v>
      </c>
      <c r="D8" s="0" t="s">
        <v>43</v>
      </c>
      <c r="E8" s="0" t="n">
        <v>4.61</v>
      </c>
    </row>
    <row r="9" customFormat="false" ht="12.8" hidden="false" customHeight="false" outlineLevel="0" collapsed="false">
      <c r="B9" s="0" t="n">
        <v>8</v>
      </c>
      <c r="C9" s="0" t="n">
        <v>50.3</v>
      </c>
      <c r="D9" s="0" t="s">
        <v>75</v>
      </c>
      <c r="E9" s="0" t="n">
        <v>1.54</v>
      </c>
    </row>
    <row r="10" customFormat="false" ht="12.8" hidden="false" customHeight="false" outlineLevel="0" collapsed="false">
      <c r="B10" s="0" t="n">
        <v>9</v>
      </c>
      <c r="C10" s="0" t="n">
        <v>25.2</v>
      </c>
      <c r="D10" s="0" t="s">
        <v>38</v>
      </c>
      <c r="E10" s="0" t="n">
        <f aca="false">2.8</f>
        <v>2.8</v>
      </c>
    </row>
    <row r="11" customFormat="false" ht="12.8" hidden="false" customHeight="false" outlineLevel="0" collapsed="false">
      <c r="B11" s="0" t="n">
        <v>10</v>
      </c>
      <c r="C11" s="0" t="n">
        <v>39.3</v>
      </c>
      <c r="D11" s="0" t="s">
        <v>131</v>
      </c>
      <c r="E11" s="0" t="n">
        <f aca="false">2.56+1.03 + 1.78</f>
        <v>5.37</v>
      </c>
    </row>
    <row r="12" customFormat="false" ht="12.8" hidden="false" customHeight="false" outlineLevel="0" collapsed="false">
      <c r="B12" s="0" t="n">
        <v>11</v>
      </c>
      <c r="C12" s="0" t="n">
        <v>23.2</v>
      </c>
      <c r="D12" s="0" t="s">
        <v>36</v>
      </c>
      <c r="E12" s="0" t="n">
        <v>18.36</v>
      </c>
    </row>
    <row r="13" customFormat="false" ht="12.8" hidden="false" customHeight="false" outlineLevel="0" collapsed="false">
      <c r="B13" s="0" t="n">
        <v>12</v>
      </c>
      <c r="C13" s="0" t="n">
        <v>1.1</v>
      </c>
      <c r="D13" s="0" t="s">
        <v>14</v>
      </c>
      <c r="E13" s="0" t="n">
        <f aca="false">23.32+3.4+0.91</f>
        <v>27.63</v>
      </c>
    </row>
    <row r="14" customFormat="false" ht="12.8" hidden="false" customHeight="false" outlineLevel="0" collapsed="false">
      <c r="B14" s="0" t="n">
        <v>13</v>
      </c>
      <c r="C14" s="0" t="n">
        <v>10.1</v>
      </c>
      <c r="D14" s="0" t="s">
        <v>23</v>
      </c>
      <c r="E14" s="0" t="n">
        <v>1.02</v>
      </c>
    </row>
    <row r="15" customFormat="false" ht="12.8" hidden="false" customHeight="false" outlineLevel="0" collapsed="false">
      <c r="B15" s="0" t="n">
        <v>14</v>
      </c>
      <c r="C15" s="0" t="n">
        <v>7.1</v>
      </c>
      <c r="D15" s="0" t="s">
        <v>20</v>
      </c>
      <c r="E15" s="0" t="n">
        <v>15.85</v>
      </c>
    </row>
    <row r="16" customFormat="false" ht="12.8" hidden="false" customHeight="false" outlineLevel="0" collapsed="false">
      <c r="B16" s="0" t="n">
        <v>15</v>
      </c>
      <c r="C16" s="0" t="n">
        <v>51.3</v>
      </c>
      <c r="D16" s="0" t="s">
        <v>76</v>
      </c>
      <c r="E16" s="0" t="n">
        <v>0.57</v>
      </c>
    </row>
    <row r="17" customFormat="false" ht="12.8" hidden="false" customHeight="false" outlineLevel="0" collapsed="false">
      <c r="B17" s="0" t="n">
        <v>16</v>
      </c>
      <c r="C17" s="0" t="n">
        <v>43.3</v>
      </c>
      <c r="D17" s="0" t="s">
        <v>68</v>
      </c>
      <c r="E17" s="0" t="n">
        <v>1.4</v>
      </c>
    </row>
    <row r="18" customFormat="false" ht="12.8" hidden="false" customHeight="false" outlineLevel="0" collapsed="false">
      <c r="B18" s="0" t="n">
        <v>17</v>
      </c>
      <c r="C18" s="0" t="n">
        <v>13.1</v>
      </c>
      <c r="D18" s="0" t="s">
        <v>25</v>
      </c>
      <c r="E18" s="0" t="n">
        <v>1.3</v>
      </c>
    </row>
    <row r="19" customFormat="false" ht="12.8" hidden="false" customHeight="false" outlineLevel="0" collapsed="false">
      <c r="B19" s="0" t="n">
        <v>18</v>
      </c>
      <c r="C19" s="0" t="n">
        <v>44.3</v>
      </c>
      <c r="D19" s="0" t="s">
        <v>69</v>
      </c>
      <c r="E19" s="0" t="n">
        <v>1.95</v>
      </c>
    </row>
    <row r="20" customFormat="false" ht="12.8" hidden="false" customHeight="false" outlineLevel="0" collapsed="false">
      <c r="B20" s="0" t="n">
        <v>19</v>
      </c>
      <c r="C20" s="0" t="n">
        <v>48.3</v>
      </c>
      <c r="D20" s="0" t="s">
        <v>73</v>
      </c>
      <c r="E20" s="0" t="n">
        <v>3.39</v>
      </c>
    </row>
    <row r="21" customFormat="false" ht="12.8" hidden="false" customHeight="false" outlineLevel="0" collapsed="false">
      <c r="B21" s="0" t="n">
        <v>20</v>
      </c>
      <c r="C21" s="0" t="n">
        <v>11.1</v>
      </c>
      <c r="D21" s="0" t="s">
        <v>132</v>
      </c>
      <c r="E21" s="0" t="n">
        <f aca="false">9.42+2.91+0.43+0.46</f>
        <v>13.22</v>
      </c>
    </row>
    <row r="22" customFormat="false" ht="12.8" hidden="false" customHeight="false" outlineLevel="0" collapsed="false">
      <c r="B22" s="0" t="n">
        <v>21</v>
      </c>
      <c r="C22" s="0" t="n">
        <v>45.3</v>
      </c>
      <c r="D22" s="0" t="s">
        <v>70</v>
      </c>
      <c r="E22" s="0" t="n">
        <v>1.19</v>
      </c>
    </row>
    <row r="23" customFormat="false" ht="12.8" hidden="false" customHeight="false" outlineLevel="0" collapsed="false">
      <c r="B23" s="0" t="n">
        <v>22</v>
      </c>
      <c r="C23" s="0" t="n">
        <v>26.2</v>
      </c>
      <c r="D23" s="0" t="s">
        <v>39</v>
      </c>
      <c r="E23" s="0" t="n">
        <v>2.33</v>
      </c>
    </row>
    <row r="24" customFormat="false" ht="12.8" hidden="false" customHeight="false" outlineLevel="0" collapsed="false">
      <c r="B24" s="0" t="n">
        <v>23</v>
      </c>
      <c r="C24" s="0" t="n">
        <v>27.2</v>
      </c>
      <c r="D24" s="0" t="s">
        <v>133</v>
      </c>
      <c r="E24" s="0" t="n">
        <f aca="false">2.75+1.75</f>
        <v>4.5</v>
      </c>
    </row>
    <row r="25" customFormat="false" ht="12.8" hidden="false" customHeight="false" outlineLevel="0" collapsed="false">
      <c r="B25" s="0" t="n">
        <v>24</v>
      </c>
      <c r="C25" s="0" t="n">
        <v>46.3</v>
      </c>
      <c r="D25" s="0" t="s">
        <v>71</v>
      </c>
      <c r="E25" s="0" t="n">
        <v>0.48</v>
      </c>
    </row>
    <row r="26" customFormat="false" ht="12.8" hidden="false" customHeight="false" outlineLevel="0" collapsed="false">
      <c r="B26" s="0" t="n">
        <v>25</v>
      </c>
      <c r="C26" s="0" t="n">
        <v>20.1</v>
      </c>
      <c r="D26" s="0" t="s">
        <v>32</v>
      </c>
      <c r="E26" s="0" t="n">
        <f aca="false">0.84</f>
        <v>0.84</v>
      </c>
    </row>
    <row r="27" customFormat="false" ht="12.8" hidden="false" customHeight="false" outlineLevel="0" collapsed="false">
      <c r="B27" s="0" t="n">
        <v>26</v>
      </c>
      <c r="C27" s="0" t="n">
        <v>47.3</v>
      </c>
      <c r="D27" s="0" t="s">
        <v>134</v>
      </c>
      <c r="E27" s="0" t="n">
        <f aca="false">0.69+1.93</f>
        <v>2.62</v>
      </c>
    </row>
    <row r="28" customFormat="false" ht="12.8" hidden="false" customHeight="false" outlineLevel="0" collapsed="false">
      <c r="B28" s="0" t="n">
        <v>27</v>
      </c>
      <c r="C28" s="0" t="n">
        <v>28.2</v>
      </c>
      <c r="D28" s="0" t="s">
        <v>41</v>
      </c>
      <c r="E28" s="0" t="n">
        <v>7.39</v>
      </c>
    </row>
    <row r="29" customFormat="false" ht="12.8" hidden="false" customHeight="false" outlineLevel="0" collapsed="false">
      <c r="B29" s="0" t="n">
        <v>28</v>
      </c>
      <c r="C29" s="0" t="n">
        <v>34.2</v>
      </c>
      <c r="D29" s="0" t="s">
        <v>47</v>
      </c>
      <c r="E29" s="0" t="n">
        <v>8.52</v>
      </c>
    </row>
    <row r="30" customFormat="false" ht="12.8" hidden="false" customHeight="false" outlineLevel="0" collapsed="false">
      <c r="B30" s="0" t="n">
        <v>29</v>
      </c>
      <c r="C30" s="0" t="n">
        <v>29.2</v>
      </c>
      <c r="D30" s="0" t="s">
        <v>42</v>
      </c>
      <c r="E30" s="0" t="n">
        <v>3.42</v>
      </c>
    </row>
    <row r="31" customFormat="false" ht="12.8" hidden="false" customHeight="false" outlineLevel="0" collapsed="false">
      <c r="B31" s="0" t="n">
        <v>30</v>
      </c>
      <c r="C31" s="0" t="n">
        <v>8.1</v>
      </c>
      <c r="D31" s="0" t="s">
        <v>21</v>
      </c>
      <c r="E31" s="0" t="n">
        <v>20.79</v>
      </c>
    </row>
    <row r="32" customFormat="false" ht="12.8" hidden="false" customHeight="false" outlineLevel="0" collapsed="false">
      <c r="B32" s="0" t="n">
        <v>31</v>
      </c>
      <c r="C32" s="0" t="n">
        <v>41.3</v>
      </c>
      <c r="D32" s="0" t="s">
        <v>66</v>
      </c>
      <c r="E32" s="0" t="n">
        <f aca="false">0.72</f>
        <v>0.72</v>
      </c>
    </row>
    <row r="33" customFormat="false" ht="12.8" hidden="false" customHeight="false" outlineLevel="0" collapsed="false">
      <c r="B33" s="0" t="n">
        <v>32</v>
      </c>
      <c r="C33" s="0" t="n">
        <v>42.3</v>
      </c>
      <c r="D33" s="0" t="s">
        <v>67</v>
      </c>
      <c r="E33" s="0" t="n">
        <f aca="false">3.37</f>
        <v>3.37</v>
      </c>
    </row>
    <row r="34" customFormat="false" ht="12.8" hidden="false" customHeight="false" outlineLevel="0" collapsed="false">
      <c r="B34" s="0" t="n">
        <v>33</v>
      </c>
      <c r="C34" s="0" t="n">
        <v>9.1</v>
      </c>
      <c r="D34" s="0" t="s">
        <v>22</v>
      </c>
      <c r="E34" s="0" t="n">
        <v>5.7</v>
      </c>
    </row>
    <row r="35" customFormat="false" ht="12.8" hidden="false" customHeight="false" outlineLevel="0" collapsed="false">
      <c r="B35" s="0" t="n">
        <v>34</v>
      </c>
      <c r="C35" s="0" t="n">
        <v>31.2</v>
      </c>
      <c r="D35" s="0" t="s">
        <v>44</v>
      </c>
      <c r="E35" s="0" t="n">
        <v>1.74</v>
      </c>
    </row>
    <row r="36" customFormat="false" ht="12.8" hidden="false" customHeight="false" outlineLevel="0" collapsed="false">
      <c r="B36" s="0" t="n">
        <v>35</v>
      </c>
      <c r="C36" s="0" t="n">
        <v>35.2</v>
      </c>
      <c r="D36" s="0" t="s">
        <v>135</v>
      </c>
      <c r="E36" s="0" t="n">
        <f aca="false">6.77+0.42</f>
        <v>7.19</v>
      </c>
    </row>
    <row r="37" customFormat="false" ht="12.8" hidden="false" customHeight="false" outlineLevel="0" collapsed="false">
      <c r="B37" s="0" t="n">
        <v>36</v>
      </c>
      <c r="C37" s="0" t="n">
        <v>32.2</v>
      </c>
      <c r="D37" s="0" t="s">
        <v>45</v>
      </c>
      <c r="E37" s="0" t="n">
        <v>1.3</v>
      </c>
    </row>
    <row r="38" customFormat="false" ht="12.8" hidden="false" customHeight="false" outlineLevel="0" collapsed="false">
      <c r="B38" s="0" t="n">
        <v>37</v>
      </c>
      <c r="C38" s="0" t="n">
        <v>52.3</v>
      </c>
      <c r="D38" s="0" t="s">
        <v>77</v>
      </c>
      <c r="E38" s="0" t="n">
        <v>0.53</v>
      </c>
    </row>
    <row r="39" customFormat="false" ht="12.8" hidden="false" customHeight="false" outlineLevel="0" collapsed="false">
      <c r="B39" s="0" t="n">
        <v>38</v>
      </c>
      <c r="C39" s="0" t="n">
        <v>33.2</v>
      </c>
      <c r="D39" s="0" t="s">
        <v>46</v>
      </c>
      <c r="E39" s="0" t="n">
        <v>2.82</v>
      </c>
    </row>
    <row r="41" customFormat="false" ht="12.8" hidden="false" customHeight="false" outlineLevel="0" collapsed="false">
      <c r="D41" s="0" t="s">
        <v>136</v>
      </c>
      <c r="E41" s="0" t="n">
        <v>502475</v>
      </c>
    </row>
    <row r="42" customFormat="false" ht="12.8" hidden="false" customHeight="false" outlineLevel="0" collapsed="false">
      <c r="D42" s="0" t="s">
        <v>137</v>
      </c>
      <c r="E42" s="0" t="n">
        <f aca="false">212000000</f>
        <v>212000000</v>
      </c>
    </row>
    <row r="43" customFormat="false" ht="12.8" hidden="false" customHeight="false" outlineLevel="0" collapsed="false">
      <c r="D43" s="0" t="s">
        <v>138</v>
      </c>
      <c r="E43" s="16" t="n">
        <f aca="false">(E41/E42)*100000</f>
        <v>237.016509433962</v>
      </c>
      <c r="F43" s="16"/>
    </row>
    <row r="44" customFormat="false" ht="12.8" hidden="false" customHeight="false" outlineLevel="0" collapsed="false">
      <c r="D44" s="0" t="s">
        <v>139</v>
      </c>
      <c r="E44" s="17" t="n">
        <f aca="false">E43/100</f>
        <v>2.37016509433962</v>
      </c>
      <c r="F44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7" activeCellId="0" sqref="C7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5.38"/>
    <col collapsed="false" customWidth="true" hidden="false" outlineLevel="0" max="3" min="3" style="0" width="42.07"/>
    <col collapsed="false" customWidth="true" hidden="false" outlineLevel="0" max="4" min="4" style="0" width="29.87"/>
  </cols>
  <sheetData>
    <row r="2" customFormat="false" ht="12.8" hidden="false" customHeight="false" outlineLevel="0" collapsed="false">
      <c r="C2" s="0" t="s">
        <v>140</v>
      </c>
      <c r="D2" s="0" t="s">
        <v>141</v>
      </c>
    </row>
    <row r="3" customFormat="false" ht="12.8" hidden="false" customHeight="false" outlineLevel="0" collapsed="false">
      <c r="B3" s="0" t="s">
        <v>142</v>
      </c>
      <c r="C3" s="0" t="n">
        <v>30</v>
      </c>
      <c r="D3" s="0" t="n">
        <v>50</v>
      </c>
    </row>
    <row r="4" customFormat="false" ht="12.8" hidden="false" customHeight="false" outlineLevel="0" collapsed="false">
      <c r="B4" s="0" t="s">
        <v>143</v>
      </c>
      <c r="C4" s="0" t="n">
        <v>0.45</v>
      </c>
      <c r="D4" s="0" t="n">
        <v>0.55</v>
      </c>
      <c r="F4" s="0" t="s">
        <v>144</v>
      </c>
    </row>
    <row r="5" customFormat="false" ht="12.8" hidden="false" customHeight="false" outlineLevel="0" collapsed="false">
      <c r="B5" s="0" t="s">
        <v>145</v>
      </c>
      <c r="C5" s="18" t="n">
        <f aca="false">'WHO-Requirements'!U38</f>
        <v>1.19</v>
      </c>
      <c r="D5" s="18" t="n">
        <f aca="false">'WHO-Requirements'!U39</f>
        <v>0.81</v>
      </c>
      <c r="F5" s="0" t="s">
        <v>146</v>
      </c>
    </row>
    <row r="7" customFormat="false" ht="12.8" hidden="false" customHeight="false" outlineLevel="0" collapsed="false">
      <c r="B7" s="0" t="s">
        <v>147</v>
      </c>
      <c r="C7" s="19" t="n">
        <f aca="false">(1000*(C3*C4))/C5</f>
        <v>11344.5378151261</v>
      </c>
      <c r="D7" s="19" t="n">
        <f aca="false">(1000*(D3*D4))/D5</f>
        <v>33950.6172839506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19"/>
  <sheetViews>
    <sheetView showFormulas="false" showGridLines="true" showRowColHeaders="true" showZeros="true" rightToLeft="false" tabSelected="false" showOutlineSymbols="true" defaultGridColor="true" view="normal" topLeftCell="A199" colorId="64" zoomScale="160" zoomScaleNormal="160" zoomScalePageLayoutView="100" workbookViewId="0">
      <selection pane="topLeft" activeCell="C216" activeCellId="0" sqref="C21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02"/>
    <col collapsed="false" customWidth="true" hidden="false" outlineLevel="0" max="3" min="3" style="0" width="69.05"/>
    <col collapsed="false" customWidth="true" hidden="false" outlineLevel="0" max="4" min="4" style="0" width="10.18"/>
    <col collapsed="false" customWidth="true" hidden="false" outlineLevel="0" max="5" min="5" style="0" width="8.1"/>
    <col collapsed="false" customWidth="true" hidden="false" outlineLevel="0" max="6" min="6" style="0" width="10.18"/>
    <col collapsed="false" customWidth="true" hidden="false" outlineLevel="0" max="7" min="7" style="0" width="9.03"/>
  </cols>
  <sheetData>
    <row r="2" s="6" customFormat="true" ht="23.85" hidden="false" customHeight="false" outlineLevel="0" collapsed="false">
      <c r="B2" s="6" t="s">
        <v>148</v>
      </c>
      <c r="C2" s="6" t="s">
        <v>149</v>
      </c>
      <c r="D2" s="6" t="s">
        <v>150</v>
      </c>
      <c r="E2" s="6" t="s">
        <v>151</v>
      </c>
      <c r="F2" s="20" t="s">
        <v>152</v>
      </c>
      <c r="G2" s="20" t="s">
        <v>153</v>
      </c>
    </row>
    <row r="3" customFormat="false" ht="12.8" hidden="false" customHeight="false" outlineLevel="0" collapsed="false">
      <c r="B3" s="21" t="s">
        <v>154</v>
      </c>
      <c r="C3" s="21"/>
      <c r="D3" s="21"/>
      <c r="E3" s="21"/>
    </row>
    <row r="4" customFormat="false" ht="12.8" hidden="false" customHeight="false" outlineLevel="0" collapsed="false">
      <c r="B4" s="0" t="n">
        <v>87</v>
      </c>
      <c r="C4" s="0" t="s">
        <v>155</v>
      </c>
      <c r="D4" s="0" t="n">
        <v>2005</v>
      </c>
      <c r="E4" s="0" t="n">
        <v>1911</v>
      </c>
      <c r="F4" s="0" t="n">
        <v>1088</v>
      </c>
      <c r="G4" s="0" t="n">
        <v>1025</v>
      </c>
    </row>
    <row r="5" customFormat="false" ht="12.8" hidden="false" customHeight="false" outlineLevel="0" collapsed="false">
      <c r="B5" s="0" t="n">
        <v>88</v>
      </c>
      <c r="C5" s="0" t="s">
        <v>156</v>
      </c>
      <c r="D5" s="0" t="n">
        <v>1351</v>
      </c>
      <c r="E5" s="0" t="n">
        <v>1291</v>
      </c>
      <c r="F5" s="0" t="n">
        <v>649</v>
      </c>
      <c r="G5" s="0" t="n">
        <v>615</v>
      </c>
    </row>
    <row r="6" customFormat="false" ht="12.8" hidden="false" customHeight="false" outlineLevel="0" collapsed="false">
      <c r="B6" s="0" t="n">
        <v>89</v>
      </c>
      <c r="C6" s="0" t="s">
        <v>157</v>
      </c>
      <c r="D6" s="0" t="n">
        <v>854</v>
      </c>
      <c r="E6" s="0" t="n">
        <v>816</v>
      </c>
      <c r="F6" s="0" t="n">
        <v>400</v>
      </c>
      <c r="G6" s="0" t="n">
        <v>378</v>
      </c>
    </row>
    <row r="7" customFormat="false" ht="12.8" hidden="false" customHeight="false" outlineLevel="0" collapsed="false">
      <c r="B7" s="0" t="n">
        <v>90</v>
      </c>
      <c r="C7" s="0" t="s">
        <v>158</v>
      </c>
      <c r="D7" s="0" t="n">
        <v>670</v>
      </c>
      <c r="E7" s="0" t="n">
        <v>642</v>
      </c>
      <c r="F7" s="0" t="n">
        <v>309</v>
      </c>
      <c r="G7" s="0" t="n">
        <v>289</v>
      </c>
    </row>
    <row r="8" customFormat="false" ht="12.8" hidden="false" customHeight="false" outlineLevel="0" collapsed="false">
      <c r="B8" s="0" t="n">
        <v>91</v>
      </c>
      <c r="C8" s="0" t="s">
        <v>159</v>
      </c>
      <c r="D8" s="0" t="n">
        <v>2800</v>
      </c>
      <c r="E8" s="0" t="n">
        <v>2591</v>
      </c>
      <c r="F8" s="0" t="n">
        <v>741</v>
      </c>
      <c r="G8" s="0" t="n">
        <v>692</v>
      </c>
    </row>
    <row r="9" customFormat="false" ht="12.8" hidden="false" customHeight="false" outlineLevel="0" collapsed="false">
      <c r="B9" s="0" t="n">
        <v>92</v>
      </c>
      <c r="C9" s="0" t="s">
        <v>160</v>
      </c>
      <c r="D9" s="0" t="n">
        <v>3359</v>
      </c>
      <c r="E9" s="0" t="n">
        <v>3201</v>
      </c>
      <c r="F9" s="0" t="n">
        <v>1172</v>
      </c>
      <c r="G9" s="0" t="n">
        <v>1116</v>
      </c>
    </row>
    <row r="10" customFormat="false" ht="12.8" hidden="false" customHeight="false" outlineLevel="0" collapsed="false">
      <c r="B10" s="0" t="n">
        <v>93</v>
      </c>
      <c r="C10" s="0" t="s">
        <v>161</v>
      </c>
      <c r="D10" s="0" t="n">
        <v>1937</v>
      </c>
      <c r="E10" s="0" t="n">
        <v>1858</v>
      </c>
      <c r="F10" s="0" t="n">
        <v>779</v>
      </c>
      <c r="G10" s="0" t="n">
        <v>741</v>
      </c>
    </row>
    <row r="11" customFormat="false" ht="12.8" hidden="false" customHeight="false" outlineLevel="0" collapsed="false">
      <c r="B11" s="0" t="n">
        <v>94</v>
      </c>
      <c r="C11" s="0" t="s">
        <v>162</v>
      </c>
      <c r="D11" s="0" t="n">
        <v>916</v>
      </c>
      <c r="E11" s="0" t="n">
        <v>883</v>
      </c>
      <c r="F11" s="0" t="n">
        <v>446</v>
      </c>
      <c r="G11" s="0" t="n">
        <v>426</v>
      </c>
    </row>
    <row r="12" customFormat="false" ht="12.8" hidden="false" customHeight="false" outlineLevel="0" collapsed="false">
      <c r="B12" s="0" t="n">
        <v>95</v>
      </c>
      <c r="C12" s="0" t="s">
        <v>163</v>
      </c>
      <c r="D12" s="0" t="n">
        <v>4827</v>
      </c>
      <c r="E12" s="0" t="n">
        <v>4556</v>
      </c>
      <c r="F12" s="0" t="n">
        <v>1497</v>
      </c>
      <c r="G12" s="0" t="n">
        <v>1423</v>
      </c>
    </row>
    <row r="13" customFormat="false" ht="12.8" hidden="false" customHeight="false" outlineLevel="0" collapsed="false">
      <c r="B13" s="0" t="n">
        <v>96</v>
      </c>
      <c r="C13" s="0" t="s">
        <v>164</v>
      </c>
      <c r="D13" s="0" t="n">
        <v>976</v>
      </c>
      <c r="E13" s="0" t="n">
        <v>925</v>
      </c>
      <c r="F13" s="0" t="n">
        <v>488</v>
      </c>
      <c r="G13" s="0" t="n">
        <v>459</v>
      </c>
    </row>
    <row r="14" customFormat="false" ht="12.8" hidden="false" customHeight="false" outlineLevel="0" collapsed="false">
      <c r="B14" s="0" t="n">
        <v>97</v>
      </c>
      <c r="C14" s="0" t="s">
        <v>165</v>
      </c>
      <c r="D14" s="0" t="n">
        <v>575</v>
      </c>
      <c r="E14" s="0" t="n">
        <v>558</v>
      </c>
      <c r="F14" s="0" t="n">
        <v>323</v>
      </c>
      <c r="G14" s="0" t="n">
        <v>313</v>
      </c>
    </row>
    <row r="15" customFormat="false" ht="12.8" hidden="false" customHeight="false" outlineLevel="0" collapsed="false">
      <c r="B15" s="0" t="n">
        <v>98</v>
      </c>
      <c r="C15" s="0" t="s">
        <v>166</v>
      </c>
      <c r="D15" s="0" t="n">
        <v>442</v>
      </c>
      <c r="E15" s="0" t="n">
        <v>408</v>
      </c>
      <c r="F15" s="0" t="n">
        <v>259</v>
      </c>
      <c r="G15" s="0" t="n">
        <v>240</v>
      </c>
    </row>
    <row r="16" customFormat="false" ht="12.8" hidden="false" customHeight="false" outlineLevel="0" collapsed="false">
      <c r="B16" s="0" t="n">
        <v>99</v>
      </c>
      <c r="C16" s="0" t="s">
        <v>167</v>
      </c>
      <c r="D16" s="0" t="n">
        <v>764</v>
      </c>
      <c r="E16" s="0" t="n">
        <v>735</v>
      </c>
      <c r="F16" s="0" t="n">
        <v>371</v>
      </c>
      <c r="G16" s="0" t="n">
        <v>364</v>
      </c>
    </row>
    <row r="17" customFormat="false" ht="12.8" hidden="false" customHeight="false" outlineLevel="0" collapsed="false">
      <c r="B17" s="21" t="s">
        <v>168</v>
      </c>
      <c r="C17" s="21"/>
      <c r="D17" s="0" t="n">
        <v>21476</v>
      </c>
      <c r="E17" s="0" t="n">
        <v>20375</v>
      </c>
      <c r="F17" s="0" t="n">
        <v>8522</v>
      </c>
      <c r="G17" s="0" t="n">
        <v>8081</v>
      </c>
    </row>
    <row r="18" customFormat="false" ht="12.8" hidden="false" customHeight="false" outlineLevel="0" collapsed="false">
      <c r="B18" s="21" t="s">
        <v>169</v>
      </c>
      <c r="C18" s="21"/>
      <c r="D18" s="21"/>
      <c r="E18" s="21"/>
    </row>
    <row r="19" customFormat="false" ht="12.8" hidden="false" customHeight="false" outlineLevel="0" collapsed="false">
      <c r="B19" s="0" t="n">
        <v>1</v>
      </c>
      <c r="C19" s="0" t="s">
        <v>170</v>
      </c>
      <c r="D19" s="0" t="n">
        <v>822</v>
      </c>
      <c r="E19" s="0" t="n">
        <v>790</v>
      </c>
      <c r="F19" s="0" t="n">
        <v>434</v>
      </c>
      <c r="G19" s="0" t="n">
        <v>417</v>
      </c>
    </row>
    <row r="20" customFormat="false" ht="12.8" hidden="false" customHeight="false" outlineLevel="0" collapsed="false">
      <c r="B20" s="0" t="n">
        <v>2</v>
      </c>
      <c r="C20" s="0" t="s">
        <v>171</v>
      </c>
      <c r="D20" s="0" t="n">
        <v>4459</v>
      </c>
      <c r="E20" s="0" t="n">
        <v>4270</v>
      </c>
      <c r="F20" s="0" t="n">
        <v>2223</v>
      </c>
      <c r="G20" s="0" t="n">
        <v>2109</v>
      </c>
    </row>
    <row r="21" customFormat="false" ht="12.8" hidden="false" customHeight="false" outlineLevel="0" collapsed="false">
      <c r="B21" s="0" t="n">
        <v>3</v>
      </c>
      <c r="C21" s="0" t="s">
        <v>172</v>
      </c>
      <c r="D21" s="0" t="n">
        <v>978</v>
      </c>
      <c r="E21" s="0" t="n">
        <v>941</v>
      </c>
      <c r="F21" s="0" t="n">
        <v>444</v>
      </c>
      <c r="G21" s="0" t="n">
        <v>417</v>
      </c>
    </row>
    <row r="22" customFormat="false" ht="12.8" hidden="false" customHeight="false" outlineLevel="0" collapsed="false">
      <c r="B22" s="0" t="n">
        <v>4</v>
      </c>
      <c r="C22" s="0" t="s">
        <v>173</v>
      </c>
      <c r="D22" s="0" t="n">
        <v>7810</v>
      </c>
      <c r="E22" s="0" t="n">
        <v>7344</v>
      </c>
      <c r="F22" s="0" t="n">
        <v>3970</v>
      </c>
      <c r="G22" s="0" t="n">
        <v>3697</v>
      </c>
    </row>
    <row r="23" customFormat="false" ht="12.8" hidden="false" customHeight="false" outlineLevel="0" collapsed="false">
      <c r="B23" s="0" t="n">
        <v>5</v>
      </c>
      <c r="C23" s="0" t="s">
        <v>174</v>
      </c>
      <c r="D23" s="0" t="n">
        <v>13790</v>
      </c>
      <c r="E23" s="0" t="n">
        <v>13178</v>
      </c>
      <c r="F23" s="0" t="n">
        <v>8657</v>
      </c>
      <c r="G23" s="0" t="n">
        <v>8231</v>
      </c>
    </row>
    <row r="24" customFormat="false" ht="12.8" hidden="false" customHeight="false" outlineLevel="0" collapsed="false">
      <c r="B24" s="0" t="n">
        <v>6</v>
      </c>
      <c r="C24" s="0" t="s">
        <v>175</v>
      </c>
      <c r="D24" s="0" t="n">
        <v>4642</v>
      </c>
      <c r="E24" s="0" t="n">
        <v>4479</v>
      </c>
      <c r="F24" s="0" t="n">
        <v>2693</v>
      </c>
      <c r="G24" s="0" t="n">
        <v>2599</v>
      </c>
    </row>
    <row r="25" customFormat="false" ht="12.8" hidden="false" customHeight="false" outlineLevel="0" collapsed="false">
      <c r="B25" s="0" t="n">
        <v>7</v>
      </c>
      <c r="C25" s="0" t="s">
        <v>176</v>
      </c>
      <c r="D25" s="0" t="n">
        <v>53014</v>
      </c>
      <c r="E25" s="0" t="n">
        <v>48699</v>
      </c>
      <c r="F25" s="0" t="n">
        <v>10216</v>
      </c>
      <c r="G25" s="0" t="n">
        <v>9411</v>
      </c>
    </row>
    <row r="26" customFormat="false" ht="12.8" hidden="false" customHeight="false" outlineLevel="0" collapsed="false">
      <c r="B26" s="0" t="n">
        <v>8</v>
      </c>
      <c r="C26" s="0" t="s">
        <v>177</v>
      </c>
      <c r="D26" s="0" t="n">
        <v>2019</v>
      </c>
      <c r="E26" s="0" t="n">
        <v>1821</v>
      </c>
      <c r="F26" s="0" t="n">
        <v>1139</v>
      </c>
      <c r="G26" s="0" t="n">
        <v>1068</v>
      </c>
    </row>
    <row r="27" customFormat="false" ht="12.8" hidden="false" customHeight="false" outlineLevel="0" collapsed="false">
      <c r="B27" s="0" t="n">
        <v>9</v>
      </c>
      <c r="C27" s="0" t="s">
        <v>178</v>
      </c>
      <c r="D27" s="0" t="n">
        <v>2598</v>
      </c>
      <c r="E27" s="0" t="n">
        <v>2536</v>
      </c>
      <c r="F27" s="0" t="n">
        <v>960</v>
      </c>
      <c r="G27" s="0" t="n">
        <v>931</v>
      </c>
    </row>
    <row r="28" customFormat="false" ht="12.8" hidden="false" customHeight="false" outlineLevel="0" collapsed="false">
      <c r="B28" s="0" t="n">
        <v>10</v>
      </c>
      <c r="C28" s="0" t="s">
        <v>179</v>
      </c>
      <c r="D28" s="0" t="n">
        <v>1048</v>
      </c>
      <c r="E28" s="0" t="n">
        <v>1009</v>
      </c>
      <c r="F28" s="0" t="n">
        <v>509</v>
      </c>
      <c r="G28" s="0" t="n">
        <v>484</v>
      </c>
    </row>
    <row r="29" customFormat="false" ht="12.8" hidden="false" customHeight="false" outlineLevel="0" collapsed="false">
      <c r="B29" s="0" t="n">
        <v>11</v>
      </c>
      <c r="C29" s="0" t="s">
        <v>180</v>
      </c>
      <c r="D29" s="0" t="n">
        <v>6319</v>
      </c>
      <c r="E29" s="0" t="n">
        <v>6120</v>
      </c>
      <c r="F29" s="0" t="n">
        <v>3118</v>
      </c>
      <c r="G29" s="0" t="n">
        <v>3019</v>
      </c>
    </row>
    <row r="30" customFormat="false" ht="12.8" hidden="false" customHeight="false" outlineLevel="0" collapsed="false">
      <c r="B30" s="0" t="n">
        <v>12</v>
      </c>
      <c r="C30" s="0" t="s">
        <v>181</v>
      </c>
      <c r="D30" s="0" t="n">
        <v>3211</v>
      </c>
      <c r="E30" s="0" t="n">
        <v>3142</v>
      </c>
      <c r="F30" s="0" t="n">
        <v>1456</v>
      </c>
      <c r="G30" s="0" t="n">
        <v>1427</v>
      </c>
    </row>
    <row r="31" customFormat="false" ht="12.8" hidden="false" customHeight="false" outlineLevel="0" collapsed="false">
      <c r="B31" s="0" t="n">
        <v>13</v>
      </c>
      <c r="C31" s="0" t="s">
        <v>182</v>
      </c>
      <c r="D31" s="0" t="n">
        <v>19638</v>
      </c>
      <c r="E31" s="0" t="n">
        <v>18998</v>
      </c>
      <c r="F31" s="0" t="n">
        <v>7318</v>
      </c>
      <c r="G31" s="0" t="n">
        <v>7095</v>
      </c>
    </row>
    <row r="32" customFormat="false" ht="12.8" hidden="false" customHeight="false" outlineLevel="0" collapsed="false">
      <c r="B32" s="0" t="n">
        <v>14</v>
      </c>
      <c r="C32" s="0" t="s">
        <v>183</v>
      </c>
      <c r="D32" s="0" t="n">
        <v>11192</v>
      </c>
      <c r="E32" s="0" t="n">
        <v>10801</v>
      </c>
      <c r="F32" s="0" t="n">
        <v>5370</v>
      </c>
      <c r="G32" s="0" t="n">
        <v>5162</v>
      </c>
    </row>
    <row r="33" customFormat="false" ht="12.8" hidden="false" customHeight="false" outlineLevel="0" collapsed="false">
      <c r="B33" s="0" t="n">
        <v>15</v>
      </c>
      <c r="C33" s="0" t="s">
        <v>184</v>
      </c>
      <c r="D33" s="0" t="n">
        <v>19406</v>
      </c>
      <c r="E33" s="0" t="n">
        <v>18528</v>
      </c>
      <c r="F33" s="0" t="n">
        <v>9513</v>
      </c>
      <c r="G33" s="0" t="n">
        <v>9051</v>
      </c>
    </row>
    <row r="34" customFormat="false" ht="12.8" hidden="false" customHeight="false" outlineLevel="0" collapsed="false">
      <c r="B34" s="0" t="n">
        <v>16</v>
      </c>
      <c r="C34" s="0" t="s">
        <v>185</v>
      </c>
      <c r="D34" s="0" t="n">
        <v>3024</v>
      </c>
      <c r="E34" s="0" t="n">
        <v>2950</v>
      </c>
      <c r="F34" s="0" t="n">
        <v>2291</v>
      </c>
      <c r="G34" s="0" t="n">
        <v>2236</v>
      </c>
    </row>
    <row r="35" customFormat="false" ht="12.8" hidden="false" customHeight="false" outlineLevel="0" collapsed="false">
      <c r="B35" s="0" t="n">
        <v>17</v>
      </c>
      <c r="C35" s="0" t="s">
        <v>186</v>
      </c>
      <c r="D35" s="0" t="n">
        <v>1243</v>
      </c>
      <c r="E35" s="0" t="n">
        <v>1201</v>
      </c>
      <c r="F35" s="0" t="n">
        <v>750</v>
      </c>
      <c r="G35" s="0" t="n">
        <v>722</v>
      </c>
    </row>
    <row r="36" customFormat="false" ht="12.8" hidden="false" customHeight="false" outlineLevel="0" collapsed="false">
      <c r="B36" s="0" t="n">
        <v>18</v>
      </c>
      <c r="C36" s="0" t="s">
        <v>187</v>
      </c>
      <c r="D36" s="0" t="n">
        <v>121</v>
      </c>
      <c r="E36" s="0" t="n">
        <v>119</v>
      </c>
      <c r="F36" s="0" t="n">
        <v>61</v>
      </c>
      <c r="G36" s="0" t="n">
        <v>61</v>
      </c>
    </row>
    <row r="37" customFormat="false" ht="12.8" hidden="false" customHeight="false" outlineLevel="0" collapsed="false">
      <c r="B37" s="21" t="s">
        <v>168</v>
      </c>
      <c r="C37" s="21"/>
      <c r="D37" s="0" t="n">
        <v>155334</v>
      </c>
      <c r="E37" s="0" t="n">
        <v>146926</v>
      </c>
      <c r="F37" s="0" t="n">
        <v>61122</v>
      </c>
      <c r="G37" s="0" t="n">
        <v>58137</v>
      </c>
    </row>
    <row r="38" customFormat="false" ht="12.8" hidden="false" customHeight="false" outlineLevel="0" collapsed="false">
      <c r="B38" s="21" t="s">
        <v>188</v>
      </c>
      <c r="C38" s="21"/>
      <c r="D38" s="21"/>
      <c r="E38" s="21"/>
    </row>
    <row r="39" customFormat="false" ht="12.8" hidden="false" customHeight="false" outlineLevel="0" collapsed="false">
      <c r="B39" s="0" t="n">
        <v>19</v>
      </c>
      <c r="C39" s="0" t="s">
        <v>189</v>
      </c>
      <c r="D39" s="0" t="n">
        <v>96864</v>
      </c>
      <c r="E39" s="0" t="n">
        <v>91847</v>
      </c>
      <c r="F39" s="0" t="n">
        <v>59617</v>
      </c>
      <c r="G39" s="0" t="n">
        <v>56652</v>
      </c>
    </row>
    <row r="40" customFormat="false" ht="12.8" hidden="false" customHeight="false" outlineLevel="0" collapsed="false">
      <c r="B40" s="0" t="n">
        <v>20</v>
      </c>
      <c r="C40" s="0" t="s">
        <v>190</v>
      </c>
      <c r="D40" s="0" t="n">
        <v>580</v>
      </c>
      <c r="E40" s="0" t="n">
        <v>526</v>
      </c>
      <c r="F40" s="0" t="n">
        <v>527</v>
      </c>
      <c r="G40" s="0" t="n">
        <v>482</v>
      </c>
    </row>
    <row r="41" customFormat="false" ht="12.8" hidden="false" customHeight="false" outlineLevel="0" collapsed="false">
      <c r="B41" s="0" t="n">
        <v>21</v>
      </c>
      <c r="C41" s="0" t="s">
        <v>191</v>
      </c>
      <c r="D41" s="0" t="n">
        <v>135223</v>
      </c>
      <c r="E41" s="0" t="n">
        <v>131268</v>
      </c>
      <c r="F41" s="0" t="n">
        <v>61728</v>
      </c>
      <c r="G41" s="0" t="n">
        <v>60082</v>
      </c>
    </row>
    <row r="42" customFormat="false" ht="12.8" hidden="false" customHeight="false" outlineLevel="0" collapsed="false">
      <c r="B42" s="0" t="n">
        <v>22</v>
      </c>
      <c r="C42" s="0" t="s">
        <v>192</v>
      </c>
      <c r="D42" s="0" t="n">
        <v>10435</v>
      </c>
      <c r="E42" s="0" t="n">
        <v>10045</v>
      </c>
      <c r="F42" s="0" t="n">
        <v>6762</v>
      </c>
      <c r="G42" s="0" t="n">
        <v>6493</v>
      </c>
    </row>
    <row r="43" customFormat="false" ht="12.8" hidden="false" customHeight="false" outlineLevel="0" collapsed="false">
      <c r="B43" s="0" t="n">
        <v>23</v>
      </c>
      <c r="C43" s="0" t="s">
        <v>193</v>
      </c>
      <c r="D43" s="0" t="n">
        <v>4562</v>
      </c>
      <c r="E43" s="0" t="n">
        <v>4290</v>
      </c>
      <c r="F43" s="0" t="n">
        <v>2674</v>
      </c>
      <c r="G43" s="0" t="n">
        <v>2534</v>
      </c>
    </row>
    <row r="44" customFormat="false" ht="12.8" hidden="false" customHeight="false" outlineLevel="0" collapsed="false">
      <c r="B44" s="0" t="n">
        <v>24</v>
      </c>
      <c r="C44" s="0" t="s">
        <v>194</v>
      </c>
      <c r="D44" s="0" t="n">
        <v>1040</v>
      </c>
      <c r="E44" s="0" t="n">
        <v>1000</v>
      </c>
      <c r="F44" s="0" t="n">
        <v>914</v>
      </c>
      <c r="G44" s="0" t="n">
        <v>877</v>
      </c>
    </row>
    <row r="45" customFormat="false" ht="12.8" hidden="false" customHeight="false" outlineLevel="0" collapsed="false">
      <c r="B45" s="0" t="n">
        <v>25</v>
      </c>
      <c r="C45" s="0" t="s">
        <v>195</v>
      </c>
      <c r="D45" s="0" t="n">
        <v>5808</v>
      </c>
      <c r="E45" s="0" t="n">
        <v>5267</v>
      </c>
      <c r="F45" s="0" t="n">
        <v>5440</v>
      </c>
      <c r="G45" s="0" t="n">
        <v>4921</v>
      </c>
    </row>
    <row r="46" customFormat="false" ht="12.8" hidden="false" customHeight="false" outlineLevel="0" collapsed="false">
      <c r="B46" s="0" t="n">
        <v>26</v>
      </c>
      <c r="C46" s="0" t="s">
        <v>196</v>
      </c>
      <c r="D46" s="0" t="n">
        <v>2219</v>
      </c>
      <c r="E46" s="0" t="n">
        <v>2116</v>
      </c>
      <c r="F46" s="0" t="n">
        <v>1379</v>
      </c>
      <c r="G46" s="0" t="n">
        <v>1315</v>
      </c>
    </row>
    <row r="47" customFormat="false" ht="12.8" hidden="false" customHeight="false" outlineLevel="0" collapsed="false">
      <c r="B47" s="0" t="n">
        <v>27</v>
      </c>
      <c r="C47" s="0" t="s">
        <v>197</v>
      </c>
      <c r="D47" s="0" t="n">
        <v>1186</v>
      </c>
      <c r="E47" s="0" t="n">
        <v>1110</v>
      </c>
      <c r="F47" s="0" t="n">
        <v>1079</v>
      </c>
      <c r="G47" s="0" t="n">
        <v>1007</v>
      </c>
    </row>
    <row r="48" customFormat="false" ht="12.8" hidden="false" customHeight="false" outlineLevel="0" collapsed="false">
      <c r="B48" s="0" t="n">
        <v>28</v>
      </c>
      <c r="C48" s="0" t="s">
        <v>198</v>
      </c>
      <c r="D48" s="0" t="n">
        <v>322</v>
      </c>
      <c r="E48" s="0" t="n">
        <v>299</v>
      </c>
      <c r="F48" s="0" t="n">
        <v>250</v>
      </c>
      <c r="G48" s="0" t="n">
        <v>229</v>
      </c>
    </row>
    <row r="49" customFormat="false" ht="12.8" hidden="false" customHeight="false" outlineLevel="0" collapsed="false">
      <c r="B49" s="0" t="n">
        <v>29</v>
      </c>
      <c r="C49" s="0" t="s">
        <v>199</v>
      </c>
      <c r="D49" s="0" t="n">
        <v>257</v>
      </c>
      <c r="E49" s="0" t="n">
        <v>237</v>
      </c>
      <c r="F49" s="0" t="n">
        <v>218</v>
      </c>
      <c r="G49" s="0" t="n">
        <v>199</v>
      </c>
    </row>
    <row r="50" customFormat="false" ht="12.8" hidden="false" customHeight="false" outlineLevel="0" collapsed="false">
      <c r="B50" s="0" t="n">
        <v>30</v>
      </c>
      <c r="C50" s="0" t="s">
        <v>200</v>
      </c>
      <c r="D50" s="0" t="n">
        <v>234</v>
      </c>
      <c r="E50" s="0" t="n">
        <v>226</v>
      </c>
      <c r="F50" s="0" t="n">
        <v>180</v>
      </c>
      <c r="G50" s="0" t="n">
        <v>173</v>
      </c>
    </row>
    <row r="51" customFormat="false" ht="12.8" hidden="false" customHeight="false" outlineLevel="0" collapsed="false">
      <c r="B51" s="0" t="n">
        <v>43</v>
      </c>
      <c r="C51" s="0" t="s">
        <v>201</v>
      </c>
      <c r="D51" s="0" t="n">
        <v>64</v>
      </c>
      <c r="E51" s="0" t="n">
        <v>59</v>
      </c>
      <c r="F51" s="0" t="n">
        <v>44</v>
      </c>
      <c r="G51" s="0" t="n">
        <v>40</v>
      </c>
    </row>
    <row r="52" customFormat="false" ht="12.8" hidden="false" customHeight="false" outlineLevel="0" collapsed="false">
      <c r="B52" s="0" t="n">
        <v>65</v>
      </c>
      <c r="C52" s="0" t="s">
        <v>202</v>
      </c>
      <c r="D52" s="0" t="n">
        <v>94</v>
      </c>
      <c r="E52" s="0" t="n">
        <v>80</v>
      </c>
      <c r="F52" s="0" t="n">
        <v>69</v>
      </c>
      <c r="G52" s="0" t="n">
        <v>58</v>
      </c>
    </row>
    <row r="53" customFormat="false" ht="12.8" hidden="false" customHeight="false" outlineLevel="0" collapsed="false">
      <c r="B53" s="0" t="n">
        <v>66</v>
      </c>
      <c r="C53" s="0" t="s">
        <v>203</v>
      </c>
      <c r="D53" s="0" t="n">
        <v>15002</v>
      </c>
      <c r="E53" s="0" t="n">
        <v>14283</v>
      </c>
      <c r="F53" s="0" t="n">
        <v>13064</v>
      </c>
      <c r="G53" s="0" t="n">
        <v>12411</v>
      </c>
    </row>
    <row r="54" customFormat="false" ht="12.8" hidden="false" customHeight="false" outlineLevel="0" collapsed="false">
      <c r="B54" s="21" t="s">
        <v>168</v>
      </c>
      <c r="C54" s="21"/>
      <c r="D54" s="0" t="n">
        <v>273890</v>
      </c>
      <c r="E54" s="0" t="n">
        <v>262653</v>
      </c>
      <c r="F54" s="0" t="n">
        <v>153945</v>
      </c>
      <c r="G54" s="0" t="n">
        <v>147473</v>
      </c>
    </row>
    <row r="55" customFormat="false" ht="12.8" hidden="false" customHeight="false" outlineLevel="0" collapsed="false">
      <c r="B55" s="21" t="s">
        <v>204</v>
      </c>
      <c r="C55" s="21"/>
      <c r="D55" s="21"/>
      <c r="E55" s="21"/>
    </row>
    <row r="56" customFormat="false" ht="12.8" hidden="false" customHeight="false" outlineLevel="0" collapsed="false">
      <c r="B56" s="0" t="n">
        <v>80</v>
      </c>
      <c r="C56" s="0" t="s">
        <v>205</v>
      </c>
      <c r="D56" s="0" t="n">
        <v>164289</v>
      </c>
      <c r="E56" s="0" t="n">
        <v>158568</v>
      </c>
      <c r="F56" s="0" t="n">
        <v>65581</v>
      </c>
      <c r="G56" s="0" t="n">
        <v>64000</v>
      </c>
    </row>
    <row r="57" customFormat="false" ht="12.8" hidden="false" customHeight="false" outlineLevel="0" collapsed="false">
      <c r="B57" s="0" t="n">
        <v>81</v>
      </c>
      <c r="C57" s="0" t="s">
        <v>206</v>
      </c>
      <c r="D57" s="0" t="n">
        <v>75696</v>
      </c>
      <c r="E57" s="0" t="n">
        <v>72608</v>
      </c>
      <c r="F57" s="0" t="n">
        <v>26999</v>
      </c>
      <c r="G57" s="0" t="n">
        <v>26060</v>
      </c>
    </row>
    <row r="58" customFormat="false" ht="12.8" hidden="false" customHeight="false" outlineLevel="0" collapsed="false">
      <c r="B58" s="0" t="n">
        <v>82</v>
      </c>
      <c r="C58" s="0" t="s">
        <v>207</v>
      </c>
      <c r="D58" s="0" t="n">
        <v>96206</v>
      </c>
      <c r="E58" s="0" t="n">
        <v>91129</v>
      </c>
      <c r="F58" s="0" t="n">
        <v>28890</v>
      </c>
      <c r="G58" s="0" t="n">
        <v>27367</v>
      </c>
    </row>
    <row r="59" customFormat="false" ht="12.8" hidden="false" customHeight="false" outlineLevel="0" collapsed="false">
      <c r="B59" s="0" t="n">
        <v>83</v>
      </c>
      <c r="C59" s="0" t="s">
        <v>208</v>
      </c>
      <c r="D59" s="0" t="n">
        <v>146908</v>
      </c>
      <c r="E59" s="0" t="n">
        <v>133721</v>
      </c>
      <c r="F59" s="0" t="n">
        <v>46144</v>
      </c>
      <c r="G59" s="0" t="n">
        <v>41580</v>
      </c>
    </row>
    <row r="60" customFormat="false" ht="12.8" hidden="false" customHeight="false" outlineLevel="0" collapsed="false">
      <c r="B60" s="0" t="n">
        <v>84</v>
      </c>
      <c r="C60" s="0" t="s">
        <v>209</v>
      </c>
      <c r="D60" s="0" t="n">
        <v>117034</v>
      </c>
      <c r="E60" s="0" t="n">
        <v>110034</v>
      </c>
      <c r="F60" s="0" t="n">
        <v>37083</v>
      </c>
      <c r="G60" s="0" t="n">
        <v>34475</v>
      </c>
    </row>
    <row r="61" customFormat="false" ht="12.8" hidden="false" customHeight="false" outlineLevel="0" collapsed="false">
      <c r="B61" s="0" t="n">
        <v>85</v>
      </c>
      <c r="C61" s="0" t="s">
        <v>210</v>
      </c>
      <c r="D61" s="0" t="n">
        <v>46967</v>
      </c>
      <c r="E61" s="0" t="n">
        <v>43938</v>
      </c>
      <c r="F61" s="0" t="n">
        <v>23497</v>
      </c>
      <c r="G61" s="0" t="n">
        <v>22345</v>
      </c>
    </row>
    <row r="62" customFormat="false" ht="12.8" hidden="false" customHeight="false" outlineLevel="0" collapsed="false">
      <c r="B62" s="0" t="n">
        <v>86</v>
      </c>
      <c r="C62" s="0" t="s">
        <v>211</v>
      </c>
      <c r="D62" s="0" t="n">
        <v>61688</v>
      </c>
      <c r="E62" s="0" t="n">
        <v>59147</v>
      </c>
      <c r="F62" s="0" t="n">
        <v>15728</v>
      </c>
      <c r="G62" s="0" t="n">
        <v>14754</v>
      </c>
    </row>
    <row r="63" customFormat="false" ht="12.8" hidden="false" customHeight="false" outlineLevel="0" collapsed="false">
      <c r="B63" s="21" t="s">
        <v>168</v>
      </c>
      <c r="C63" s="21"/>
      <c r="D63" s="0" t="n">
        <v>708788</v>
      </c>
      <c r="E63" s="0" t="n">
        <v>669145</v>
      </c>
      <c r="F63" s="0" t="n">
        <v>243922</v>
      </c>
      <c r="G63" s="0" t="n">
        <v>230581</v>
      </c>
    </row>
    <row r="64" customFormat="false" ht="12.8" hidden="false" customHeight="false" outlineLevel="0" collapsed="false">
      <c r="B64" s="21" t="s">
        <v>212</v>
      </c>
      <c r="C64" s="21"/>
      <c r="D64" s="21"/>
      <c r="E64" s="21"/>
    </row>
    <row r="65" customFormat="false" ht="12.8" hidden="false" customHeight="false" outlineLevel="0" collapsed="false">
      <c r="B65" s="0" t="n">
        <v>51</v>
      </c>
      <c r="C65" s="0" t="s">
        <v>213</v>
      </c>
      <c r="D65" s="0" t="n">
        <v>2280</v>
      </c>
      <c r="E65" s="0" t="n">
        <v>2197</v>
      </c>
      <c r="F65" s="0" t="n">
        <v>1430</v>
      </c>
      <c r="G65" s="0" t="n">
        <v>1386</v>
      </c>
    </row>
    <row r="66" customFormat="false" ht="12.8" hidden="false" customHeight="false" outlineLevel="0" collapsed="false">
      <c r="B66" s="0" t="n">
        <v>52</v>
      </c>
      <c r="C66" s="0" t="s">
        <v>214</v>
      </c>
      <c r="D66" s="0" t="n">
        <v>296886</v>
      </c>
      <c r="E66" s="0" t="n">
        <v>285335</v>
      </c>
      <c r="F66" s="0" t="n">
        <v>215433</v>
      </c>
      <c r="G66" s="0" t="n">
        <v>206744</v>
      </c>
    </row>
    <row r="67" customFormat="false" ht="12.8" hidden="false" customHeight="false" outlineLevel="0" collapsed="false">
      <c r="B67" s="0" t="n">
        <v>53</v>
      </c>
      <c r="C67" s="0" t="s">
        <v>215</v>
      </c>
      <c r="D67" s="0" t="n">
        <v>17809</v>
      </c>
      <c r="E67" s="0" t="n">
        <v>16806</v>
      </c>
      <c r="F67" s="0" t="n">
        <v>14066</v>
      </c>
      <c r="G67" s="0" t="n">
        <v>13237</v>
      </c>
    </row>
    <row r="68" customFormat="false" ht="12.8" hidden="false" customHeight="false" outlineLevel="0" collapsed="false">
      <c r="B68" s="0" t="n">
        <v>54</v>
      </c>
      <c r="C68" s="0" t="s">
        <v>216</v>
      </c>
      <c r="D68" s="0" t="n">
        <v>999</v>
      </c>
      <c r="E68" s="0" t="n">
        <v>936</v>
      </c>
      <c r="F68" s="0" t="n">
        <v>655</v>
      </c>
      <c r="G68" s="0" t="n">
        <v>600</v>
      </c>
    </row>
    <row r="69" customFormat="false" ht="12.8" hidden="false" customHeight="false" outlineLevel="0" collapsed="false">
      <c r="B69" s="0" t="n">
        <v>55</v>
      </c>
      <c r="C69" s="0" t="s">
        <v>217</v>
      </c>
      <c r="D69" s="0" t="n">
        <v>11507</v>
      </c>
      <c r="E69" s="0" t="n">
        <v>10996</v>
      </c>
      <c r="F69" s="0" t="n">
        <v>8349</v>
      </c>
      <c r="G69" s="0" t="n">
        <v>8096</v>
      </c>
    </row>
    <row r="70" customFormat="false" ht="12.8" hidden="false" customHeight="false" outlineLevel="0" collapsed="false">
      <c r="B70" s="0" t="n">
        <v>56</v>
      </c>
      <c r="C70" s="0" t="s">
        <v>218</v>
      </c>
      <c r="D70" s="0" t="n">
        <v>53459</v>
      </c>
      <c r="E70" s="0" t="n">
        <v>50995</v>
      </c>
      <c r="F70" s="0" t="n">
        <v>35418</v>
      </c>
      <c r="G70" s="0" t="n">
        <v>33577</v>
      </c>
    </row>
    <row r="71" customFormat="false" ht="12.8" hidden="false" customHeight="false" outlineLevel="0" collapsed="false">
      <c r="B71" s="0" t="n">
        <v>57</v>
      </c>
      <c r="C71" s="0" t="s">
        <v>219</v>
      </c>
      <c r="D71" s="0" t="n">
        <v>16923</v>
      </c>
      <c r="E71" s="0" t="n">
        <v>16093</v>
      </c>
      <c r="F71" s="0" t="n">
        <v>12592</v>
      </c>
      <c r="G71" s="0" t="n">
        <v>11934</v>
      </c>
    </row>
    <row r="72" customFormat="false" ht="12.8" hidden="false" customHeight="false" outlineLevel="0" collapsed="false">
      <c r="B72" s="0" t="n">
        <v>58</v>
      </c>
      <c r="C72" s="0" t="s">
        <v>220</v>
      </c>
      <c r="D72" s="0" t="n">
        <v>22078</v>
      </c>
      <c r="E72" s="0" t="n">
        <v>20613</v>
      </c>
      <c r="F72" s="0" t="n">
        <v>16824</v>
      </c>
      <c r="G72" s="0" t="n">
        <v>15598</v>
      </c>
    </row>
    <row r="73" customFormat="false" ht="12.8" hidden="false" customHeight="false" outlineLevel="0" collapsed="false">
      <c r="B73" s="0" t="n">
        <v>59</v>
      </c>
      <c r="C73" s="0" t="s">
        <v>221</v>
      </c>
      <c r="D73" s="0" t="n">
        <v>6290</v>
      </c>
      <c r="E73" s="0" t="n">
        <v>6030</v>
      </c>
      <c r="F73" s="0" t="n">
        <v>3909</v>
      </c>
      <c r="G73" s="0" t="n">
        <v>3729</v>
      </c>
    </row>
    <row r="74" customFormat="false" ht="12.8" hidden="false" customHeight="false" outlineLevel="0" collapsed="false">
      <c r="B74" s="0" t="n">
        <v>60</v>
      </c>
      <c r="C74" s="0" t="s">
        <v>222</v>
      </c>
      <c r="D74" s="0" t="n">
        <v>117933</v>
      </c>
      <c r="E74" s="0" t="n">
        <v>113319</v>
      </c>
      <c r="F74" s="0" t="n">
        <v>78448</v>
      </c>
      <c r="G74" s="0" t="n">
        <v>75096</v>
      </c>
    </row>
    <row r="75" customFormat="false" ht="12.8" hidden="false" customHeight="false" outlineLevel="0" collapsed="false">
      <c r="B75" s="0" t="n">
        <v>61</v>
      </c>
      <c r="C75" s="0" t="s">
        <v>223</v>
      </c>
      <c r="D75" s="0" t="n">
        <v>50396</v>
      </c>
      <c r="E75" s="0" t="n">
        <v>48359</v>
      </c>
      <c r="F75" s="0" t="n">
        <v>31118</v>
      </c>
      <c r="G75" s="0" t="n">
        <v>29786</v>
      </c>
    </row>
    <row r="76" customFormat="false" ht="12.8" hidden="false" customHeight="false" outlineLevel="0" collapsed="false">
      <c r="B76" s="0" t="n">
        <v>62</v>
      </c>
      <c r="C76" s="0" t="s">
        <v>224</v>
      </c>
      <c r="D76" s="0" t="n">
        <v>127044</v>
      </c>
      <c r="E76" s="0" t="n">
        <v>121092</v>
      </c>
      <c r="F76" s="0" t="n">
        <v>78921</v>
      </c>
      <c r="G76" s="0" t="n">
        <v>75248</v>
      </c>
    </row>
    <row r="77" customFormat="false" ht="12.8" hidden="false" customHeight="false" outlineLevel="0" collapsed="false">
      <c r="B77" s="0" t="n">
        <v>63</v>
      </c>
      <c r="C77" s="0" t="s">
        <v>225</v>
      </c>
      <c r="D77" s="0" t="n">
        <v>166722</v>
      </c>
      <c r="E77" s="0" t="n">
        <v>155747</v>
      </c>
      <c r="F77" s="0" t="n">
        <v>122916</v>
      </c>
      <c r="G77" s="0" t="n">
        <v>114501</v>
      </c>
    </row>
    <row r="78" customFormat="false" ht="12.8" hidden="false" customHeight="false" outlineLevel="0" collapsed="false">
      <c r="B78" s="0" t="n">
        <v>64</v>
      </c>
      <c r="C78" s="0" t="s">
        <v>226</v>
      </c>
      <c r="D78" s="0" t="n">
        <v>99426</v>
      </c>
      <c r="E78" s="0" t="n">
        <v>94095</v>
      </c>
      <c r="F78" s="0" t="n">
        <v>76771</v>
      </c>
      <c r="G78" s="0" t="n">
        <v>72352</v>
      </c>
    </row>
    <row r="79" customFormat="false" ht="12.8" hidden="false" customHeight="false" outlineLevel="0" collapsed="false">
      <c r="B79" s="0" t="n">
        <v>65</v>
      </c>
      <c r="C79" s="0" t="s">
        <v>227</v>
      </c>
      <c r="D79" s="0" t="n">
        <v>9927</v>
      </c>
      <c r="E79" s="0" t="n">
        <v>9595</v>
      </c>
      <c r="F79" s="0" t="n">
        <v>8867</v>
      </c>
      <c r="G79" s="0" t="n">
        <v>8556</v>
      </c>
    </row>
    <row r="80" customFormat="false" ht="12.8" hidden="false" customHeight="false" outlineLevel="0" collapsed="false">
      <c r="B80" s="21" t="s">
        <v>168</v>
      </c>
      <c r="C80" s="21"/>
      <c r="D80" s="0" t="n">
        <v>999679</v>
      </c>
      <c r="E80" s="0" t="n">
        <v>952208</v>
      </c>
      <c r="F80" s="0" t="n">
        <v>705717</v>
      </c>
      <c r="G80" s="0" t="n">
        <v>670440</v>
      </c>
    </row>
    <row r="81" customFormat="false" ht="12.8" hidden="false" customHeight="false" outlineLevel="0" collapsed="false">
      <c r="B81" s="21" t="s">
        <v>228</v>
      </c>
      <c r="C81" s="21"/>
      <c r="D81" s="21"/>
      <c r="E81" s="21"/>
    </row>
    <row r="82" customFormat="false" ht="12.8" hidden="false" customHeight="false" outlineLevel="0" collapsed="false">
      <c r="B82" s="0" t="n">
        <v>41</v>
      </c>
      <c r="C82" s="0" t="s">
        <v>229</v>
      </c>
      <c r="D82" s="0" t="n">
        <v>51660</v>
      </c>
      <c r="E82" s="0" t="n">
        <v>48036</v>
      </c>
      <c r="F82" s="0" t="n">
        <v>31046</v>
      </c>
      <c r="G82" s="0" t="n">
        <v>29024</v>
      </c>
    </row>
    <row r="83" customFormat="false" ht="12.8" hidden="false" customHeight="false" outlineLevel="0" collapsed="false">
      <c r="B83" s="0" t="n">
        <v>42</v>
      </c>
      <c r="C83" s="0" t="s">
        <v>230</v>
      </c>
      <c r="D83" s="0" t="n">
        <v>8326</v>
      </c>
      <c r="E83" s="0" t="n">
        <v>7386</v>
      </c>
      <c r="F83" s="0" t="n">
        <v>3694</v>
      </c>
      <c r="G83" s="0" t="n">
        <v>2993</v>
      </c>
    </row>
    <row r="84" customFormat="false" ht="12.8" hidden="false" customHeight="false" outlineLevel="0" collapsed="false">
      <c r="B84" s="21" t="s">
        <v>168</v>
      </c>
      <c r="C84" s="21"/>
      <c r="D84" s="0" t="n">
        <v>59986</v>
      </c>
      <c r="E84" s="0" t="n">
        <v>55422</v>
      </c>
      <c r="F84" s="0" t="n">
        <v>34740</v>
      </c>
      <c r="G84" s="0" t="n">
        <v>32017</v>
      </c>
    </row>
    <row r="85" customFormat="false" ht="12.8" hidden="false" customHeight="false" outlineLevel="0" collapsed="false">
      <c r="B85" s="21" t="s">
        <v>231</v>
      </c>
      <c r="C85" s="21"/>
      <c r="D85" s="21"/>
      <c r="E85" s="21"/>
    </row>
    <row r="86" customFormat="false" ht="12.8" hidden="false" customHeight="false" outlineLevel="0" collapsed="false">
      <c r="B86" s="0" t="n">
        <v>31</v>
      </c>
      <c r="C86" s="0" t="s">
        <v>232</v>
      </c>
      <c r="D86" s="0" t="n">
        <v>5693</v>
      </c>
      <c r="E86" s="0" t="n">
        <v>5457</v>
      </c>
      <c r="F86" s="0" t="n">
        <v>2373</v>
      </c>
      <c r="G86" s="0" t="n">
        <v>2265</v>
      </c>
    </row>
    <row r="87" customFormat="false" ht="12.8" hidden="false" customHeight="false" outlineLevel="0" collapsed="false">
      <c r="B87" s="0" t="n">
        <v>32</v>
      </c>
      <c r="C87" s="0" t="s">
        <v>233</v>
      </c>
      <c r="D87" s="0" t="n">
        <v>2959</v>
      </c>
      <c r="E87" s="0" t="n">
        <v>2822</v>
      </c>
      <c r="F87" s="0" t="n">
        <v>1548</v>
      </c>
      <c r="G87" s="0" t="n">
        <v>1449</v>
      </c>
    </row>
    <row r="88" customFormat="false" ht="12.8" hidden="false" customHeight="false" outlineLevel="0" collapsed="false">
      <c r="B88" s="0" t="n">
        <v>33</v>
      </c>
      <c r="C88" s="0" t="s">
        <v>234</v>
      </c>
      <c r="D88" s="0" t="n">
        <v>16052</v>
      </c>
      <c r="E88" s="0" t="n">
        <v>15457</v>
      </c>
      <c r="F88" s="0" t="n">
        <v>7379</v>
      </c>
      <c r="G88" s="0" t="n">
        <v>7026</v>
      </c>
    </row>
    <row r="89" customFormat="false" ht="12.8" hidden="false" customHeight="false" outlineLevel="0" collapsed="false">
      <c r="B89" s="0" t="n">
        <v>34</v>
      </c>
      <c r="C89" s="0" t="s">
        <v>235</v>
      </c>
      <c r="D89" s="0" t="n">
        <v>11493</v>
      </c>
      <c r="E89" s="0" t="n">
        <v>11137</v>
      </c>
      <c r="F89" s="0" t="n">
        <v>4204</v>
      </c>
      <c r="G89" s="0" t="n">
        <v>4070</v>
      </c>
    </row>
    <row r="90" customFormat="false" ht="12.8" hidden="false" customHeight="false" outlineLevel="0" collapsed="false">
      <c r="B90" s="0" t="n">
        <v>35</v>
      </c>
      <c r="C90" s="0" t="s">
        <v>236</v>
      </c>
      <c r="D90" s="0" t="n">
        <v>6207</v>
      </c>
      <c r="E90" s="0" t="n">
        <v>5959</v>
      </c>
      <c r="F90" s="0" t="n">
        <v>3110</v>
      </c>
      <c r="G90" s="0" t="n">
        <v>2955</v>
      </c>
    </row>
    <row r="91" customFormat="false" ht="12.8" hidden="false" customHeight="false" outlineLevel="0" collapsed="false">
      <c r="B91" s="0" t="n">
        <v>36</v>
      </c>
      <c r="C91" s="0" t="s">
        <v>237</v>
      </c>
      <c r="D91" s="0" t="n">
        <v>7387</v>
      </c>
      <c r="E91" s="0" t="n">
        <v>7032</v>
      </c>
      <c r="F91" s="0" t="n">
        <v>3693</v>
      </c>
      <c r="G91" s="0" t="n">
        <v>3509</v>
      </c>
    </row>
    <row r="92" customFormat="false" ht="12.8" hidden="false" customHeight="false" outlineLevel="0" collapsed="false">
      <c r="B92" s="0" t="n">
        <v>37</v>
      </c>
      <c r="C92" s="0" t="s">
        <v>238</v>
      </c>
      <c r="D92" s="0" t="n">
        <v>9135</v>
      </c>
      <c r="E92" s="0" t="n">
        <v>8753</v>
      </c>
      <c r="F92" s="0" t="n">
        <v>3180</v>
      </c>
      <c r="G92" s="0" t="n">
        <v>3024</v>
      </c>
    </row>
    <row r="93" customFormat="false" ht="12.8" hidden="false" customHeight="false" outlineLevel="0" collapsed="false">
      <c r="B93" s="0" t="n">
        <v>38</v>
      </c>
      <c r="C93" s="0" t="s">
        <v>239</v>
      </c>
      <c r="D93" s="0" t="n">
        <v>7955</v>
      </c>
      <c r="E93" s="0" t="n">
        <v>7639</v>
      </c>
      <c r="F93" s="0" t="n">
        <v>2832</v>
      </c>
      <c r="G93" s="0" t="n">
        <v>2702</v>
      </c>
    </row>
    <row r="94" customFormat="false" ht="12.8" hidden="false" customHeight="false" outlineLevel="0" collapsed="false">
      <c r="B94" s="0" t="n">
        <v>39</v>
      </c>
      <c r="C94" s="0" t="s">
        <v>240</v>
      </c>
      <c r="D94" s="0" t="n">
        <v>7706</v>
      </c>
      <c r="E94" s="0" t="n">
        <v>7372</v>
      </c>
      <c r="F94" s="0" t="n">
        <v>2836</v>
      </c>
      <c r="G94" s="0" t="n">
        <v>2655</v>
      </c>
    </row>
    <row r="95" customFormat="false" ht="12.8" hidden="false" customHeight="false" outlineLevel="0" collapsed="false">
      <c r="B95" s="0" t="n">
        <v>40</v>
      </c>
      <c r="C95" s="0" t="s">
        <v>241</v>
      </c>
      <c r="D95" s="0" t="n">
        <v>5971</v>
      </c>
      <c r="E95" s="0" t="n">
        <v>5753</v>
      </c>
      <c r="F95" s="0" t="n">
        <v>1954</v>
      </c>
      <c r="G95" s="0" t="n">
        <v>1866</v>
      </c>
    </row>
    <row r="96" customFormat="false" ht="12.8" hidden="false" customHeight="false" outlineLevel="0" collapsed="false">
      <c r="B96" s="0" t="n">
        <v>44</v>
      </c>
      <c r="C96" s="0" t="s">
        <v>242</v>
      </c>
      <c r="D96" s="0" t="n">
        <v>8042</v>
      </c>
      <c r="E96" s="0" t="n">
        <v>7621</v>
      </c>
      <c r="F96" s="0" t="n">
        <v>2800</v>
      </c>
      <c r="G96" s="0" t="n">
        <v>2627</v>
      </c>
    </row>
    <row r="97" customFormat="false" ht="12.8" hidden="false" customHeight="false" outlineLevel="0" collapsed="false">
      <c r="B97" s="0" t="n">
        <v>45</v>
      </c>
      <c r="C97" s="0" t="s">
        <v>243</v>
      </c>
      <c r="D97" s="0" t="n">
        <v>5770</v>
      </c>
      <c r="E97" s="0" t="n">
        <v>5539</v>
      </c>
      <c r="F97" s="0" t="n">
        <v>1951</v>
      </c>
      <c r="G97" s="0" t="n">
        <v>1858</v>
      </c>
    </row>
    <row r="98" customFormat="false" ht="12.8" hidden="false" customHeight="false" outlineLevel="0" collapsed="false">
      <c r="B98" s="0" t="n">
        <v>46</v>
      </c>
      <c r="C98" s="0" t="s">
        <v>244</v>
      </c>
      <c r="D98" s="0" t="n">
        <v>11537</v>
      </c>
      <c r="E98" s="0" t="n">
        <v>10832</v>
      </c>
      <c r="F98" s="0" t="n">
        <v>5751</v>
      </c>
      <c r="G98" s="0" t="n">
        <v>5375</v>
      </c>
    </row>
    <row r="99" customFormat="false" ht="12.8" hidden="false" customHeight="false" outlineLevel="0" collapsed="false">
      <c r="B99" s="0" t="n">
        <v>47</v>
      </c>
      <c r="C99" s="0" t="s">
        <v>245</v>
      </c>
      <c r="D99" s="0" t="n">
        <v>3692</v>
      </c>
      <c r="E99" s="0" t="n">
        <v>3551</v>
      </c>
      <c r="F99" s="0" t="n">
        <v>1254</v>
      </c>
      <c r="G99" s="0" t="n">
        <v>1188</v>
      </c>
    </row>
    <row r="100" customFormat="false" ht="12.8" hidden="false" customHeight="false" outlineLevel="0" collapsed="false">
      <c r="B100" s="0" t="n">
        <v>48</v>
      </c>
      <c r="C100" s="0" t="s">
        <v>246</v>
      </c>
      <c r="D100" s="0" t="n">
        <v>7226</v>
      </c>
      <c r="E100" s="0" t="n">
        <v>6953</v>
      </c>
      <c r="F100" s="0" t="n">
        <v>2758</v>
      </c>
      <c r="G100" s="0" t="n">
        <v>2619</v>
      </c>
    </row>
    <row r="101" customFormat="false" ht="12.8" hidden="false" customHeight="false" outlineLevel="0" collapsed="false">
      <c r="B101" s="0" t="n">
        <v>49</v>
      </c>
      <c r="C101" s="0" t="s">
        <v>247</v>
      </c>
      <c r="D101" s="0" t="n">
        <v>8567</v>
      </c>
      <c r="E101" s="0" t="n">
        <v>8229</v>
      </c>
      <c r="F101" s="0" t="n">
        <v>3406</v>
      </c>
      <c r="G101" s="0" t="n">
        <v>3237</v>
      </c>
    </row>
    <row r="102" customFormat="false" ht="12.8" hidden="false" customHeight="false" outlineLevel="0" collapsed="false">
      <c r="B102" s="0" t="n">
        <v>50</v>
      </c>
      <c r="C102" s="0" t="s">
        <v>248</v>
      </c>
      <c r="D102" s="0" t="n">
        <v>2512</v>
      </c>
      <c r="E102" s="0" t="n">
        <v>2411</v>
      </c>
      <c r="F102" s="0" t="n">
        <v>995</v>
      </c>
      <c r="G102" s="0" t="n">
        <v>946</v>
      </c>
    </row>
    <row r="103" customFormat="false" ht="12.8" hidden="false" customHeight="false" outlineLevel="0" collapsed="false">
      <c r="B103" s="21" t="s">
        <v>168</v>
      </c>
      <c r="C103" s="21"/>
      <c r="D103" s="0" t="n">
        <v>127904</v>
      </c>
      <c r="E103" s="0" t="n">
        <v>122517</v>
      </c>
      <c r="F103" s="0" t="n">
        <v>52024</v>
      </c>
      <c r="G103" s="0" t="n">
        <v>49371</v>
      </c>
    </row>
    <row r="104" customFormat="false" ht="12.8" hidden="false" customHeight="false" outlineLevel="0" collapsed="false">
      <c r="B104" s="21" t="s">
        <v>249</v>
      </c>
      <c r="C104" s="21"/>
      <c r="D104" s="21"/>
      <c r="E104" s="21"/>
    </row>
    <row r="105" customFormat="false" ht="12.8" hidden="false" customHeight="false" outlineLevel="0" collapsed="false">
      <c r="B105" s="0" t="n">
        <v>67</v>
      </c>
      <c r="C105" s="0" t="s">
        <v>250</v>
      </c>
      <c r="D105" s="0" t="n">
        <v>74</v>
      </c>
      <c r="E105" s="0" t="n">
        <v>72</v>
      </c>
      <c r="F105" s="0" t="n">
        <v>51</v>
      </c>
      <c r="G105" s="0" t="n">
        <v>51</v>
      </c>
    </row>
    <row r="106" customFormat="false" ht="12.8" hidden="false" customHeight="false" outlineLevel="0" collapsed="false">
      <c r="B106" s="0" t="n">
        <v>68</v>
      </c>
      <c r="C106" s="0" t="s">
        <v>251</v>
      </c>
      <c r="D106" s="0" t="n">
        <v>78</v>
      </c>
      <c r="E106" s="0" t="n">
        <v>78</v>
      </c>
      <c r="F106" s="0" t="n">
        <v>70</v>
      </c>
      <c r="G106" s="0" t="n">
        <v>70</v>
      </c>
    </row>
    <row r="107" customFormat="false" ht="12.8" hidden="false" customHeight="false" outlineLevel="0" collapsed="false">
      <c r="B107" s="0" t="n">
        <v>69</v>
      </c>
      <c r="C107" s="0" t="s">
        <v>252</v>
      </c>
      <c r="D107" s="0" t="n">
        <v>29</v>
      </c>
      <c r="E107" s="0" t="n">
        <v>29</v>
      </c>
      <c r="F107" s="0" t="n">
        <v>22</v>
      </c>
      <c r="G107" s="0" t="n">
        <v>22</v>
      </c>
    </row>
    <row r="108" customFormat="false" ht="12.8" hidden="false" customHeight="false" outlineLevel="0" collapsed="false">
      <c r="B108" s="0" t="n">
        <v>70</v>
      </c>
      <c r="C108" s="0" t="s">
        <v>253</v>
      </c>
      <c r="D108" s="0" t="n">
        <v>1056</v>
      </c>
      <c r="E108" s="0" t="n">
        <v>935</v>
      </c>
      <c r="F108" s="0" t="n">
        <v>923</v>
      </c>
      <c r="G108" s="0" t="n">
        <v>822</v>
      </c>
    </row>
    <row r="109" customFormat="false" ht="12.8" hidden="false" customHeight="false" outlineLevel="0" collapsed="false">
      <c r="B109" s="0" t="n">
        <v>71</v>
      </c>
      <c r="C109" s="0" t="s">
        <v>254</v>
      </c>
      <c r="D109" s="0" t="n">
        <v>26928</v>
      </c>
      <c r="E109" s="0" t="n">
        <v>25519</v>
      </c>
      <c r="F109" s="0" t="n">
        <v>9606</v>
      </c>
      <c r="G109" s="0" t="n">
        <v>8938</v>
      </c>
    </row>
    <row r="110" customFormat="false" ht="12.8" hidden="false" customHeight="false" outlineLevel="0" collapsed="false">
      <c r="B110" s="0" t="n">
        <v>72</v>
      </c>
      <c r="C110" s="0" t="s">
        <v>255</v>
      </c>
      <c r="D110" s="0" t="n">
        <v>37286</v>
      </c>
      <c r="E110" s="0" t="n">
        <v>35575</v>
      </c>
      <c r="F110" s="0" t="n">
        <v>13786</v>
      </c>
      <c r="G110" s="0" t="n">
        <v>13100</v>
      </c>
    </row>
    <row r="111" customFormat="false" ht="12.8" hidden="false" customHeight="false" outlineLevel="0" collapsed="false">
      <c r="B111" s="0" t="n">
        <v>73</v>
      </c>
      <c r="C111" s="0" t="s">
        <v>256</v>
      </c>
      <c r="D111" s="0" t="n">
        <v>11685</v>
      </c>
      <c r="E111" s="0" t="n">
        <v>11201</v>
      </c>
      <c r="F111" s="0" t="n">
        <v>7728</v>
      </c>
      <c r="G111" s="0" t="n">
        <v>7327</v>
      </c>
    </row>
    <row r="112" customFormat="false" ht="12.8" hidden="false" customHeight="false" outlineLevel="0" collapsed="false">
      <c r="B112" s="0" t="n">
        <v>74</v>
      </c>
      <c r="C112" s="0" t="s">
        <v>257</v>
      </c>
      <c r="D112" s="0" t="n">
        <v>4301</v>
      </c>
      <c r="E112" s="0" t="n">
        <v>4031</v>
      </c>
      <c r="F112" s="0" t="n">
        <v>2255</v>
      </c>
      <c r="G112" s="0" t="n">
        <v>2140</v>
      </c>
    </row>
    <row r="113" customFormat="false" ht="12.8" hidden="false" customHeight="false" outlineLevel="0" collapsed="false">
      <c r="B113" s="0" t="n">
        <v>76</v>
      </c>
      <c r="C113" s="0" t="s">
        <v>258</v>
      </c>
      <c r="D113" s="0" t="n">
        <v>1591</v>
      </c>
      <c r="E113" s="0" t="n">
        <v>1533</v>
      </c>
      <c r="F113" s="0" t="n">
        <v>1082</v>
      </c>
      <c r="G113" s="0" t="n">
        <v>1044</v>
      </c>
    </row>
    <row r="114" customFormat="false" ht="12.8" hidden="false" customHeight="false" outlineLevel="0" collapsed="false">
      <c r="B114" s="0" t="n">
        <v>77</v>
      </c>
      <c r="C114" s="0" t="s">
        <v>259</v>
      </c>
      <c r="D114" s="0" t="n">
        <v>33458</v>
      </c>
      <c r="E114" s="0" t="n">
        <v>31328</v>
      </c>
      <c r="F114" s="0" t="n">
        <v>28889</v>
      </c>
      <c r="G114" s="0" t="n">
        <v>27050</v>
      </c>
    </row>
    <row r="115" customFormat="false" ht="12.8" hidden="false" customHeight="false" outlineLevel="0" collapsed="false">
      <c r="B115" s="0" t="n">
        <v>78</v>
      </c>
      <c r="C115" s="0" t="s">
        <v>260</v>
      </c>
      <c r="D115" s="0" t="n">
        <v>7748</v>
      </c>
      <c r="E115" s="0" t="n">
        <v>7005</v>
      </c>
      <c r="F115" s="0" t="n">
        <v>4013</v>
      </c>
      <c r="G115" s="0" t="n">
        <v>3623</v>
      </c>
    </row>
    <row r="116" customFormat="false" ht="12.8" hidden="false" customHeight="false" outlineLevel="0" collapsed="false">
      <c r="B116" s="0" t="n">
        <v>79</v>
      </c>
      <c r="C116" s="0" t="s">
        <v>261</v>
      </c>
      <c r="D116" s="0" t="n">
        <v>447</v>
      </c>
      <c r="E116" s="0" t="n">
        <v>403</v>
      </c>
      <c r="F116" s="0" t="n">
        <v>433</v>
      </c>
      <c r="G116" s="0" t="n">
        <v>390</v>
      </c>
    </row>
    <row r="117" customFormat="false" ht="12.8" hidden="false" customHeight="false" outlineLevel="0" collapsed="false">
      <c r="B117" s="21" t="s">
        <v>168</v>
      </c>
      <c r="C117" s="21"/>
      <c r="D117" s="0" t="n">
        <v>124681</v>
      </c>
      <c r="E117" s="0" t="n">
        <v>117709</v>
      </c>
      <c r="F117" s="0" t="n">
        <v>68858</v>
      </c>
      <c r="G117" s="0" t="n">
        <v>64577</v>
      </c>
    </row>
    <row r="119" customFormat="false" ht="12.8" hidden="false" customHeight="false" outlineLevel="0" collapsed="false">
      <c r="B119" s="0" t="s">
        <v>120</v>
      </c>
      <c r="C119" s="14" t="s">
        <v>262</v>
      </c>
    </row>
    <row r="123" customFormat="false" ht="12.8" hidden="false" customHeight="false" outlineLevel="0" collapsed="false">
      <c r="B123" s="21" t="s">
        <v>263</v>
      </c>
      <c r="C123" s="21"/>
      <c r="D123" s="21"/>
    </row>
    <row r="124" customFormat="false" ht="12.8" hidden="false" customHeight="false" outlineLevel="0" collapsed="false">
      <c r="B124" s="0" t="s">
        <v>264</v>
      </c>
      <c r="C124" s="0" t="s">
        <v>265</v>
      </c>
      <c r="D124" s="0" t="s">
        <v>266</v>
      </c>
      <c r="E124" s="0" t="s">
        <v>267</v>
      </c>
    </row>
    <row r="125" customFormat="false" ht="12.8" hidden="false" customHeight="false" outlineLevel="0" collapsed="false">
      <c r="B125" s="0" t="n">
        <v>1</v>
      </c>
      <c r="C125" s="0" t="s">
        <v>268</v>
      </c>
      <c r="D125" s="0" t="n">
        <v>1143</v>
      </c>
      <c r="E125" s="0" t="n">
        <v>631</v>
      </c>
    </row>
    <row r="126" customFormat="false" ht="12.8" hidden="false" customHeight="false" outlineLevel="0" collapsed="false">
      <c r="B126" s="0" t="n">
        <v>2</v>
      </c>
      <c r="C126" s="0" t="s">
        <v>269</v>
      </c>
      <c r="D126" s="0" t="n">
        <v>4924</v>
      </c>
      <c r="E126" s="0" t="n">
        <v>2872</v>
      </c>
    </row>
    <row r="127" customFormat="false" ht="12.8" hidden="false" customHeight="false" outlineLevel="0" collapsed="false">
      <c r="B127" s="0" t="n">
        <v>3</v>
      </c>
      <c r="C127" s="0" t="s">
        <v>270</v>
      </c>
      <c r="D127" s="0" t="n">
        <v>58986</v>
      </c>
      <c r="E127" s="0" t="n">
        <v>38098</v>
      </c>
    </row>
    <row r="128" customFormat="false" ht="12.8" hidden="false" customHeight="false" outlineLevel="0" collapsed="false">
      <c r="B128" s="0" t="n">
        <v>4</v>
      </c>
      <c r="C128" s="0" t="s">
        <v>271</v>
      </c>
      <c r="D128" s="0" t="n">
        <v>348</v>
      </c>
      <c r="E128" s="0" t="n">
        <v>91</v>
      </c>
    </row>
    <row r="129" customFormat="false" ht="12.8" hidden="false" customHeight="false" outlineLevel="0" collapsed="false">
      <c r="B129" s="0" t="n">
        <v>5</v>
      </c>
      <c r="C129" s="0" t="s">
        <v>272</v>
      </c>
      <c r="D129" s="0" t="n">
        <v>1881</v>
      </c>
      <c r="E129" s="0" t="n">
        <v>726</v>
      </c>
    </row>
    <row r="130" customFormat="false" ht="12.8" hidden="false" customHeight="false" outlineLevel="0" collapsed="false">
      <c r="B130" s="0" t="n">
        <v>6</v>
      </c>
      <c r="C130" s="0" t="s">
        <v>273</v>
      </c>
      <c r="D130" s="0" t="n">
        <v>6830</v>
      </c>
      <c r="E130" s="0" t="n">
        <v>4109</v>
      </c>
    </row>
    <row r="131" customFormat="false" ht="12.8" hidden="false" customHeight="false" outlineLevel="0" collapsed="false">
      <c r="B131" s="0" t="n">
        <v>8</v>
      </c>
      <c r="C131" s="0" t="s">
        <v>274</v>
      </c>
      <c r="D131" s="0" t="n">
        <v>3302</v>
      </c>
      <c r="E131" s="0" t="n">
        <v>1721</v>
      </c>
    </row>
    <row r="132" customFormat="false" ht="12.8" hidden="false" customHeight="false" outlineLevel="0" collapsed="false">
      <c r="B132" s="0" t="n">
        <v>9</v>
      </c>
      <c r="C132" s="0" t="s">
        <v>275</v>
      </c>
      <c r="D132" s="0" t="n">
        <v>4863</v>
      </c>
      <c r="E132" s="0" t="n">
        <v>3440</v>
      </c>
    </row>
    <row r="133" customFormat="false" ht="12.8" hidden="false" customHeight="false" outlineLevel="0" collapsed="false">
      <c r="B133" s="0" t="n">
        <v>11</v>
      </c>
      <c r="C133" s="0" t="s">
        <v>276</v>
      </c>
      <c r="D133" s="0" t="n">
        <v>2803</v>
      </c>
      <c r="E133" s="0" t="n">
        <v>1186</v>
      </c>
    </row>
    <row r="134" customFormat="false" ht="12.8" hidden="false" customHeight="false" outlineLevel="0" collapsed="false">
      <c r="B134" s="0" t="n">
        <v>12</v>
      </c>
      <c r="C134" s="0" t="s">
        <v>277</v>
      </c>
      <c r="D134" s="0" t="n">
        <v>5032</v>
      </c>
      <c r="E134" s="0" t="n">
        <v>3432</v>
      </c>
    </row>
    <row r="135" customFormat="false" ht="12.8" hidden="false" customHeight="false" outlineLevel="0" collapsed="false">
      <c r="B135" s="0" t="n">
        <v>13</v>
      </c>
      <c r="C135" s="0" t="s">
        <v>278</v>
      </c>
      <c r="D135" s="0" t="n">
        <v>18480</v>
      </c>
      <c r="E135" s="0" t="n">
        <v>14187</v>
      </c>
    </row>
    <row r="136" customFormat="false" ht="12.8" hidden="false" customHeight="false" outlineLevel="0" collapsed="false">
      <c r="B136" s="0" t="n">
        <v>14</v>
      </c>
      <c r="C136" s="0" t="s">
        <v>279</v>
      </c>
      <c r="D136" s="0" t="n">
        <v>2005</v>
      </c>
      <c r="E136" s="0" t="n">
        <v>642</v>
      </c>
    </row>
    <row r="137" customFormat="false" ht="12.8" hidden="false" customHeight="false" outlineLevel="0" collapsed="false">
      <c r="B137" s="0" t="n">
        <v>15</v>
      </c>
      <c r="C137" s="0" t="s">
        <v>280</v>
      </c>
      <c r="D137" s="0" t="n">
        <v>2612</v>
      </c>
      <c r="E137" s="0" t="n">
        <v>896</v>
      </c>
    </row>
    <row r="138" customFormat="false" ht="12.8" hidden="false" customHeight="false" outlineLevel="0" collapsed="false">
      <c r="B138" s="0" t="n">
        <v>16</v>
      </c>
      <c r="C138" s="0" t="s">
        <v>281</v>
      </c>
      <c r="D138" s="0" t="n">
        <v>1112</v>
      </c>
      <c r="E138" s="0" t="n">
        <v>533</v>
      </c>
    </row>
    <row r="139" customFormat="false" ht="12.8" hidden="false" customHeight="false" outlineLevel="0" collapsed="false">
      <c r="B139" s="0" t="n">
        <v>67</v>
      </c>
      <c r="C139" s="0" t="s">
        <v>282</v>
      </c>
      <c r="D139" s="0" t="n">
        <v>1285</v>
      </c>
      <c r="E139" s="0" t="n">
        <v>979</v>
      </c>
    </row>
    <row r="140" customFormat="false" ht="12.8" hidden="false" customHeight="false" outlineLevel="0" collapsed="false">
      <c r="B140" s="0" t="n">
        <v>90</v>
      </c>
      <c r="C140" s="0" t="s">
        <v>283</v>
      </c>
      <c r="D140" s="0" t="n">
        <v>227</v>
      </c>
      <c r="E140" s="0" t="n">
        <v>216</v>
      </c>
    </row>
    <row r="141" customFormat="false" ht="12.8" hidden="false" customHeight="false" outlineLevel="0" collapsed="false">
      <c r="B141" s="0" t="n">
        <v>91</v>
      </c>
      <c r="C141" s="0" t="s">
        <v>284</v>
      </c>
      <c r="D141" s="0" t="n">
        <v>84</v>
      </c>
      <c r="E141" s="0" t="n">
        <v>76</v>
      </c>
    </row>
    <row r="142" customFormat="false" ht="12.8" hidden="false" customHeight="false" outlineLevel="0" collapsed="false">
      <c r="B142" s="21" t="s">
        <v>285</v>
      </c>
      <c r="C142" s="21"/>
      <c r="D142" s="0" t="n">
        <v>115917</v>
      </c>
      <c r="E142" s="0" t="n">
        <v>73835</v>
      </c>
    </row>
    <row r="143" customFormat="false" ht="12.8" hidden="false" customHeight="false" outlineLevel="0" collapsed="false">
      <c r="B143" s="21" t="s">
        <v>286</v>
      </c>
      <c r="C143" s="21"/>
      <c r="D143" s="21"/>
    </row>
    <row r="144" customFormat="false" ht="12.8" hidden="false" customHeight="false" outlineLevel="0" collapsed="false">
      <c r="B144" s="0" t="s">
        <v>264</v>
      </c>
      <c r="C144" s="0" t="s">
        <v>265</v>
      </c>
      <c r="D144" s="0" t="s">
        <v>266</v>
      </c>
      <c r="E144" s="0" t="s">
        <v>267</v>
      </c>
    </row>
    <row r="145" customFormat="false" ht="12.8" hidden="false" customHeight="false" outlineLevel="0" collapsed="false">
      <c r="B145" s="0" t="n">
        <v>31</v>
      </c>
      <c r="C145" s="0" t="s">
        <v>287</v>
      </c>
      <c r="D145" s="0" t="n">
        <v>1761</v>
      </c>
      <c r="E145" s="0" t="n">
        <v>1553</v>
      </c>
    </row>
    <row r="146" customFormat="false" ht="12.8" hidden="false" customHeight="false" outlineLevel="0" collapsed="false">
      <c r="B146" s="0" t="n">
        <v>32</v>
      </c>
      <c r="C146" s="0" t="s">
        <v>269</v>
      </c>
      <c r="D146" s="0" t="n">
        <v>7541</v>
      </c>
      <c r="E146" s="0" t="n">
        <v>4383</v>
      </c>
    </row>
    <row r="147" customFormat="false" ht="12.8" hidden="false" customHeight="false" outlineLevel="0" collapsed="false">
      <c r="B147" s="0" t="n">
        <v>33</v>
      </c>
      <c r="C147" s="0" t="s">
        <v>288</v>
      </c>
      <c r="D147" s="0" t="n">
        <v>138252</v>
      </c>
      <c r="E147" s="0" t="n">
        <v>102263</v>
      </c>
    </row>
    <row r="148" customFormat="false" ht="12.8" hidden="false" customHeight="false" outlineLevel="0" collapsed="false">
      <c r="B148" s="0" t="n">
        <v>35</v>
      </c>
      <c r="C148" s="0" t="s">
        <v>289</v>
      </c>
      <c r="D148" s="0" t="n">
        <v>521</v>
      </c>
      <c r="E148" s="0" t="n">
        <v>280</v>
      </c>
    </row>
    <row r="149" customFormat="false" ht="12.8" hidden="false" customHeight="false" outlineLevel="0" collapsed="false">
      <c r="B149" s="0" t="n">
        <v>36</v>
      </c>
      <c r="C149" s="0" t="s">
        <v>290</v>
      </c>
      <c r="D149" s="0" t="n">
        <v>2019</v>
      </c>
      <c r="E149" s="0" t="n">
        <v>779</v>
      </c>
    </row>
    <row r="150" customFormat="false" ht="12.8" hidden="false" customHeight="false" outlineLevel="0" collapsed="false">
      <c r="B150" s="0" t="n">
        <v>37</v>
      </c>
      <c r="C150" s="0" t="s">
        <v>291</v>
      </c>
      <c r="D150" s="0" t="n">
        <v>211</v>
      </c>
      <c r="E150" s="0" t="n">
        <v>179</v>
      </c>
    </row>
    <row r="151" customFormat="false" ht="12.8" hidden="false" customHeight="false" outlineLevel="0" collapsed="false">
      <c r="B151" s="0" t="n">
        <v>38</v>
      </c>
      <c r="C151" s="0" t="s">
        <v>292</v>
      </c>
      <c r="D151" s="0" t="n">
        <v>1621</v>
      </c>
      <c r="E151" s="0" t="n">
        <v>874</v>
      </c>
    </row>
    <row r="152" customFormat="false" ht="12.8" hidden="false" customHeight="false" outlineLevel="0" collapsed="false">
      <c r="B152" s="0" t="n">
        <v>40</v>
      </c>
      <c r="C152" s="0" t="s">
        <v>293</v>
      </c>
      <c r="D152" s="0" t="n">
        <v>3064</v>
      </c>
      <c r="E152" s="0" t="n">
        <v>1796</v>
      </c>
    </row>
    <row r="153" customFormat="false" ht="12.8" hidden="false" customHeight="false" outlineLevel="0" collapsed="false">
      <c r="B153" s="0" t="n">
        <v>41</v>
      </c>
      <c r="C153" s="0" t="s">
        <v>294</v>
      </c>
      <c r="D153" s="0" t="n">
        <v>2689</v>
      </c>
      <c r="E153" s="0" t="n">
        <v>1890</v>
      </c>
    </row>
    <row r="154" customFormat="false" ht="12.8" hidden="false" customHeight="false" outlineLevel="0" collapsed="false">
      <c r="B154" s="0" t="n">
        <v>42</v>
      </c>
      <c r="C154" s="0" t="s">
        <v>295</v>
      </c>
      <c r="D154" s="0" t="n">
        <v>4307</v>
      </c>
      <c r="E154" s="0" t="n">
        <v>2954</v>
      </c>
    </row>
    <row r="155" customFormat="false" ht="12.8" hidden="false" customHeight="false" outlineLevel="0" collapsed="false">
      <c r="B155" s="0" t="n">
        <v>44</v>
      </c>
      <c r="C155" s="0" t="s">
        <v>277</v>
      </c>
      <c r="D155" s="0" t="n">
        <v>6540</v>
      </c>
      <c r="E155" s="0" t="n">
        <v>4150</v>
      </c>
    </row>
    <row r="156" customFormat="false" ht="12.8" hidden="false" customHeight="false" outlineLevel="0" collapsed="false">
      <c r="B156" s="0" t="n">
        <v>46</v>
      </c>
      <c r="C156" s="0" t="s">
        <v>296</v>
      </c>
      <c r="D156" s="0" t="n">
        <v>2680</v>
      </c>
      <c r="E156" s="0" t="n">
        <v>1633</v>
      </c>
    </row>
    <row r="157" customFormat="false" ht="12.8" hidden="false" customHeight="false" outlineLevel="0" collapsed="false">
      <c r="B157" s="0" t="n">
        <v>66</v>
      </c>
      <c r="C157" s="0" t="s">
        <v>297</v>
      </c>
      <c r="D157" s="0" t="n">
        <v>5841</v>
      </c>
      <c r="E157" s="0" t="n">
        <v>4410</v>
      </c>
    </row>
    <row r="158" customFormat="false" ht="12.8" hidden="false" customHeight="false" outlineLevel="0" collapsed="false">
      <c r="B158" s="0" t="n">
        <v>87</v>
      </c>
      <c r="C158" s="0" t="s">
        <v>298</v>
      </c>
      <c r="D158" s="0" t="n">
        <v>3448</v>
      </c>
      <c r="E158" s="0" t="n">
        <v>1969</v>
      </c>
    </row>
    <row r="159" customFormat="false" ht="12.8" hidden="false" customHeight="false" outlineLevel="0" collapsed="false">
      <c r="B159" s="0" t="n">
        <v>88</v>
      </c>
      <c r="C159" s="0" t="s">
        <v>283</v>
      </c>
      <c r="D159" s="0" t="n">
        <v>110</v>
      </c>
      <c r="E159" s="0" t="n">
        <v>78</v>
      </c>
    </row>
    <row r="160" customFormat="false" ht="12.8" hidden="false" customHeight="false" outlineLevel="0" collapsed="false">
      <c r="B160" s="0" t="n">
        <v>89</v>
      </c>
      <c r="C160" s="0" t="s">
        <v>284</v>
      </c>
      <c r="D160" s="0" t="n">
        <v>40</v>
      </c>
      <c r="E160" s="0" t="n">
        <v>33</v>
      </c>
    </row>
    <row r="161" customFormat="false" ht="12.8" hidden="false" customHeight="false" outlineLevel="0" collapsed="false">
      <c r="B161" s="21" t="s">
        <v>299</v>
      </c>
      <c r="C161" s="21"/>
      <c r="D161" s="0" t="n">
        <v>180645</v>
      </c>
      <c r="E161" s="0" t="n">
        <v>129224</v>
      </c>
    </row>
    <row r="162" customFormat="false" ht="12.8" hidden="false" customHeight="false" outlineLevel="0" collapsed="false">
      <c r="B162" s="21" t="s">
        <v>300</v>
      </c>
      <c r="C162" s="21"/>
      <c r="D162" s="21"/>
    </row>
    <row r="163" customFormat="false" ht="12.8" hidden="false" customHeight="false" outlineLevel="0" collapsed="false">
      <c r="B163" s="0" t="s">
        <v>264</v>
      </c>
      <c r="C163" s="0" t="s">
        <v>265</v>
      </c>
      <c r="D163" s="0" t="s">
        <v>266</v>
      </c>
      <c r="E163" s="0" t="s">
        <v>267</v>
      </c>
    </row>
    <row r="164" customFormat="false" ht="12.8" hidden="false" customHeight="false" outlineLevel="0" collapsed="false">
      <c r="B164" s="0" t="n">
        <v>10</v>
      </c>
      <c r="C164" s="0" t="s">
        <v>301</v>
      </c>
      <c r="D164" s="0" t="n">
        <v>25726</v>
      </c>
      <c r="E164" s="0" t="n">
        <v>17972</v>
      </c>
    </row>
    <row r="165" customFormat="false" ht="12.8" hidden="false" customHeight="false" outlineLevel="0" collapsed="false">
      <c r="B165" s="0" t="n">
        <v>43</v>
      </c>
      <c r="C165" s="0" t="s">
        <v>302</v>
      </c>
      <c r="D165" s="0" t="n">
        <v>25539</v>
      </c>
      <c r="E165" s="0" t="n">
        <v>20537</v>
      </c>
    </row>
    <row r="166" customFormat="false" ht="12.8" hidden="false" customHeight="false" outlineLevel="0" collapsed="false">
      <c r="B166" s="21" t="s">
        <v>303</v>
      </c>
      <c r="C166" s="21"/>
      <c r="D166" s="0" t="n">
        <v>51265</v>
      </c>
      <c r="E166" s="0" t="n">
        <v>38509</v>
      </c>
    </row>
    <row r="167" customFormat="false" ht="12.8" hidden="false" customHeight="false" outlineLevel="0" collapsed="false">
      <c r="B167" s="21" t="s">
        <v>304</v>
      </c>
      <c r="C167" s="21"/>
      <c r="D167" s="21"/>
    </row>
    <row r="168" customFormat="false" ht="12.8" hidden="false" customHeight="false" outlineLevel="0" collapsed="false">
      <c r="B168" s="0" t="s">
        <v>264</v>
      </c>
      <c r="C168" s="0" t="s">
        <v>265</v>
      </c>
      <c r="D168" s="0" t="s">
        <v>266</v>
      </c>
      <c r="E168" s="0" t="s">
        <v>267</v>
      </c>
    </row>
    <row r="169" customFormat="false" ht="12.8" hidden="false" customHeight="false" outlineLevel="0" collapsed="false">
      <c r="B169" s="0" t="n">
        <v>45</v>
      </c>
      <c r="C169" s="0" t="s">
        <v>305</v>
      </c>
      <c r="D169" s="0" t="n">
        <v>41122</v>
      </c>
      <c r="E169" s="0" t="n">
        <v>32876</v>
      </c>
    </row>
    <row r="170" customFormat="false" ht="12.8" hidden="false" customHeight="false" outlineLevel="0" collapsed="false">
      <c r="B170" s="0" t="n">
        <v>68</v>
      </c>
      <c r="C170" s="0" t="s">
        <v>306</v>
      </c>
      <c r="D170" s="0" t="n">
        <v>5514</v>
      </c>
      <c r="E170" s="0" t="n">
        <v>3885</v>
      </c>
    </row>
    <row r="171" customFormat="false" ht="12.8" hidden="false" customHeight="false" outlineLevel="0" collapsed="false">
      <c r="B171" s="21" t="s">
        <v>307</v>
      </c>
      <c r="C171" s="21"/>
      <c r="D171" s="0" t="n">
        <v>46636</v>
      </c>
      <c r="E171" s="0" t="n">
        <v>36761</v>
      </c>
    </row>
    <row r="172" customFormat="false" ht="12.8" hidden="false" customHeight="false" outlineLevel="0" collapsed="false">
      <c r="B172" s="21" t="s">
        <v>308</v>
      </c>
      <c r="C172" s="21"/>
      <c r="D172" s="21"/>
    </row>
    <row r="173" customFormat="false" ht="12.8" hidden="false" customHeight="false" outlineLevel="0" collapsed="false">
      <c r="B173" s="0" t="s">
        <v>264</v>
      </c>
      <c r="C173" s="0" t="s">
        <v>265</v>
      </c>
      <c r="D173" s="0" t="s">
        <v>266</v>
      </c>
      <c r="E173" s="0" t="s">
        <v>267</v>
      </c>
    </row>
    <row r="174" customFormat="false" ht="12.8" hidden="false" customHeight="false" outlineLevel="0" collapsed="false">
      <c r="B174" s="0" t="n">
        <v>34</v>
      </c>
      <c r="C174" s="0" t="s">
        <v>309</v>
      </c>
      <c r="D174" s="0" t="n">
        <v>10320</v>
      </c>
      <c r="E174" s="0" t="n">
        <v>8385</v>
      </c>
    </row>
    <row r="175" customFormat="false" ht="12.8" hidden="false" customHeight="false" outlineLevel="0" collapsed="false">
      <c r="B175" s="0" t="n">
        <v>47</v>
      </c>
      <c r="C175" s="0" t="s">
        <v>310</v>
      </c>
      <c r="D175" s="0" t="n">
        <v>29816</v>
      </c>
      <c r="E175" s="0" t="n">
        <v>17421</v>
      </c>
    </row>
    <row r="176" customFormat="false" ht="12.8" hidden="false" customHeight="false" outlineLevel="0" collapsed="false">
      <c r="B176" s="0" t="n">
        <v>48</v>
      </c>
      <c r="C176" s="0" t="s">
        <v>311</v>
      </c>
      <c r="D176" s="0" t="n">
        <v>3505</v>
      </c>
      <c r="E176" s="0" t="n">
        <v>1017</v>
      </c>
    </row>
    <row r="177" customFormat="false" ht="12.8" hidden="false" customHeight="false" outlineLevel="0" collapsed="false">
      <c r="B177" s="0" t="n">
        <v>49</v>
      </c>
      <c r="C177" s="0" t="s">
        <v>312</v>
      </c>
      <c r="D177" s="0" t="n">
        <v>1227</v>
      </c>
      <c r="E177" s="0" t="n">
        <v>1179</v>
      </c>
    </row>
    <row r="178" customFormat="false" ht="12.8" hidden="false" customHeight="false" outlineLevel="0" collapsed="false">
      <c r="B178" s="0" t="n">
        <v>84</v>
      </c>
      <c r="C178" s="0" t="s">
        <v>313</v>
      </c>
      <c r="D178" s="0" t="n">
        <v>2240</v>
      </c>
      <c r="E178" s="0" t="n">
        <v>2228</v>
      </c>
    </row>
    <row r="179" customFormat="false" ht="12.8" hidden="false" customHeight="false" outlineLevel="0" collapsed="false">
      <c r="B179" s="21" t="s">
        <v>314</v>
      </c>
      <c r="C179" s="21"/>
      <c r="D179" s="0" t="n">
        <v>47108</v>
      </c>
      <c r="E179" s="0" t="n">
        <v>30230</v>
      </c>
    </row>
    <row r="180" customFormat="false" ht="12.8" hidden="false" customHeight="false" outlineLevel="0" collapsed="false">
      <c r="B180" s="21" t="s">
        <v>315</v>
      </c>
      <c r="C180" s="21"/>
      <c r="D180" s="21"/>
    </row>
    <row r="181" customFormat="false" ht="12.8" hidden="false" customHeight="false" outlineLevel="0" collapsed="false">
      <c r="B181" s="0" t="s">
        <v>264</v>
      </c>
      <c r="C181" s="0" t="s">
        <v>265</v>
      </c>
      <c r="D181" s="0" t="s">
        <v>266</v>
      </c>
      <c r="E181" s="0" t="s">
        <v>267</v>
      </c>
    </row>
    <row r="182" customFormat="false" ht="12.8" hidden="false" customHeight="false" outlineLevel="0" collapsed="false">
      <c r="B182" s="0" t="n">
        <v>7</v>
      </c>
      <c r="C182" s="0" t="s">
        <v>316</v>
      </c>
      <c r="D182" s="0" t="n">
        <v>8438</v>
      </c>
      <c r="E182" s="0" t="n">
        <v>3677</v>
      </c>
    </row>
    <row r="183" customFormat="false" ht="12.8" hidden="false" customHeight="false" outlineLevel="0" collapsed="false">
      <c r="B183" s="0" t="n">
        <v>69</v>
      </c>
      <c r="C183" s="0" t="s">
        <v>287</v>
      </c>
      <c r="D183" s="0" t="n">
        <v>471</v>
      </c>
      <c r="E183" s="0" t="n">
        <v>455</v>
      </c>
    </row>
    <row r="184" customFormat="false" ht="12.8" hidden="false" customHeight="false" outlineLevel="0" collapsed="false">
      <c r="B184" s="0" t="n">
        <v>70</v>
      </c>
      <c r="C184" s="0" t="s">
        <v>317</v>
      </c>
      <c r="D184" s="0" t="n">
        <v>22</v>
      </c>
      <c r="E184" s="0" t="n">
        <v>15</v>
      </c>
    </row>
    <row r="185" customFormat="false" ht="12.8" hidden="false" customHeight="false" outlineLevel="0" collapsed="false">
      <c r="B185" s="0" t="n">
        <v>71</v>
      </c>
      <c r="C185" s="0" t="s">
        <v>318</v>
      </c>
      <c r="D185" s="0" t="n">
        <v>288</v>
      </c>
      <c r="E185" s="0" t="n">
        <v>237</v>
      </c>
    </row>
    <row r="186" customFormat="false" ht="12.8" hidden="false" customHeight="false" outlineLevel="0" collapsed="false">
      <c r="B186" s="0" t="n">
        <v>72</v>
      </c>
      <c r="C186" s="0" t="s">
        <v>290</v>
      </c>
      <c r="D186" s="0" t="n">
        <v>83</v>
      </c>
      <c r="E186" s="0" t="n">
        <v>14</v>
      </c>
    </row>
    <row r="187" customFormat="false" ht="12.8" hidden="false" customHeight="false" outlineLevel="0" collapsed="false">
      <c r="B187" s="0" t="n">
        <v>73</v>
      </c>
      <c r="C187" s="0" t="s">
        <v>298</v>
      </c>
      <c r="D187" s="0" t="n">
        <v>3011</v>
      </c>
      <c r="E187" s="0" t="n">
        <v>1018</v>
      </c>
    </row>
    <row r="188" customFormat="false" ht="12.8" hidden="false" customHeight="false" outlineLevel="0" collapsed="false">
      <c r="B188" s="21" t="s">
        <v>319</v>
      </c>
      <c r="C188" s="21"/>
      <c r="D188" s="0" t="n">
        <v>12313</v>
      </c>
      <c r="E188" s="0" t="n">
        <v>5416</v>
      </c>
    </row>
    <row r="189" customFormat="false" ht="12.8" hidden="false" customHeight="false" outlineLevel="0" collapsed="false">
      <c r="B189" s="21" t="s">
        <v>320</v>
      </c>
      <c r="C189" s="21"/>
      <c r="D189" s="21"/>
    </row>
    <row r="190" customFormat="false" ht="12.8" hidden="false" customHeight="false" outlineLevel="0" collapsed="false">
      <c r="B190" s="0" t="s">
        <v>264</v>
      </c>
      <c r="C190" s="0" t="s">
        <v>265</v>
      </c>
      <c r="D190" s="0" t="s">
        <v>266</v>
      </c>
      <c r="E190" s="0" t="s">
        <v>321</v>
      </c>
    </row>
    <row r="191" customFormat="false" ht="12.8" hidden="false" customHeight="false" outlineLevel="0" collapsed="false">
      <c r="B191" s="0" t="n">
        <v>51</v>
      </c>
      <c r="C191" s="0" t="s">
        <v>322</v>
      </c>
      <c r="D191" s="0" t="n">
        <v>488</v>
      </c>
      <c r="E191" s="0" t="n">
        <v>0</v>
      </c>
    </row>
    <row r="192" customFormat="false" ht="12.8" hidden="false" customHeight="false" outlineLevel="0" collapsed="false">
      <c r="B192" s="0" t="n">
        <v>52</v>
      </c>
      <c r="C192" s="0" t="s">
        <v>323</v>
      </c>
      <c r="D192" s="0" t="n">
        <v>11</v>
      </c>
      <c r="E192" s="0" t="n">
        <v>0</v>
      </c>
    </row>
    <row r="193" customFormat="false" ht="12.8" hidden="false" customHeight="false" outlineLevel="0" collapsed="false">
      <c r="B193" s="0" t="n">
        <v>65</v>
      </c>
      <c r="C193" s="0" t="s">
        <v>324</v>
      </c>
      <c r="D193" s="0" t="n">
        <v>278</v>
      </c>
      <c r="E193" s="0" t="n">
        <v>254</v>
      </c>
    </row>
    <row r="194" customFormat="false" ht="12.8" hidden="false" customHeight="false" outlineLevel="0" collapsed="false">
      <c r="B194" s="0" t="n">
        <v>74</v>
      </c>
      <c r="C194" s="0" t="s">
        <v>325</v>
      </c>
      <c r="D194" s="0" t="n">
        <v>7030</v>
      </c>
      <c r="E194" s="0" t="n">
        <v>367</v>
      </c>
    </row>
    <row r="195" customFormat="false" ht="12.8" hidden="false" customHeight="false" outlineLevel="0" collapsed="false">
      <c r="B195" s="0" t="n">
        <v>75</v>
      </c>
      <c r="C195" s="0" t="s">
        <v>326</v>
      </c>
      <c r="D195" s="0" t="n">
        <v>29734</v>
      </c>
      <c r="E195" s="0" t="n">
        <v>19016</v>
      </c>
    </row>
    <row r="196" customFormat="false" ht="12.8" hidden="false" customHeight="false" outlineLevel="0" collapsed="false">
      <c r="B196" s="0" t="n">
        <v>76</v>
      </c>
      <c r="C196" s="0" t="s">
        <v>327</v>
      </c>
      <c r="D196" s="0" t="n">
        <v>6102</v>
      </c>
      <c r="E196" s="0" t="n">
        <v>2440</v>
      </c>
    </row>
    <row r="197" customFormat="false" ht="12.8" hidden="false" customHeight="false" outlineLevel="0" collapsed="false">
      <c r="B197" s="0" t="n">
        <v>77</v>
      </c>
      <c r="C197" s="0" t="s">
        <v>328</v>
      </c>
      <c r="D197" s="0" t="n">
        <v>1041</v>
      </c>
      <c r="E197" s="0" t="n">
        <v>86</v>
      </c>
    </row>
    <row r="198" customFormat="false" ht="12.8" hidden="false" customHeight="false" outlineLevel="0" collapsed="false">
      <c r="B198" s="0" t="n">
        <v>78</v>
      </c>
      <c r="C198" s="0" t="s">
        <v>329</v>
      </c>
      <c r="D198" s="0" t="n">
        <v>3705</v>
      </c>
      <c r="E198" s="0" t="n">
        <v>2416</v>
      </c>
    </row>
    <row r="199" customFormat="false" ht="12.8" hidden="false" customHeight="false" outlineLevel="0" collapsed="false">
      <c r="B199" s="0" t="n">
        <v>79</v>
      </c>
      <c r="C199" s="0" t="s">
        <v>330</v>
      </c>
      <c r="D199" s="0" t="n">
        <v>1162</v>
      </c>
      <c r="E199" s="0" t="n">
        <v>591</v>
      </c>
    </row>
    <row r="200" customFormat="false" ht="12.8" hidden="false" customHeight="false" outlineLevel="0" collapsed="false">
      <c r="B200" s="0" t="n">
        <v>80</v>
      </c>
      <c r="C200" s="0" t="s">
        <v>331</v>
      </c>
      <c r="D200" s="0" t="n">
        <v>1738</v>
      </c>
      <c r="E200" s="0" t="n">
        <v>20</v>
      </c>
    </row>
    <row r="201" customFormat="false" ht="12.8" hidden="false" customHeight="false" outlineLevel="0" collapsed="false">
      <c r="B201" s="0" t="n">
        <v>81</v>
      </c>
      <c r="C201" s="0" t="s">
        <v>332</v>
      </c>
      <c r="D201" s="0" t="n">
        <v>6585</v>
      </c>
      <c r="E201" s="0" t="n">
        <v>4173</v>
      </c>
    </row>
    <row r="202" customFormat="false" ht="12.8" hidden="false" customHeight="false" outlineLevel="0" collapsed="false">
      <c r="B202" s="0" t="n">
        <v>82</v>
      </c>
      <c r="C202" s="0" t="s">
        <v>333</v>
      </c>
      <c r="D202" s="0" t="n">
        <v>1499</v>
      </c>
      <c r="E202" s="0" t="n">
        <v>686</v>
      </c>
    </row>
    <row r="203" customFormat="false" ht="12.8" hidden="false" customHeight="false" outlineLevel="0" collapsed="false">
      <c r="B203" s="0" t="n">
        <v>83</v>
      </c>
      <c r="C203" s="0" t="s">
        <v>334</v>
      </c>
      <c r="D203" s="0" t="n">
        <v>238</v>
      </c>
      <c r="E203" s="0" t="n">
        <v>158</v>
      </c>
    </row>
    <row r="204" customFormat="false" ht="12.8" hidden="false" customHeight="false" outlineLevel="0" collapsed="false">
      <c r="B204" s="0" t="n">
        <v>85</v>
      </c>
      <c r="C204" s="0" t="s">
        <v>335</v>
      </c>
      <c r="D204" s="0" t="n">
        <v>1116</v>
      </c>
      <c r="E204" s="0" t="n">
        <v>320</v>
      </c>
    </row>
    <row r="205" customFormat="false" ht="12.8" hidden="false" customHeight="false" outlineLevel="0" collapsed="false">
      <c r="B205" s="0" t="n">
        <v>86</v>
      </c>
      <c r="C205" s="0" t="s">
        <v>336</v>
      </c>
      <c r="D205" s="0" t="n">
        <v>363</v>
      </c>
      <c r="E205" s="0" t="n">
        <v>44</v>
      </c>
    </row>
    <row r="206" customFormat="false" ht="12.8" hidden="false" customHeight="false" outlineLevel="0" collapsed="false">
      <c r="B206" s="0" t="n">
        <v>92</v>
      </c>
      <c r="C206" s="0" t="s">
        <v>337</v>
      </c>
      <c r="D206" s="0" t="n">
        <v>4850</v>
      </c>
      <c r="E206" s="0" t="n">
        <v>3221</v>
      </c>
    </row>
    <row r="207" customFormat="false" ht="12.8" hidden="false" customHeight="false" outlineLevel="0" collapsed="false">
      <c r="B207" s="0" t="n">
        <v>93</v>
      </c>
      <c r="C207" s="0" t="s">
        <v>338</v>
      </c>
      <c r="D207" s="0" t="n">
        <v>1497</v>
      </c>
      <c r="E207" s="0" t="n">
        <v>994</v>
      </c>
    </row>
    <row r="208" customFormat="false" ht="12.8" hidden="false" customHeight="false" outlineLevel="0" collapsed="false">
      <c r="B208" s="0" t="n">
        <v>94</v>
      </c>
      <c r="C208" s="0" t="s">
        <v>339</v>
      </c>
      <c r="D208" s="0" t="n">
        <v>395</v>
      </c>
      <c r="E208" s="0" t="n">
        <v>214</v>
      </c>
    </row>
    <row r="209" customFormat="false" ht="12.8" hidden="false" customHeight="false" outlineLevel="0" collapsed="false">
      <c r="B209" s="0" t="n">
        <v>95</v>
      </c>
      <c r="C209" s="0" t="s">
        <v>340</v>
      </c>
      <c r="D209" s="0" t="n">
        <v>3252</v>
      </c>
      <c r="E209" s="0" t="n">
        <v>1622</v>
      </c>
    </row>
    <row r="210" customFormat="false" ht="12.8" hidden="false" customHeight="false" outlineLevel="0" collapsed="false">
      <c r="B210" s="0" t="n">
        <v>96</v>
      </c>
      <c r="C210" s="0" t="s">
        <v>341</v>
      </c>
      <c r="D210" s="0" t="n">
        <v>124</v>
      </c>
      <c r="E210" s="0" t="n">
        <v>0</v>
      </c>
    </row>
    <row r="211" customFormat="false" ht="12.8" hidden="false" customHeight="false" outlineLevel="0" collapsed="false">
      <c r="B211" s="21" t="s">
        <v>342</v>
      </c>
      <c r="C211" s="21"/>
      <c r="D211" s="0" t="n">
        <v>71208</v>
      </c>
      <c r="E211" s="0" t="n">
        <v>36622</v>
      </c>
    </row>
    <row r="212" customFormat="false" ht="12.8" hidden="false" customHeight="false" outlineLevel="0" collapsed="false">
      <c r="B212" s="21" t="s">
        <v>343</v>
      </c>
      <c r="C212" s="21"/>
      <c r="D212" s="21"/>
      <c r="E212" s="21"/>
      <c r="F212" s="21"/>
    </row>
    <row r="213" customFormat="false" ht="12.8" hidden="false" customHeight="false" outlineLevel="0" collapsed="false">
      <c r="B213" s="21" t="s">
        <v>344</v>
      </c>
      <c r="C213" s="21"/>
      <c r="D213" s="0" t="n">
        <v>296562</v>
      </c>
      <c r="E213" s="0" t="n">
        <v>203059</v>
      </c>
    </row>
    <row r="214" customFormat="false" ht="12.8" hidden="false" customHeight="false" outlineLevel="0" collapsed="false">
      <c r="B214" s="21" t="s">
        <v>345</v>
      </c>
      <c r="C214" s="21"/>
      <c r="D214" s="0" t="n">
        <v>453884</v>
      </c>
      <c r="E214" s="0" t="n">
        <v>313975</v>
      </c>
    </row>
    <row r="216" customFormat="false" ht="12.8" hidden="false" customHeight="false" outlineLevel="0" collapsed="false">
      <c r="B216" s="0" t="s">
        <v>346</v>
      </c>
      <c r="C216" s="0" t="s">
        <v>347</v>
      </c>
    </row>
    <row r="218" customFormat="false" ht="12.8" hidden="false" customHeight="false" outlineLevel="0" collapsed="false">
      <c r="C218" s="0" t="s">
        <v>348</v>
      </c>
      <c r="D218" s="0" t="n">
        <f aca="false">D142+D211+D164+D170</f>
        <v>218365</v>
      </c>
    </row>
    <row r="219" customFormat="false" ht="12.8" hidden="false" customHeight="false" outlineLevel="0" collapsed="false">
      <c r="C219" s="0" t="s">
        <v>349</v>
      </c>
      <c r="D219" s="0" t="n">
        <f aca="false">D161+D165+D169+D179+D188</f>
        <v>306727</v>
      </c>
    </row>
  </sheetData>
  <mergeCells count="33">
    <mergeCell ref="B3:E3"/>
    <mergeCell ref="B17:C17"/>
    <mergeCell ref="B18:E18"/>
    <mergeCell ref="B37:C37"/>
    <mergeCell ref="B38:E38"/>
    <mergeCell ref="B54:C54"/>
    <mergeCell ref="B55:E55"/>
    <mergeCell ref="B63:C63"/>
    <mergeCell ref="B64:E64"/>
    <mergeCell ref="B80:C80"/>
    <mergeCell ref="B81:E81"/>
    <mergeCell ref="B84:C84"/>
    <mergeCell ref="B85:E85"/>
    <mergeCell ref="B103:C103"/>
    <mergeCell ref="B104:E104"/>
    <mergeCell ref="B117:C117"/>
    <mergeCell ref="B123:D123"/>
    <mergeCell ref="B142:C142"/>
    <mergeCell ref="B143:D143"/>
    <mergeCell ref="B161:C161"/>
    <mergeCell ref="B162:D162"/>
    <mergeCell ref="B166:C166"/>
    <mergeCell ref="B167:D167"/>
    <mergeCell ref="B171:C171"/>
    <mergeCell ref="B172:D172"/>
    <mergeCell ref="B179:C179"/>
    <mergeCell ref="B180:D180"/>
    <mergeCell ref="B188:C188"/>
    <mergeCell ref="B189:D189"/>
    <mergeCell ref="B211:C211"/>
    <mergeCell ref="B212:F212"/>
    <mergeCell ref="B213:C213"/>
    <mergeCell ref="B214:C214"/>
  </mergeCells>
  <hyperlinks>
    <hyperlink ref="C119" r:id="rId1" display="http://cnes2.datasus.gov.br/Mod_Ind_Equipamento.asp?VEstado=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40"/>
  <sheetViews>
    <sheetView showFormulas="false" showGridLines="true" showRowColHeaders="true" showZeros="true" rightToLeft="false" tabSelected="false" showOutlineSymbols="true" defaultGridColor="true" view="normal" topLeftCell="A101" colorId="64" zoomScale="160" zoomScaleNormal="160" zoomScalePageLayoutView="100" workbookViewId="0">
      <selection pane="topLeft" activeCell="D138" activeCellId="0" sqref="D13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44"/>
    <col collapsed="false" customWidth="true" hidden="false" outlineLevel="0" max="3" min="3" style="0" width="50.29"/>
    <col collapsed="false" customWidth="true" hidden="false" outlineLevel="0" max="4" min="4" style="0" width="45.15"/>
  </cols>
  <sheetData>
    <row r="3" customFormat="false" ht="19.45" hidden="false" customHeight="true" outlineLevel="0" collapsed="false">
      <c r="C3" s="22" t="s">
        <v>350</v>
      </c>
    </row>
    <row r="4" customFormat="false" ht="12.8" hidden="false" customHeight="false" outlineLevel="0" collapsed="false">
      <c r="C4" s="0" t="s">
        <v>351</v>
      </c>
    </row>
    <row r="5" customFormat="false" ht="12.8" hidden="false" customHeight="false" outlineLevel="0" collapsed="false">
      <c r="C5" s="0" t="s">
        <v>352</v>
      </c>
    </row>
    <row r="6" customFormat="false" ht="12.8" hidden="false" customHeight="false" outlineLevel="0" collapsed="false">
      <c r="C6" s="0" t="s">
        <v>353</v>
      </c>
    </row>
    <row r="7" customFormat="false" ht="12.8" hidden="false" customHeight="false" outlineLevel="0" collapsed="false">
      <c r="C7" s="0" t="s">
        <v>354</v>
      </c>
    </row>
    <row r="8" customFormat="false" ht="12.8" hidden="false" customHeight="false" outlineLevel="0" collapsed="false">
      <c r="C8" s="0" t="s">
        <v>355</v>
      </c>
    </row>
    <row r="9" customFormat="false" ht="12.8" hidden="false" customHeight="false" outlineLevel="0" collapsed="false">
      <c r="C9" s="0" t="s">
        <v>356</v>
      </c>
    </row>
    <row r="12" customFormat="false" ht="19.45" hidden="false" customHeight="true" outlineLevel="0" collapsed="false">
      <c r="C12" s="22" t="s">
        <v>357</v>
      </c>
    </row>
    <row r="13" customFormat="false" ht="12.8" hidden="false" customHeight="false" outlineLevel="0" collapsed="false">
      <c r="C13" s="0" t="s">
        <v>358</v>
      </c>
    </row>
    <row r="14" customFormat="false" ht="12.8" hidden="false" customHeight="false" outlineLevel="0" collapsed="false">
      <c r="C14" s="0" t="s">
        <v>359</v>
      </c>
    </row>
    <row r="15" customFormat="false" ht="12.8" hidden="false" customHeight="false" outlineLevel="0" collapsed="false">
      <c r="C15" s="23" t="s">
        <v>360</v>
      </c>
    </row>
    <row r="16" customFormat="false" ht="12.8" hidden="false" customHeight="false" outlineLevel="0" collapsed="false">
      <c r="C16" s="23" t="s">
        <v>361</v>
      </c>
    </row>
    <row r="17" customFormat="false" ht="12.8" hidden="false" customHeight="false" outlineLevel="0" collapsed="false">
      <c r="C17" s="23" t="s">
        <v>362</v>
      </c>
    </row>
    <row r="18" customFormat="false" ht="12.8" hidden="false" customHeight="false" outlineLevel="0" collapsed="false">
      <c r="C18" s="23" t="s">
        <v>363</v>
      </c>
    </row>
    <row r="19" customFormat="false" ht="12.8" hidden="false" customHeight="false" outlineLevel="0" collapsed="false">
      <c r="C19" s="23" t="s">
        <v>364</v>
      </c>
    </row>
    <row r="20" customFormat="false" ht="12.8" hidden="false" customHeight="false" outlineLevel="0" collapsed="false">
      <c r="C20" s="0" t="s">
        <v>365</v>
      </c>
    </row>
    <row r="21" customFormat="false" ht="12.8" hidden="false" customHeight="false" outlineLevel="0" collapsed="false">
      <c r="C21" s="0" t="s">
        <v>366</v>
      </c>
    </row>
    <row r="22" customFormat="false" ht="12.8" hidden="false" customHeight="false" outlineLevel="0" collapsed="false">
      <c r="C22" s="0" t="s">
        <v>367</v>
      </c>
    </row>
    <row r="23" customFormat="false" ht="12.8" hidden="false" customHeight="false" outlineLevel="0" collapsed="false">
      <c r="C23" s="0" t="s">
        <v>368</v>
      </c>
    </row>
    <row r="24" customFormat="false" ht="12.8" hidden="false" customHeight="false" outlineLevel="0" collapsed="false">
      <c r="C24" s="0" t="s">
        <v>369</v>
      </c>
    </row>
    <row r="25" customFormat="false" ht="12.8" hidden="false" customHeight="false" outlineLevel="0" collapsed="false">
      <c r="C25" s="0" t="s">
        <v>370</v>
      </c>
    </row>
    <row r="26" customFormat="false" ht="12.8" hidden="false" customHeight="false" outlineLevel="0" collapsed="false">
      <c r="C26" s="0" t="s">
        <v>371</v>
      </c>
    </row>
    <row r="27" customFormat="false" ht="12.8" hidden="false" customHeight="false" outlineLevel="0" collapsed="false">
      <c r="C27" s="0" t="s">
        <v>372</v>
      </c>
    </row>
    <row r="28" customFormat="false" ht="12.8" hidden="false" customHeight="false" outlineLevel="0" collapsed="false">
      <c r="C28" s="0" t="s">
        <v>373</v>
      </c>
    </row>
    <row r="29" customFormat="false" ht="12.8" hidden="false" customHeight="false" outlineLevel="0" collapsed="false">
      <c r="C29" s="0" t="s">
        <v>374</v>
      </c>
    </row>
    <row r="30" customFormat="false" ht="12.8" hidden="false" customHeight="false" outlineLevel="0" collapsed="false">
      <c r="C30" s="23" t="s">
        <v>375</v>
      </c>
      <c r="D30" s="0" t="s">
        <v>376</v>
      </c>
      <c r="E30" s="0" t="s">
        <v>377</v>
      </c>
      <c r="F30" s="0" t="s">
        <v>378</v>
      </c>
    </row>
    <row r="31" customFormat="false" ht="12.8" hidden="false" customHeight="false" outlineLevel="0" collapsed="false">
      <c r="C31" s="23" t="s">
        <v>379</v>
      </c>
      <c r="D31" s="0" t="s">
        <v>380</v>
      </c>
      <c r="E31" s="0" t="n">
        <v>173</v>
      </c>
      <c r="F31" s="0" t="n">
        <v>137</v>
      </c>
    </row>
    <row r="32" customFormat="false" ht="12.8" hidden="false" customHeight="false" outlineLevel="0" collapsed="false">
      <c r="C32" s="23" t="s">
        <v>381</v>
      </c>
      <c r="D32" s="0" t="s">
        <v>382</v>
      </c>
      <c r="E32" s="0" t="n">
        <v>903</v>
      </c>
      <c r="F32" s="0" t="n">
        <v>454</v>
      </c>
    </row>
    <row r="33" customFormat="false" ht="12.8" hidden="false" customHeight="false" outlineLevel="0" collapsed="false">
      <c r="C33" s="23" t="s">
        <v>383</v>
      </c>
      <c r="D33" s="0" t="s">
        <v>384</v>
      </c>
      <c r="E33" s="0" t="n">
        <v>279</v>
      </c>
      <c r="F33" s="0" t="n">
        <v>93</v>
      </c>
    </row>
    <row r="34" customFormat="false" ht="12.8" hidden="false" customHeight="false" outlineLevel="0" collapsed="false">
      <c r="C34" s="23" t="s">
        <v>385</v>
      </c>
      <c r="D34" s="0" t="s">
        <v>386</v>
      </c>
      <c r="E34" s="0" t="n">
        <v>107</v>
      </c>
      <c r="F34" s="0" t="n">
        <v>15</v>
      </c>
    </row>
    <row r="35" customFormat="false" ht="12.8" hidden="false" customHeight="false" outlineLevel="0" collapsed="false">
      <c r="C35" s="23" t="s">
        <v>387</v>
      </c>
      <c r="D35" s="0" t="s">
        <v>388</v>
      </c>
      <c r="E35" s="0" t="n">
        <v>106</v>
      </c>
      <c r="F35" s="0" t="n">
        <v>91</v>
      </c>
    </row>
    <row r="36" customFormat="false" ht="12.8" hidden="false" customHeight="false" outlineLevel="0" collapsed="false">
      <c r="C36" s="23" t="s">
        <v>389</v>
      </c>
      <c r="D36" s="0" t="s">
        <v>390</v>
      </c>
      <c r="E36" s="0" t="n">
        <v>248</v>
      </c>
      <c r="F36" s="0" t="n">
        <v>229</v>
      </c>
    </row>
    <row r="37" customFormat="false" ht="12.8" hidden="false" customHeight="false" outlineLevel="0" collapsed="false">
      <c r="C37" s="23" t="s">
        <v>391</v>
      </c>
      <c r="D37" s="0" t="s">
        <v>392</v>
      </c>
      <c r="E37" s="0" t="n">
        <v>85</v>
      </c>
      <c r="F37" s="0" t="n">
        <v>52</v>
      </c>
    </row>
    <row r="38" customFormat="false" ht="12.8" hidden="false" customHeight="false" outlineLevel="0" collapsed="false">
      <c r="C38" s="23" t="s">
        <v>393</v>
      </c>
      <c r="D38" s="0" t="s">
        <v>394</v>
      </c>
      <c r="E38" s="0" t="n">
        <v>31</v>
      </c>
      <c r="F38" s="0" t="n">
        <v>28</v>
      </c>
    </row>
    <row r="39" customFormat="false" ht="12.8" hidden="false" customHeight="false" outlineLevel="0" collapsed="false">
      <c r="C39" s="23" t="s">
        <v>395</v>
      </c>
      <c r="D39" s="0" t="s">
        <v>396</v>
      </c>
      <c r="E39" s="0" t="n">
        <v>80</v>
      </c>
      <c r="F39" s="0" t="n">
        <v>59</v>
      </c>
    </row>
    <row r="40" customFormat="false" ht="12.8" hidden="false" customHeight="false" outlineLevel="0" collapsed="false">
      <c r="C40" s="23" t="s">
        <v>397</v>
      </c>
      <c r="D40" s="0" t="s">
        <v>398</v>
      </c>
      <c r="E40" s="0" t="n">
        <v>83</v>
      </c>
      <c r="F40" s="0" t="n">
        <v>42</v>
      </c>
    </row>
    <row r="41" customFormat="false" ht="12.8" hidden="false" customHeight="false" outlineLevel="0" collapsed="false">
      <c r="C41" s="23" t="s">
        <v>399</v>
      </c>
      <c r="D41" s="0" t="s">
        <v>400</v>
      </c>
      <c r="E41" s="0" t="n">
        <v>78</v>
      </c>
      <c r="F41" s="0" t="n">
        <v>40</v>
      </c>
    </row>
    <row r="42" customFormat="false" ht="12.8" hidden="false" customHeight="false" outlineLevel="0" collapsed="false">
      <c r="C42" s="23" t="s">
        <v>401</v>
      </c>
      <c r="D42" s="0" t="s">
        <v>402</v>
      </c>
      <c r="E42" s="0" t="n">
        <v>38</v>
      </c>
      <c r="F42" s="0" t="n">
        <v>14</v>
      </c>
    </row>
    <row r="43" customFormat="false" ht="12.8" hidden="false" customHeight="false" outlineLevel="0" collapsed="false">
      <c r="C43" s="23" t="s">
        <v>403</v>
      </c>
      <c r="D43" s="0" t="s">
        <v>404</v>
      </c>
      <c r="E43" s="0" t="n">
        <v>74</v>
      </c>
      <c r="F43" s="0" t="n">
        <v>26</v>
      </c>
    </row>
    <row r="44" customFormat="false" ht="12.8" hidden="false" customHeight="false" outlineLevel="0" collapsed="false">
      <c r="C44" s="23" t="s">
        <v>405</v>
      </c>
      <c r="D44" s="0" t="s">
        <v>406</v>
      </c>
      <c r="E44" s="0" t="n">
        <v>210</v>
      </c>
      <c r="F44" s="0" t="n">
        <v>173</v>
      </c>
    </row>
    <row r="45" customFormat="false" ht="12.8" hidden="false" customHeight="false" outlineLevel="0" collapsed="false">
      <c r="C45" s="23" t="s">
        <v>407</v>
      </c>
      <c r="D45" s="0" t="s">
        <v>408</v>
      </c>
      <c r="E45" s="0" t="n">
        <v>88</v>
      </c>
      <c r="F45" s="0" t="n">
        <v>35</v>
      </c>
    </row>
    <row r="46" customFormat="false" ht="12.8" hidden="false" customHeight="false" outlineLevel="0" collapsed="false">
      <c r="C46" s="23" t="s">
        <v>409</v>
      </c>
      <c r="D46" s="0" t="s">
        <v>410</v>
      </c>
      <c r="E46" s="0" t="n">
        <v>67</v>
      </c>
      <c r="F46" s="0" t="n">
        <v>45</v>
      </c>
    </row>
    <row r="47" customFormat="false" ht="12.8" hidden="false" customHeight="false" outlineLevel="0" collapsed="false">
      <c r="C47" s="23" t="s">
        <v>411</v>
      </c>
      <c r="D47" s="0" t="s">
        <v>412</v>
      </c>
      <c r="E47" s="0" t="n">
        <v>33</v>
      </c>
      <c r="F47" s="0" t="n">
        <v>19</v>
      </c>
    </row>
    <row r="48" customFormat="false" ht="12.8" hidden="false" customHeight="false" outlineLevel="0" collapsed="false">
      <c r="C48" s="23" t="s">
        <v>413</v>
      </c>
      <c r="D48" s="0" t="s">
        <v>414</v>
      </c>
      <c r="E48" s="0" t="n">
        <v>62</v>
      </c>
      <c r="F48" s="0" t="n">
        <v>34</v>
      </c>
    </row>
    <row r="49" customFormat="false" ht="12.8" hidden="false" customHeight="false" outlineLevel="0" collapsed="false">
      <c r="C49" s="23" t="s">
        <v>415</v>
      </c>
      <c r="D49" s="0" t="s">
        <v>416</v>
      </c>
      <c r="E49" s="0" t="n">
        <v>261</v>
      </c>
      <c r="F49" s="0" t="n">
        <v>117</v>
      </c>
    </row>
    <row r="50" customFormat="false" ht="12.8" hidden="false" customHeight="false" outlineLevel="0" collapsed="false">
      <c r="C50" s="23" t="s">
        <v>417</v>
      </c>
      <c r="D50" s="0" t="s">
        <v>418</v>
      </c>
      <c r="E50" s="0" t="n">
        <v>130</v>
      </c>
      <c r="F50" s="0" t="n">
        <v>44</v>
      </c>
    </row>
    <row r="51" customFormat="false" ht="12.8" hidden="false" customHeight="false" outlineLevel="0" collapsed="false">
      <c r="C51" s="23" t="s">
        <v>419</v>
      </c>
      <c r="D51" s="0" t="s">
        <v>420</v>
      </c>
      <c r="E51" s="0" t="n">
        <v>2362</v>
      </c>
      <c r="F51" s="0" t="n">
        <v>1620</v>
      </c>
    </row>
    <row r="52" customFormat="false" ht="12.8" hidden="false" customHeight="false" outlineLevel="0" collapsed="false">
      <c r="C52" s="23" t="s">
        <v>421</v>
      </c>
      <c r="D52" s="0" t="s">
        <v>422</v>
      </c>
      <c r="E52" s="0" t="n">
        <v>644</v>
      </c>
      <c r="F52" s="0" t="n">
        <v>187</v>
      </c>
    </row>
    <row r="53" customFormat="false" ht="12.8" hidden="false" customHeight="false" outlineLevel="0" collapsed="false">
      <c r="C53" s="23" t="s">
        <v>423</v>
      </c>
      <c r="D53" s="0" t="s">
        <v>424</v>
      </c>
      <c r="E53" s="0" t="n">
        <v>346</v>
      </c>
      <c r="F53" s="0" t="n">
        <v>269</v>
      </c>
    </row>
    <row r="54" customFormat="false" ht="12.8" hidden="false" customHeight="false" outlineLevel="0" collapsed="false">
      <c r="C54" s="23" t="s">
        <v>425</v>
      </c>
      <c r="D54" s="0" t="s">
        <v>426</v>
      </c>
      <c r="E54" s="0" t="n">
        <v>71</v>
      </c>
      <c r="F54" s="0" t="n">
        <v>27</v>
      </c>
    </row>
    <row r="55" customFormat="false" ht="12.8" hidden="false" customHeight="false" outlineLevel="0" collapsed="false">
      <c r="C55" s="23" t="s">
        <v>427</v>
      </c>
      <c r="D55" s="0" t="s">
        <v>428</v>
      </c>
      <c r="E55" s="0" t="n">
        <v>112</v>
      </c>
      <c r="F55" s="0" t="n">
        <v>66</v>
      </c>
    </row>
    <row r="56" customFormat="false" ht="12.8" hidden="false" customHeight="false" outlineLevel="0" collapsed="false">
      <c r="C56" s="23" t="s">
        <v>429</v>
      </c>
      <c r="D56" s="0" t="s">
        <v>430</v>
      </c>
      <c r="E56" s="0" t="n">
        <v>1131</v>
      </c>
      <c r="F56" s="0" t="n">
        <v>613</v>
      </c>
    </row>
    <row r="57" customFormat="false" ht="12.8" hidden="false" customHeight="false" outlineLevel="0" collapsed="false">
      <c r="C57" s="23" t="s">
        <v>431</v>
      </c>
      <c r="D57" s="0" t="s">
        <v>432</v>
      </c>
      <c r="E57" s="0" t="n">
        <v>95</v>
      </c>
      <c r="F57" s="0" t="n">
        <v>57</v>
      </c>
    </row>
    <row r="58" customFormat="false" ht="12.8" hidden="false" customHeight="false" outlineLevel="0" collapsed="false">
      <c r="C58" s="23" t="s">
        <v>433</v>
      </c>
      <c r="D58" s="0" t="s">
        <v>434</v>
      </c>
      <c r="E58" s="0" t="n">
        <v>359</v>
      </c>
      <c r="F58" s="0" t="n">
        <v>223</v>
      </c>
    </row>
    <row r="59" customFormat="false" ht="12.8" hidden="false" customHeight="false" outlineLevel="0" collapsed="false">
      <c r="C59" s="23" t="s">
        <v>435</v>
      </c>
      <c r="D59" s="0" t="s">
        <v>436</v>
      </c>
      <c r="E59" s="0" t="n">
        <v>79</v>
      </c>
      <c r="F59" s="0" t="n">
        <v>22</v>
      </c>
    </row>
    <row r="60" customFormat="false" ht="12.8" hidden="false" customHeight="false" outlineLevel="0" collapsed="false">
      <c r="C60" s="23" t="s">
        <v>437</v>
      </c>
      <c r="D60" s="0" t="s">
        <v>438</v>
      </c>
      <c r="E60" s="0" t="n">
        <v>680</v>
      </c>
      <c r="F60" s="0" t="n">
        <v>592</v>
      </c>
    </row>
    <row r="61" customFormat="false" ht="12.8" hidden="false" customHeight="false" outlineLevel="0" collapsed="false">
      <c r="C61" s="23" t="s">
        <v>439</v>
      </c>
      <c r="D61" s="0" t="s">
        <v>440</v>
      </c>
      <c r="E61" s="0" t="n">
        <v>894</v>
      </c>
      <c r="F61" s="0" t="n">
        <v>616</v>
      </c>
    </row>
    <row r="62" customFormat="false" ht="12.8" hidden="false" customHeight="false" outlineLevel="0" collapsed="false">
      <c r="C62" s="23" t="s">
        <v>441</v>
      </c>
      <c r="D62" s="0" t="s">
        <v>442</v>
      </c>
      <c r="E62" s="0" t="n">
        <v>217</v>
      </c>
      <c r="F62" s="0" t="n">
        <v>169</v>
      </c>
    </row>
    <row r="63" customFormat="false" ht="12.8" hidden="false" customHeight="false" outlineLevel="0" collapsed="false">
      <c r="C63" s="23" t="s">
        <v>443</v>
      </c>
      <c r="D63" s="0" t="s">
        <v>444</v>
      </c>
      <c r="E63" s="0" t="n">
        <v>500</v>
      </c>
      <c r="F63" s="0" t="n">
        <v>262</v>
      </c>
    </row>
    <row r="64" customFormat="false" ht="12.8" hidden="false" customHeight="false" outlineLevel="0" collapsed="false">
      <c r="C64" s="23" t="s">
        <v>362</v>
      </c>
      <c r="D64" s="0" t="s">
        <v>445</v>
      </c>
      <c r="E64" s="0" t="n">
        <v>20</v>
      </c>
      <c r="F64" s="0" t="n">
        <v>6</v>
      </c>
    </row>
    <row r="65" customFormat="false" ht="12.8" hidden="false" customHeight="false" outlineLevel="0" collapsed="false">
      <c r="C65" s="23" t="s">
        <v>446</v>
      </c>
      <c r="D65" s="0" t="s">
        <v>447</v>
      </c>
      <c r="E65" s="0" t="n">
        <v>512</v>
      </c>
      <c r="F65" s="0" t="n">
        <v>81</v>
      </c>
    </row>
    <row r="66" customFormat="false" ht="12.8" hidden="false" customHeight="false" outlineLevel="0" collapsed="false">
      <c r="C66" s="23" t="s">
        <v>448</v>
      </c>
      <c r="D66" s="0" t="s">
        <v>449</v>
      </c>
      <c r="E66" s="0" t="n">
        <v>343</v>
      </c>
      <c r="F66" s="0" t="n">
        <v>148</v>
      </c>
    </row>
    <row r="67" customFormat="false" ht="12.8" hidden="false" customHeight="false" outlineLevel="0" collapsed="false">
      <c r="C67" s="23" t="s">
        <v>450</v>
      </c>
      <c r="D67" s="0" t="s">
        <v>451</v>
      </c>
      <c r="E67" s="0" t="n">
        <v>67</v>
      </c>
      <c r="F67" s="0" t="n">
        <v>41</v>
      </c>
    </row>
    <row r="68" customFormat="false" ht="12.8" hidden="false" customHeight="false" outlineLevel="0" collapsed="false">
      <c r="C68" s="23" t="s">
        <v>452</v>
      </c>
      <c r="D68" s="0" t="s">
        <v>453</v>
      </c>
      <c r="E68" s="0" t="n">
        <v>666</v>
      </c>
      <c r="F68" s="0" t="n">
        <v>485</v>
      </c>
    </row>
    <row r="69" customFormat="false" ht="12.8" hidden="false" customHeight="false" outlineLevel="0" collapsed="false">
      <c r="C69" s="23" t="s">
        <v>454</v>
      </c>
      <c r="D69" s="0" t="s">
        <v>455</v>
      </c>
      <c r="E69" s="0" t="n">
        <v>151</v>
      </c>
      <c r="F69" s="0" t="n">
        <v>81</v>
      </c>
    </row>
    <row r="70" customFormat="false" ht="12.8" hidden="false" customHeight="false" outlineLevel="0" collapsed="false">
      <c r="C70" s="23" t="s">
        <v>456</v>
      </c>
      <c r="D70" s="0" t="s">
        <v>457</v>
      </c>
      <c r="E70" s="0" t="n">
        <v>21</v>
      </c>
      <c r="F70" s="0" t="n">
        <v>17</v>
      </c>
    </row>
    <row r="71" customFormat="false" ht="12.8" hidden="false" customHeight="false" outlineLevel="0" collapsed="false">
      <c r="C71" s="23" t="s">
        <v>458</v>
      </c>
      <c r="D71" s="0" t="s">
        <v>459</v>
      </c>
      <c r="E71" s="0" t="n">
        <v>155</v>
      </c>
      <c r="F71" s="0" t="n">
        <v>86</v>
      </c>
    </row>
    <row r="72" customFormat="false" ht="12.8" hidden="false" customHeight="false" outlineLevel="0" collapsed="false">
      <c r="C72" s="23" t="s">
        <v>460</v>
      </c>
      <c r="D72" s="0" t="s">
        <v>461</v>
      </c>
      <c r="E72" s="0" t="n">
        <v>118</v>
      </c>
      <c r="F72" s="0" t="n">
        <v>76</v>
      </c>
    </row>
    <row r="73" customFormat="false" ht="12.8" hidden="false" customHeight="false" outlineLevel="0" collapsed="false">
      <c r="C73" s="23" t="s">
        <v>462</v>
      </c>
      <c r="D73" s="0" t="s">
        <v>463</v>
      </c>
      <c r="E73" s="0" t="n">
        <v>1132</v>
      </c>
      <c r="F73" s="0" t="n">
        <v>679</v>
      </c>
    </row>
    <row r="74" customFormat="false" ht="12.8" hidden="false" customHeight="false" outlineLevel="0" collapsed="false">
      <c r="C74" s="23" t="s">
        <v>464</v>
      </c>
      <c r="D74" s="0" t="s">
        <v>465</v>
      </c>
      <c r="E74" s="0" t="n">
        <v>119</v>
      </c>
      <c r="F74" s="0" t="n">
        <v>72</v>
      </c>
    </row>
    <row r="75" customFormat="false" ht="12.8" hidden="false" customHeight="false" outlineLevel="0" collapsed="false">
      <c r="C75" s="23" t="s">
        <v>466</v>
      </c>
      <c r="D75" s="0" t="s">
        <v>467</v>
      </c>
      <c r="E75" s="0" t="n">
        <v>614</v>
      </c>
      <c r="F75" s="0" t="n">
        <v>289</v>
      </c>
    </row>
    <row r="76" customFormat="false" ht="12.8" hidden="false" customHeight="false" outlineLevel="0" collapsed="false">
      <c r="C76" s="23" t="s">
        <v>468</v>
      </c>
      <c r="D76" s="0" t="s">
        <v>469</v>
      </c>
      <c r="E76" s="0" t="n">
        <v>222</v>
      </c>
      <c r="F76" s="0" t="n">
        <v>156</v>
      </c>
    </row>
    <row r="77" customFormat="false" ht="12.8" hidden="false" customHeight="false" outlineLevel="0" collapsed="false">
      <c r="C77" s="23" t="s">
        <v>470</v>
      </c>
      <c r="D77" s="0" t="s">
        <v>471</v>
      </c>
      <c r="E77" s="0" t="n">
        <v>105</v>
      </c>
      <c r="F77" s="0" t="n">
        <v>62</v>
      </c>
    </row>
    <row r="78" customFormat="false" ht="12.8" hidden="false" customHeight="false" outlineLevel="0" collapsed="false">
      <c r="C78" s="23" t="s">
        <v>472</v>
      </c>
      <c r="D78" s="0" t="s">
        <v>473</v>
      </c>
      <c r="E78" s="0" t="n">
        <v>46</v>
      </c>
      <c r="F78" s="0" t="n">
        <v>13</v>
      </c>
    </row>
    <row r="79" customFormat="false" ht="12.8" hidden="false" customHeight="false" outlineLevel="0" collapsed="false">
      <c r="C79" s="23" t="s">
        <v>474</v>
      </c>
      <c r="D79" s="0" t="s">
        <v>475</v>
      </c>
      <c r="E79" s="0" t="n">
        <v>144</v>
      </c>
      <c r="F79" s="0" t="n">
        <v>33</v>
      </c>
    </row>
    <row r="80" customFormat="false" ht="12.8" hidden="false" customHeight="false" outlineLevel="0" collapsed="false">
      <c r="C80" s="0" t="s">
        <v>476</v>
      </c>
      <c r="D80" s="0" t="s">
        <v>477</v>
      </c>
      <c r="E80" s="0" t="n">
        <v>69</v>
      </c>
      <c r="F80" s="0" t="n">
        <v>27</v>
      </c>
    </row>
    <row r="81" customFormat="false" ht="12.8" hidden="false" customHeight="false" outlineLevel="0" collapsed="false">
      <c r="C81" s="0" t="s">
        <v>478</v>
      </c>
      <c r="D81" s="0" t="s">
        <v>479</v>
      </c>
      <c r="E81" s="0" t="n">
        <v>85</v>
      </c>
      <c r="F81" s="0" t="n">
        <v>47</v>
      </c>
    </row>
    <row r="82" customFormat="false" ht="12.8" hidden="false" customHeight="false" outlineLevel="0" collapsed="false">
      <c r="C82" s="0" t="s">
        <v>480</v>
      </c>
      <c r="D82" s="0" t="s">
        <v>481</v>
      </c>
      <c r="E82" s="0" t="n">
        <v>94</v>
      </c>
      <c r="F82" s="0" t="n">
        <v>90</v>
      </c>
    </row>
    <row r="83" customFormat="false" ht="12.8" hidden="false" customHeight="false" outlineLevel="0" collapsed="false">
      <c r="C83" s="0" t="s">
        <v>482</v>
      </c>
      <c r="D83" s="0" t="s">
        <v>483</v>
      </c>
      <c r="E83" s="0" t="n">
        <v>12</v>
      </c>
      <c r="F83" s="0" t="n">
        <v>4</v>
      </c>
    </row>
    <row r="84" customFormat="false" ht="12.8" hidden="false" customHeight="false" outlineLevel="0" collapsed="false">
      <c r="C84" s="0" t="s">
        <v>484</v>
      </c>
      <c r="D84" s="0" t="s">
        <v>485</v>
      </c>
      <c r="E84" s="0" t="n">
        <v>37</v>
      </c>
      <c r="F84" s="0" t="n">
        <v>12</v>
      </c>
    </row>
    <row r="85" customFormat="false" ht="12.8" hidden="false" customHeight="false" outlineLevel="0" collapsed="false">
      <c r="C85" s="0" t="s">
        <v>486</v>
      </c>
      <c r="D85" s="0" t="s">
        <v>487</v>
      </c>
      <c r="E85" s="0" t="n">
        <v>24</v>
      </c>
      <c r="F85" s="0" t="n">
        <v>18</v>
      </c>
    </row>
    <row r="86" customFormat="false" ht="12.8" hidden="false" customHeight="false" outlineLevel="0" collapsed="false">
      <c r="C86" s="0" t="s">
        <v>488</v>
      </c>
      <c r="D86" s="0" t="s">
        <v>489</v>
      </c>
      <c r="E86" s="0" t="n">
        <v>45</v>
      </c>
      <c r="F86" s="0" t="n">
        <v>40</v>
      </c>
    </row>
    <row r="87" customFormat="false" ht="12.8" hidden="false" customHeight="false" outlineLevel="0" collapsed="false">
      <c r="C87" s="0" t="s">
        <v>490</v>
      </c>
      <c r="D87" s="0" t="s">
        <v>491</v>
      </c>
      <c r="E87" s="0" t="n">
        <v>23</v>
      </c>
      <c r="F87" s="0" t="n">
        <v>21</v>
      </c>
    </row>
    <row r="88" customFormat="false" ht="12.8" hidden="false" customHeight="false" outlineLevel="0" collapsed="false">
      <c r="C88" s="0" t="s">
        <v>492</v>
      </c>
      <c r="D88" s="0" t="s">
        <v>493</v>
      </c>
      <c r="E88" s="0" t="n">
        <v>8</v>
      </c>
      <c r="F88" s="0" t="n">
        <v>6</v>
      </c>
    </row>
    <row r="89" customFormat="false" ht="12.8" hidden="false" customHeight="false" outlineLevel="0" collapsed="false">
      <c r="C89" s="0" t="s">
        <v>494</v>
      </c>
      <c r="D89" s="0" t="s">
        <v>495</v>
      </c>
      <c r="E89" s="0" t="n">
        <v>14</v>
      </c>
      <c r="F89" s="0" t="n">
        <v>3</v>
      </c>
    </row>
    <row r="90" customFormat="false" ht="12.8" hidden="false" customHeight="false" outlineLevel="0" collapsed="false">
      <c r="C90" s="0" t="s">
        <v>496</v>
      </c>
      <c r="D90" s="0" t="s">
        <v>408</v>
      </c>
      <c r="E90" s="0" t="n">
        <v>78</v>
      </c>
      <c r="F90" s="0" t="n">
        <v>31</v>
      </c>
    </row>
    <row r="91" customFormat="false" ht="12.8" hidden="false" customHeight="false" outlineLevel="0" collapsed="false">
      <c r="C91" s="0" t="s">
        <v>497</v>
      </c>
      <c r="D91" s="0" t="s">
        <v>498</v>
      </c>
      <c r="E91" s="0" t="n">
        <v>132</v>
      </c>
      <c r="F91" s="0" t="n">
        <v>55</v>
      </c>
    </row>
    <row r="92" customFormat="false" ht="12.8" hidden="false" customHeight="false" outlineLevel="0" collapsed="false">
      <c r="C92" s="0" t="s">
        <v>499</v>
      </c>
      <c r="D92" s="0" t="s">
        <v>500</v>
      </c>
      <c r="E92" s="0" t="n">
        <v>48</v>
      </c>
      <c r="F92" s="0" t="n">
        <v>31</v>
      </c>
    </row>
    <row r="93" customFormat="false" ht="12.8" hidden="false" customHeight="false" outlineLevel="0" collapsed="false">
      <c r="C93" s="0" t="s">
        <v>352</v>
      </c>
      <c r="D93" s="0" t="s">
        <v>501</v>
      </c>
      <c r="E93" s="0" t="n">
        <v>66</v>
      </c>
      <c r="F93" s="0" t="n">
        <v>19</v>
      </c>
    </row>
    <row r="94" customFormat="false" ht="12.8" hidden="false" customHeight="false" outlineLevel="0" collapsed="false">
      <c r="C94" s="0" t="s">
        <v>502</v>
      </c>
      <c r="D94" s="0" t="s">
        <v>503</v>
      </c>
      <c r="E94" s="0" t="n">
        <v>25</v>
      </c>
      <c r="F94" s="0" t="n">
        <v>10</v>
      </c>
    </row>
    <row r="95" customFormat="false" ht="12.8" hidden="false" customHeight="false" outlineLevel="0" collapsed="false">
      <c r="C95" s="0" t="s">
        <v>504</v>
      </c>
      <c r="D95" s="0" t="s">
        <v>505</v>
      </c>
      <c r="E95" s="0" t="n">
        <v>108</v>
      </c>
      <c r="F95" s="0" t="n">
        <v>66</v>
      </c>
    </row>
    <row r="96" customFormat="false" ht="12.8" hidden="false" customHeight="false" outlineLevel="0" collapsed="false">
      <c r="C96" s="0" t="s">
        <v>506</v>
      </c>
      <c r="D96" s="0" t="s">
        <v>507</v>
      </c>
      <c r="E96" s="0" t="n">
        <v>34</v>
      </c>
      <c r="F96" s="0" t="n">
        <v>12</v>
      </c>
    </row>
    <row r="97" customFormat="false" ht="12.8" hidden="false" customHeight="false" outlineLevel="0" collapsed="false">
      <c r="C97" s="0" t="s">
        <v>508</v>
      </c>
      <c r="D97" s="0" t="s">
        <v>509</v>
      </c>
      <c r="E97" s="0" t="n">
        <v>23</v>
      </c>
      <c r="F97" s="0" t="n">
        <v>12</v>
      </c>
    </row>
    <row r="98" customFormat="false" ht="12.8" hidden="false" customHeight="false" outlineLevel="0" collapsed="false">
      <c r="C98" s="0" t="s">
        <v>510</v>
      </c>
      <c r="D98" s="0" t="s">
        <v>511</v>
      </c>
      <c r="E98" s="0" t="n">
        <v>10</v>
      </c>
      <c r="F98" s="0" t="n">
        <v>7</v>
      </c>
    </row>
    <row r="99" customFormat="false" ht="12.8" hidden="false" customHeight="false" outlineLevel="0" collapsed="false">
      <c r="C99" s="0" t="s">
        <v>512</v>
      </c>
      <c r="D99" s="0" t="s">
        <v>513</v>
      </c>
      <c r="E99" s="0" t="n">
        <v>14</v>
      </c>
      <c r="F99" s="0" t="n">
        <v>12</v>
      </c>
    </row>
    <row r="100" customFormat="false" ht="12.8" hidden="false" customHeight="false" outlineLevel="0" collapsed="false">
      <c r="C100" s="0" t="s">
        <v>514</v>
      </c>
      <c r="D100" s="0" t="s">
        <v>515</v>
      </c>
      <c r="E100" s="0" t="n">
        <v>261</v>
      </c>
      <c r="F100" s="0" t="n">
        <v>184</v>
      </c>
    </row>
    <row r="101" customFormat="false" ht="12.8" hidden="false" customHeight="false" outlineLevel="0" collapsed="false">
      <c r="D101" s="0" t="s">
        <v>516</v>
      </c>
      <c r="E101" s="0" t="n">
        <v>58</v>
      </c>
      <c r="F101" s="0" t="n">
        <v>45</v>
      </c>
    </row>
    <row r="102" customFormat="false" ht="12.8" hidden="false" customHeight="false" outlineLevel="0" collapsed="false">
      <c r="D102" s="0" t="s">
        <v>517</v>
      </c>
      <c r="E102" s="0" t="n">
        <v>32</v>
      </c>
      <c r="F102" s="0" t="n">
        <v>4</v>
      </c>
    </row>
    <row r="103" customFormat="false" ht="12.8" hidden="false" customHeight="false" outlineLevel="0" collapsed="false">
      <c r="D103" s="0" t="s">
        <v>518</v>
      </c>
      <c r="E103" s="0" t="n">
        <v>17</v>
      </c>
      <c r="F103" s="0" t="n">
        <v>10</v>
      </c>
    </row>
    <row r="104" customFormat="false" ht="12.8" hidden="false" customHeight="false" outlineLevel="0" collapsed="false">
      <c r="D104" s="0" t="s">
        <v>519</v>
      </c>
      <c r="E104" s="0" t="n">
        <v>14</v>
      </c>
      <c r="F104" s="0" t="n">
        <v>11</v>
      </c>
    </row>
    <row r="105" customFormat="false" ht="12.8" hidden="false" customHeight="false" outlineLevel="0" collapsed="false">
      <c r="D105" s="0" t="s">
        <v>520</v>
      </c>
      <c r="E105" s="0" t="n">
        <v>10</v>
      </c>
      <c r="F105" s="0" t="n">
        <v>5</v>
      </c>
    </row>
    <row r="106" customFormat="false" ht="12.8" hidden="false" customHeight="false" outlineLevel="0" collapsed="false">
      <c r="D106" s="0" t="s">
        <v>521</v>
      </c>
      <c r="E106" s="0" t="n">
        <v>82</v>
      </c>
      <c r="F106" s="0" t="n">
        <v>43</v>
      </c>
    </row>
    <row r="107" customFormat="false" ht="12.8" hidden="false" customHeight="false" outlineLevel="0" collapsed="false">
      <c r="D107" s="0" t="s">
        <v>522</v>
      </c>
      <c r="E107" s="0" t="n">
        <v>149</v>
      </c>
      <c r="F107" s="0" t="n">
        <v>131</v>
      </c>
    </row>
    <row r="108" customFormat="false" ht="12.8" hidden="false" customHeight="false" outlineLevel="0" collapsed="false">
      <c r="D108" s="0" t="s">
        <v>523</v>
      </c>
      <c r="E108" s="0" t="n">
        <v>12</v>
      </c>
      <c r="F108" s="0" t="n">
        <v>3</v>
      </c>
    </row>
    <row r="109" customFormat="false" ht="12.8" hidden="false" customHeight="false" outlineLevel="0" collapsed="false">
      <c r="D109" s="0" t="s">
        <v>524</v>
      </c>
      <c r="E109" s="0" t="n">
        <v>43</v>
      </c>
      <c r="F109" s="0" t="n">
        <v>22</v>
      </c>
    </row>
    <row r="110" customFormat="false" ht="12.8" hidden="false" customHeight="false" outlineLevel="0" collapsed="false">
      <c r="D110" s="0" t="s">
        <v>525</v>
      </c>
      <c r="E110" s="0" t="n">
        <v>83</v>
      </c>
      <c r="F110" s="0" t="n">
        <v>28</v>
      </c>
    </row>
    <row r="111" customFormat="false" ht="12.8" hidden="false" customHeight="false" outlineLevel="0" collapsed="false">
      <c r="D111" s="0" t="s">
        <v>526</v>
      </c>
      <c r="E111" s="0" t="n">
        <v>116</v>
      </c>
      <c r="F111" s="0" t="n">
        <v>89</v>
      </c>
    </row>
    <row r="112" customFormat="false" ht="12.8" hidden="false" customHeight="false" outlineLevel="0" collapsed="false">
      <c r="D112" s="0" t="s">
        <v>527</v>
      </c>
      <c r="E112" s="0" t="n">
        <v>160</v>
      </c>
      <c r="F112" s="0" t="n">
        <v>99</v>
      </c>
    </row>
    <row r="113" customFormat="false" ht="12.8" hidden="false" customHeight="false" outlineLevel="0" collapsed="false">
      <c r="D113" s="0" t="s">
        <v>528</v>
      </c>
      <c r="E113" s="0" t="n">
        <v>16</v>
      </c>
      <c r="F113" s="0" t="n">
        <v>3</v>
      </c>
    </row>
    <row r="114" customFormat="false" ht="12.8" hidden="false" customHeight="false" outlineLevel="0" collapsed="false">
      <c r="D114" s="0" t="s">
        <v>529</v>
      </c>
      <c r="E114" s="0" t="n">
        <v>90</v>
      </c>
      <c r="F114" s="0" t="n">
        <v>51</v>
      </c>
    </row>
    <row r="115" customFormat="false" ht="12.8" hidden="false" customHeight="false" outlineLevel="0" collapsed="false">
      <c r="D115" s="0" t="s">
        <v>530</v>
      </c>
      <c r="E115" s="0" t="n">
        <v>27</v>
      </c>
      <c r="F115" s="0" t="n">
        <v>14</v>
      </c>
    </row>
    <row r="116" customFormat="false" ht="12.8" hidden="false" customHeight="false" outlineLevel="0" collapsed="false">
      <c r="D116" s="0" t="s">
        <v>531</v>
      </c>
      <c r="E116" s="0" t="n">
        <v>15</v>
      </c>
      <c r="F116" s="0" t="n">
        <v>7</v>
      </c>
    </row>
    <row r="117" customFormat="false" ht="12.8" hidden="false" customHeight="false" outlineLevel="0" collapsed="false">
      <c r="D117" s="0" t="s">
        <v>532</v>
      </c>
      <c r="E117" s="0" t="n">
        <v>11</v>
      </c>
      <c r="F117" s="0" t="n">
        <v>10</v>
      </c>
    </row>
    <row r="118" customFormat="false" ht="12.8" hidden="false" customHeight="false" outlineLevel="0" collapsed="false">
      <c r="D118" s="0" t="s">
        <v>533</v>
      </c>
      <c r="E118" s="0" t="n">
        <v>46</v>
      </c>
      <c r="F118" s="0" t="n">
        <v>38</v>
      </c>
    </row>
    <row r="119" customFormat="false" ht="12.8" hidden="false" customHeight="false" outlineLevel="0" collapsed="false">
      <c r="D119" s="0" t="s">
        <v>534</v>
      </c>
      <c r="E119" s="0" t="n">
        <v>13</v>
      </c>
      <c r="F119" s="0" t="n">
        <v>6</v>
      </c>
    </row>
    <row r="120" customFormat="false" ht="12.8" hidden="false" customHeight="false" outlineLevel="0" collapsed="false">
      <c r="D120" s="0" t="s">
        <v>535</v>
      </c>
      <c r="E120" s="0" t="n">
        <v>129</v>
      </c>
      <c r="F120" s="0" t="n">
        <v>99</v>
      </c>
    </row>
    <row r="121" customFormat="false" ht="12.8" hidden="false" customHeight="false" outlineLevel="0" collapsed="false">
      <c r="D121" s="0" t="s">
        <v>536</v>
      </c>
      <c r="E121" s="0" t="n">
        <v>88</v>
      </c>
      <c r="F121" s="0" t="n">
        <v>70</v>
      </c>
    </row>
    <row r="125" customFormat="false" ht="12.8" hidden="false" customHeight="false" outlineLevel="0" collapsed="false">
      <c r="B125" s="0" t="s">
        <v>53</v>
      </c>
      <c r="C125" s="0" t="s">
        <v>537</v>
      </c>
    </row>
    <row r="126" customFormat="false" ht="12.8" hidden="false" customHeight="false" outlineLevel="0" collapsed="false">
      <c r="C126" s="0" t="s">
        <v>538</v>
      </c>
    </row>
    <row r="127" customFormat="false" ht="12.8" hidden="false" customHeight="false" outlineLevel="0" collapsed="false">
      <c r="C127" s="14" t="s">
        <v>539</v>
      </c>
    </row>
    <row r="128" customFormat="false" ht="12.8" hidden="false" customHeight="false" outlineLevel="0" collapsed="false">
      <c r="C128" s="14" t="s">
        <v>540</v>
      </c>
    </row>
    <row r="131" customFormat="false" ht="12.8" hidden="false" customHeight="false" outlineLevel="0" collapsed="false">
      <c r="C131" s="0" t="s">
        <v>541</v>
      </c>
      <c r="D131" s="13" t="n">
        <v>21148</v>
      </c>
    </row>
    <row r="132" customFormat="false" ht="12.8" hidden="false" customHeight="false" outlineLevel="0" collapsed="false">
      <c r="C132" s="0" t="s">
        <v>137</v>
      </c>
      <c r="D132" s="0" t="n">
        <v>5553000</v>
      </c>
    </row>
    <row r="133" customFormat="false" ht="12.8" hidden="false" customHeight="false" outlineLevel="0" collapsed="false">
      <c r="C133" s="0" t="s">
        <v>138</v>
      </c>
      <c r="D133" s="16" t="n">
        <f aca="false">(D131/D132)*100000</f>
        <v>380.839186025572</v>
      </c>
    </row>
    <row r="134" customFormat="false" ht="12.8" hidden="false" customHeight="false" outlineLevel="0" collapsed="false">
      <c r="C134" s="0" t="s">
        <v>139</v>
      </c>
      <c r="D134" s="17" t="n">
        <f aca="false">D133/100</f>
        <v>3.80839186025572</v>
      </c>
    </row>
    <row r="137" customFormat="false" ht="12.8" hidden="false" customHeight="false" outlineLevel="0" collapsed="false">
      <c r="C137" s="0" t="s">
        <v>542</v>
      </c>
      <c r="D137" s="13" t="n">
        <v>74824</v>
      </c>
    </row>
    <row r="138" customFormat="false" ht="12.8" hidden="false" customHeight="false" outlineLevel="0" collapsed="false">
      <c r="C138" s="0" t="s">
        <v>137</v>
      </c>
      <c r="D138" s="0" t="n">
        <v>5553000</v>
      </c>
    </row>
    <row r="139" customFormat="false" ht="12.8" hidden="false" customHeight="false" outlineLevel="0" collapsed="false">
      <c r="C139" s="0" t="s">
        <v>138</v>
      </c>
      <c r="D139" s="16" t="n">
        <f aca="false">(D137/D138)*100000</f>
        <v>1347.45182784081</v>
      </c>
    </row>
    <row r="140" customFormat="false" ht="12.8" hidden="false" customHeight="false" outlineLevel="0" collapsed="false">
      <c r="C140" s="0" t="s">
        <v>139</v>
      </c>
      <c r="D140" s="17" t="n">
        <f aca="false">D139/100</f>
        <v>13.4745182784081</v>
      </c>
    </row>
  </sheetData>
  <hyperlinks>
    <hyperlink ref="C127" r:id="rId1" display="Database for individuals: https://julkiterhikki.valvira.fi/"/>
    <hyperlink ref="C128" r:id="rId2" display="Demografia Medica: https://www.laakariliitto.fi/site/assets/files/5256/sll_taskutilasto_en_220620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8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7" activeCellId="0" sqref="G1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97"/>
    <col collapsed="false" customWidth="true" hidden="false" outlineLevel="0" max="3" min="3" style="0" width="43.2"/>
    <col collapsed="false" customWidth="true" hidden="false" outlineLevel="0" max="5" min="4" style="0" width="44.87"/>
    <col collapsed="false" customWidth="true" hidden="false" outlineLevel="0" max="6" min="6" style="0" width="48.39"/>
    <col collapsed="false" customWidth="true" hidden="false" outlineLevel="0" max="7" min="7" style="0" width="42.65"/>
  </cols>
  <sheetData>
    <row r="2" customFormat="false" ht="12.8" hidden="false" customHeight="false" outlineLevel="0" collapsed="false">
      <c r="E2" s="24" t="s">
        <v>543</v>
      </c>
      <c r="F2" s="24" t="s">
        <v>544</v>
      </c>
      <c r="G2" s="24" t="s">
        <v>545</v>
      </c>
    </row>
    <row r="3" customFormat="false" ht="12.8" hidden="false" customHeight="false" outlineLevel="0" collapsed="false">
      <c r="C3" s="25" t="s">
        <v>546</v>
      </c>
      <c r="D3" s="25" t="s">
        <v>547</v>
      </c>
      <c r="E3" s="6" t="s">
        <v>548</v>
      </c>
      <c r="F3" s="0" t="s">
        <v>549</v>
      </c>
      <c r="G3" s="0" t="s">
        <v>550</v>
      </c>
    </row>
    <row r="4" customFormat="false" ht="12.8" hidden="false" customHeight="false" outlineLevel="0" collapsed="false">
      <c r="C4" s="25" t="s">
        <v>551</v>
      </c>
      <c r="D4" s="25" t="s">
        <v>552</v>
      </c>
      <c r="E4" s="6" t="s">
        <v>553</v>
      </c>
      <c r="F4" s="0" t="s">
        <v>554</v>
      </c>
      <c r="G4" s="0" t="s">
        <v>555</v>
      </c>
    </row>
    <row r="5" customFormat="false" ht="12.8" hidden="false" customHeight="false" outlineLevel="0" collapsed="false">
      <c r="C5" s="25" t="s">
        <v>556</v>
      </c>
      <c r="D5" s="25" t="s">
        <v>557</v>
      </c>
      <c r="E5" s="6" t="s">
        <v>558</v>
      </c>
      <c r="F5" s="0" t="s">
        <v>559</v>
      </c>
      <c r="G5" s="0" t="s">
        <v>560</v>
      </c>
    </row>
    <row r="6" customFormat="false" ht="12.8" hidden="false" customHeight="false" outlineLevel="0" collapsed="false">
      <c r="C6" s="25" t="s">
        <v>561</v>
      </c>
      <c r="D6" s="25" t="s">
        <v>562</v>
      </c>
      <c r="E6" s="6" t="s">
        <v>563</v>
      </c>
      <c r="F6" s="0" t="s">
        <v>564</v>
      </c>
      <c r="G6" s="0" t="s">
        <v>565</v>
      </c>
    </row>
    <row r="7" customFormat="false" ht="12.8" hidden="false" customHeight="false" outlineLevel="0" collapsed="false">
      <c r="C7" s="25" t="s">
        <v>566</v>
      </c>
      <c r="D7" s="25" t="s">
        <v>567</v>
      </c>
      <c r="E7" s="6" t="s">
        <v>568</v>
      </c>
      <c r="F7" s="0" t="s">
        <v>569</v>
      </c>
      <c r="G7" s="0" t="s">
        <v>570</v>
      </c>
    </row>
    <row r="8" customFormat="false" ht="12.8" hidden="false" customHeight="false" outlineLevel="0" collapsed="false">
      <c r="C8" s="25" t="s">
        <v>571</v>
      </c>
      <c r="D8" s="25" t="s">
        <v>572</v>
      </c>
      <c r="E8" s="6" t="s">
        <v>573</v>
      </c>
      <c r="F8" s="0" t="s">
        <v>574</v>
      </c>
      <c r="G8" s="0" t="s">
        <v>575</v>
      </c>
    </row>
    <row r="9" customFormat="false" ht="12.8" hidden="false" customHeight="false" outlineLevel="0" collapsed="false">
      <c r="C9" s="25" t="s">
        <v>576</v>
      </c>
      <c r="D9" s="25" t="s">
        <v>577</v>
      </c>
      <c r="E9" s="6" t="s">
        <v>578</v>
      </c>
      <c r="F9" s="0" t="s">
        <v>579</v>
      </c>
      <c r="G9" s="0" t="s">
        <v>580</v>
      </c>
    </row>
    <row r="10" customFormat="false" ht="12.8" hidden="false" customHeight="false" outlineLevel="0" collapsed="false">
      <c r="C10" s="25" t="s">
        <v>581</v>
      </c>
      <c r="D10" s="25" t="s">
        <v>582</v>
      </c>
      <c r="E10" s="6" t="s">
        <v>583</v>
      </c>
      <c r="F10" s="0" t="s">
        <v>584</v>
      </c>
      <c r="G10" s="0" t="s">
        <v>585</v>
      </c>
    </row>
    <row r="11" customFormat="false" ht="12.8" hidden="false" customHeight="false" outlineLevel="0" collapsed="false">
      <c r="C11" s="25" t="s">
        <v>586</v>
      </c>
      <c r="D11" s="25" t="s">
        <v>587</v>
      </c>
      <c r="E11" s="6" t="s">
        <v>588</v>
      </c>
      <c r="F11" s="0" t="s">
        <v>589</v>
      </c>
      <c r="G11" s="0" t="s">
        <v>590</v>
      </c>
    </row>
    <row r="12" customFormat="false" ht="12.8" hidden="false" customHeight="false" outlineLevel="0" collapsed="false">
      <c r="C12" s="25" t="s">
        <v>591</v>
      </c>
      <c r="D12" s="25" t="s">
        <v>592</v>
      </c>
      <c r="E12" s="6" t="s">
        <v>593</v>
      </c>
      <c r="F12" s="0" t="s">
        <v>594</v>
      </c>
      <c r="G12" s="0" t="s">
        <v>595</v>
      </c>
    </row>
    <row r="13" customFormat="false" ht="12.8" hidden="false" customHeight="false" outlineLevel="0" collapsed="false">
      <c r="C13" s="25" t="s">
        <v>596</v>
      </c>
      <c r="D13" s="25" t="s">
        <v>597</v>
      </c>
      <c r="E13" s="6" t="s">
        <v>598</v>
      </c>
      <c r="F13" s="0" t="s">
        <v>599</v>
      </c>
      <c r="G13" s="0" t="s">
        <v>600</v>
      </c>
    </row>
    <row r="14" customFormat="false" ht="12.8" hidden="false" customHeight="false" outlineLevel="0" collapsed="false">
      <c r="C14" s="25" t="s">
        <v>601</v>
      </c>
      <c r="D14" s="25" t="s">
        <v>602</v>
      </c>
      <c r="E14" s="6" t="s">
        <v>603</v>
      </c>
      <c r="F14" s="0" t="s">
        <v>604</v>
      </c>
      <c r="G14" s="0" t="s">
        <v>605</v>
      </c>
    </row>
    <row r="15" customFormat="false" ht="12.8" hidden="false" customHeight="false" outlineLevel="0" collapsed="false">
      <c r="C15" s="25" t="s">
        <v>606</v>
      </c>
      <c r="D15" s="25" t="s">
        <v>607</v>
      </c>
      <c r="E15" s="6" t="s">
        <v>608</v>
      </c>
      <c r="F15" s="0" t="s">
        <v>609</v>
      </c>
      <c r="G15" s="0" t="s">
        <v>610</v>
      </c>
    </row>
    <row r="16" customFormat="false" ht="12.8" hidden="false" customHeight="false" outlineLevel="0" collapsed="false">
      <c r="C16" s="25" t="s">
        <v>611</v>
      </c>
      <c r="D16" s="25" t="s">
        <v>612</v>
      </c>
      <c r="E16" s="6" t="s">
        <v>613</v>
      </c>
      <c r="F16" s="0" t="s">
        <v>614</v>
      </c>
    </row>
    <row r="17" customFormat="false" ht="12.8" hidden="false" customHeight="false" outlineLevel="0" collapsed="false">
      <c r="C17" s="25" t="s">
        <v>615</v>
      </c>
      <c r="D17" s="25" t="s">
        <v>616</v>
      </c>
      <c r="E17" s="6" t="s">
        <v>617</v>
      </c>
      <c r="F17" s="0" t="s">
        <v>618</v>
      </c>
      <c r="G17" s="26"/>
    </row>
    <row r="18" customFormat="false" ht="12.8" hidden="false" customHeight="false" outlineLevel="0" collapsed="false">
      <c r="C18" s="25" t="s">
        <v>619</v>
      </c>
      <c r="D18" s="25" t="s">
        <v>620</v>
      </c>
      <c r="E18" s="6" t="s">
        <v>621</v>
      </c>
      <c r="F18" s="0" t="s">
        <v>622</v>
      </c>
    </row>
    <row r="19" customFormat="false" ht="12.8" hidden="false" customHeight="false" outlineLevel="0" collapsed="false">
      <c r="C19" s="25" t="s">
        <v>623</v>
      </c>
      <c r="D19" s="25" t="s">
        <v>624</v>
      </c>
      <c r="E19" s="6" t="s">
        <v>625</v>
      </c>
      <c r="F19" s="0" t="s">
        <v>626</v>
      </c>
    </row>
    <row r="20" customFormat="false" ht="12.8" hidden="false" customHeight="false" outlineLevel="0" collapsed="false">
      <c r="C20" s="25" t="s">
        <v>627</v>
      </c>
      <c r="D20" s="25" t="s">
        <v>628</v>
      </c>
      <c r="E20" s="6" t="s">
        <v>629</v>
      </c>
      <c r="F20" s="0" t="s">
        <v>630</v>
      </c>
    </row>
    <row r="21" customFormat="false" ht="12.8" hidden="false" customHeight="false" outlineLevel="0" collapsed="false">
      <c r="E21" s="6" t="s">
        <v>631</v>
      </c>
      <c r="F21" s="0" t="s">
        <v>632</v>
      </c>
    </row>
    <row r="22" customFormat="false" ht="12.8" hidden="false" customHeight="false" outlineLevel="0" collapsed="false">
      <c r="C22" s="0" t="s">
        <v>633</v>
      </c>
      <c r="E22" s="6" t="s">
        <v>634</v>
      </c>
      <c r="F22" s="0" t="s">
        <v>635</v>
      </c>
    </row>
    <row r="23" customFormat="false" ht="12.8" hidden="false" customHeight="false" outlineLevel="0" collapsed="false">
      <c r="E23" s="6" t="s">
        <v>636</v>
      </c>
      <c r="F23" s="0" t="s">
        <v>637</v>
      </c>
    </row>
    <row r="24" customFormat="false" ht="12.8" hidden="false" customHeight="false" outlineLevel="0" collapsed="false">
      <c r="E24" s="6" t="s">
        <v>638</v>
      </c>
      <c r="F24" s="0" t="s">
        <v>639</v>
      </c>
    </row>
    <row r="25" customFormat="false" ht="12.8" hidden="false" customHeight="false" outlineLevel="0" collapsed="false">
      <c r="E25" s="6" t="s">
        <v>640</v>
      </c>
      <c r="F25" s="0" t="s">
        <v>641</v>
      </c>
    </row>
    <row r="26" customFormat="false" ht="12.8" hidden="false" customHeight="false" outlineLevel="0" collapsed="false">
      <c r="E26" s="6" t="s">
        <v>642</v>
      </c>
      <c r="F26" s="0" t="s">
        <v>643</v>
      </c>
    </row>
    <row r="27" customFormat="false" ht="12.8" hidden="false" customHeight="false" outlineLevel="0" collapsed="false">
      <c r="E27" s="6" t="s">
        <v>644</v>
      </c>
      <c r="F27" s="0" t="s">
        <v>645</v>
      </c>
    </row>
    <row r="28" customFormat="false" ht="12.8" hidden="false" customHeight="false" outlineLevel="0" collapsed="false">
      <c r="E28" s="6" t="s">
        <v>646</v>
      </c>
      <c r="F28" s="0" t="s">
        <v>647</v>
      </c>
    </row>
    <row r="29" customFormat="false" ht="12.8" hidden="false" customHeight="false" outlineLevel="0" collapsed="false">
      <c r="E29" s="6" t="s">
        <v>648</v>
      </c>
      <c r="F29" s="0" t="s">
        <v>649</v>
      </c>
    </row>
    <row r="30" customFormat="false" ht="12.8" hidden="false" customHeight="false" outlineLevel="0" collapsed="false">
      <c r="E30" s="6" t="s">
        <v>650</v>
      </c>
      <c r="F30" s="0" t="s">
        <v>651</v>
      </c>
    </row>
    <row r="31" customFormat="false" ht="12.8" hidden="false" customHeight="false" outlineLevel="0" collapsed="false">
      <c r="E31" s="6" t="s">
        <v>652</v>
      </c>
      <c r="F31" s="0" t="s">
        <v>653</v>
      </c>
    </row>
    <row r="32" customFormat="false" ht="12.8" hidden="false" customHeight="false" outlineLevel="0" collapsed="false">
      <c r="E32" s="6" t="s">
        <v>654</v>
      </c>
      <c r="F32" s="0" t="s">
        <v>655</v>
      </c>
    </row>
    <row r="33" customFormat="false" ht="12.8" hidden="false" customHeight="false" outlineLevel="0" collapsed="false">
      <c r="E33" s="6" t="s">
        <v>656</v>
      </c>
      <c r="F33" s="0" t="s">
        <v>657</v>
      </c>
    </row>
    <row r="34" customFormat="false" ht="12.8" hidden="false" customHeight="false" outlineLevel="0" collapsed="false">
      <c r="E34" s="6" t="s">
        <v>658</v>
      </c>
      <c r="F34" s="0" t="s">
        <v>659</v>
      </c>
    </row>
    <row r="35" customFormat="false" ht="12.8" hidden="false" customHeight="false" outlineLevel="0" collapsed="false">
      <c r="E35" s="6" t="s">
        <v>660</v>
      </c>
      <c r="F35" s="0" t="s">
        <v>661</v>
      </c>
    </row>
    <row r="36" customFormat="false" ht="12.8" hidden="false" customHeight="false" outlineLevel="0" collapsed="false">
      <c r="E36" s="6" t="s">
        <v>662</v>
      </c>
      <c r="F36" s="0" t="s">
        <v>663</v>
      </c>
    </row>
    <row r="37" customFormat="false" ht="12.8" hidden="false" customHeight="false" outlineLevel="0" collapsed="false">
      <c r="E37" s="6" t="s">
        <v>664</v>
      </c>
      <c r="F37" s="0" t="s">
        <v>665</v>
      </c>
    </row>
    <row r="38" customFormat="false" ht="12.8" hidden="false" customHeight="false" outlineLevel="0" collapsed="false">
      <c r="E38" s="6" t="s">
        <v>666</v>
      </c>
      <c r="F38" s="0" t="s">
        <v>667</v>
      </c>
    </row>
    <row r="39" customFormat="false" ht="12.8" hidden="false" customHeight="false" outlineLevel="0" collapsed="false">
      <c r="E39" s="6" t="s">
        <v>668</v>
      </c>
      <c r="F39" s="0" t="s">
        <v>669</v>
      </c>
    </row>
    <row r="40" customFormat="false" ht="12.8" hidden="false" customHeight="false" outlineLevel="0" collapsed="false">
      <c r="E40" s="6" t="s">
        <v>670</v>
      </c>
      <c r="F40" s="0" t="s">
        <v>671</v>
      </c>
    </row>
    <row r="41" customFormat="false" ht="12.8" hidden="false" customHeight="false" outlineLevel="0" collapsed="false">
      <c r="E41" s="6" t="s">
        <v>672</v>
      </c>
      <c r="F41" s="0" t="s">
        <v>673</v>
      </c>
    </row>
    <row r="42" customFormat="false" ht="12.8" hidden="false" customHeight="false" outlineLevel="0" collapsed="false">
      <c r="E42" s="6" t="s">
        <v>674</v>
      </c>
      <c r="F42" s="0" t="s">
        <v>675</v>
      </c>
    </row>
    <row r="43" customFormat="false" ht="12.8" hidden="false" customHeight="false" outlineLevel="0" collapsed="false">
      <c r="E43" s="6" t="s">
        <v>676</v>
      </c>
      <c r="F43" s="0" t="s">
        <v>677</v>
      </c>
    </row>
    <row r="44" customFormat="false" ht="12.8" hidden="false" customHeight="false" outlineLevel="0" collapsed="false">
      <c r="E44" s="6" t="s">
        <v>678</v>
      </c>
      <c r="F44" s="0" t="s">
        <v>679</v>
      </c>
    </row>
    <row r="45" customFormat="false" ht="12.8" hidden="false" customHeight="false" outlineLevel="0" collapsed="false">
      <c r="E45" s="6" t="s">
        <v>680</v>
      </c>
      <c r="F45" s="0" t="s">
        <v>681</v>
      </c>
    </row>
    <row r="46" customFormat="false" ht="12.8" hidden="false" customHeight="false" outlineLevel="0" collapsed="false">
      <c r="E46" s="6" t="s">
        <v>682</v>
      </c>
      <c r="F46" s="0" t="s">
        <v>683</v>
      </c>
    </row>
    <row r="47" customFormat="false" ht="12.8" hidden="false" customHeight="false" outlineLevel="0" collapsed="false">
      <c r="E47" s="6" t="s">
        <v>684</v>
      </c>
      <c r="F47" s="0" t="s">
        <v>685</v>
      </c>
    </row>
    <row r="48" customFormat="false" ht="12.8" hidden="false" customHeight="false" outlineLevel="0" collapsed="false">
      <c r="E48" s="6" t="s">
        <v>686</v>
      </c>
      <c r="F48" s="0" t="s">
        <v>687</v>
      </c>
    </row>
    <row r="49" customFormat="false" ht="12.8" hidden="false" customHeight="false" outlineLevel="0" collapsed="false">
      <c r="E49" s="6" t="s">
        <v>688</v>
      </c>
      <c r="F49" s="0" t="s">
        <v>689</v>
      </c>
    </row>
    <row r="50" customFormat="false" ht="12.8" hidden="false" customHeight="false" outlineLevel="0" collapsed="false">
      <c r="E50" s="6" t="s">
        <v>690</v>
      </c>
      <c r="F50" s="0" t="s">
        <v>691</v>
      </c>
    </row>
    <row r="51" customFormat="false" ht="12.8" hidden="false" customHeight="false" outlineLevel="0" collapsed="false">
      <c r="E51" s="6" t="s">
        <v>692</v>
      </c>
      <c r="F51" s="0" t="s">
        <v>693</v>
      </c>
    </row>
    <row r="52" customFormat="false" ht="12.8" hidden="false" customHeight="false" outlineLevel="0" collapsed="false">
      <c r="E52" s="6" t="s">
        <v>694</v>
      </c>
      <c r="F52" s="0" t="s">
        <v>695</v>
      </c>
    </row>
    <row r="53" customFormat="false" ht="12.8" hidden="false" customHeight="false" outlineLevel="0" collapsed="false">
      <c r="E53" s="6" t="s">
        <v>696</v>
      </c>
      <c r="F53" s="0" t="s">
        <v>697</v>
      </c>
    </row>
    <row r="54" customFormat="false" ht="12.8" hidden="false" customHeight="false" outlineLevel="0" collapsed="false">
      <c r="E54" s="6" t="s">
        <v>698</v>
      </c>
      <c r="F54" s="0" t="s">
        <v>699</v>
      </c>
    </row>
    <row r="55" customFormat="false" ht="12.8" hidden="false" customHeight="false" outlineLevel="0" collapsed="false">
      <c r="E55" s="6" t="s">
        <v>700</v>
      </c>
      <c r="F55" s="0" t="s">
        <v>701</v>
      </c>
    </row>
    <row r="56" customFormat="false" ht="12.8" hidden="false" customHeight="false" outlineLevel="0" collapsed="false">
      <c r="E56" s="6" t="s">
        <v>702</v>
      </c>
      <c r="F56" s="0" t="s">
        <v>703</v>
      </c>
    </row>
    <row r="57" customFormat="false" ht="12.8" hidden="false" customHeight="false" outlineLevel="0" collapsed="false">
      <c r="E57" s="6" t="s">
        <v>704</v>
      </c>
      <c r="F57" s="0" t="s">
        <v>705</v>
      </c>
    </row>
    <row r="58" customFormat="false" ht="12.8" hidden="false" customHeight="false" outlineLevel="0" collapsed="false">
      <c r="E58" s="6" t="s">
        <v>706</v>
      </c>
      <c r="F58" s="0" t="s">
        <v>707</v>
      </c>
    </row>
    <row r="59" customFormat="false" ht="12.8" hidden="false" customHeight="false" outlineLevel="0" collapsed="false">
      <c r="E59" s="6" t="s">
        <v>708</v>
      </c>
      <c r="F59" s="0" t="s">
        <v>709</v>
      </c>
    </row>
    <row r="60" customFormat="false" ht="12.8" hidden="false" customHeight="false" outlineLevel="0" collapsed="false">
      <c r="E60" s="6" t="s">
        <v>634</v>
      </c>
      <c r="F60" s="0" t="s">
        <v>635</v>
      </c>
    </row>
    <row r="61" customFormat="false" ht="12.8" hidden="false" customHeight="false" outlineLevel="0" collapsed="false">
      <c r="E61" s="6" t="s">
        <v>710</v>
      </c>
      <c r="F61" s="0" t="s">
        <v>711</v>
      </c>
    </row>
    <row r="63" customFormat="false" ht="12.8" hidden="false" customHeight="false" outlineLevel="0" collapsed="false">
      <c r="B63" s="0" t="s">
        <v>53</v>
      </c>
      <c r="C63" s="14" t="s">
        <v>712</v>
      </c>
    </row>
    <row r="64" customFormat="false" ht="12.8" hidden="false" customHeight="false" outlineLevel="0" collapsed="false">
      <c r="C64" s="0" t="s">
        <v>713</v>
      </c>
    </row>
    <row r="65" customFormat="false" ht="12.8" hidden="false" customHeight="false" outlineLevel="0" collapsed="false">
      <c r="C65" s="0" t="s">
        <v>714</v>
      </c>
    </row>
    <row r="66" customFormat="false" ht="12.8" hidden="false" customHeight="false" outlineLevel="0" collapsed="false">
      <c r="C66" s="0" t="s">
        <v>715</v>
      </c>
    </row>
    <row r="67" customFormat="false" ht="12.8" hidden="false" customHeight="false" outlineLevel="0" collapsed="false">
      <c r="C67" s="14" t="s">
        <v>716</v>
      </c>
    </row>
    <row r="68" customFormat="false" ht="12.8" hidden="false" customHeight="false" outlineLevel="0" collapsed="false">
      <c r="C68" s="0" t="s">
        <v>717</v>
      </c>
    </row>
    <row r="69" customFormat="false" ht="12.8" hidden="false" customHeight="false" outlineLevel="0" collapsed="false">
      <c r="C69" s="0" t="s">
        <v>718</v>
      </c>
    </row>
    <row r="70" customFormat="false" ht="12.8" hidden="false" customHeight="false" outlineLevel="0" collapsed="false">
      <c r="C70" s="14" t="s">
        <v>719</v>
      </c>
    </row>
    <row r="71" customFormat="false" ht="12.8" hidden="false" customHeight="false" outlineLevel="0" collapsed="false">
      <c r="C71" s="0" t="s">
        <v>633</v>
      </c>
    </row>
    <row r="72" customFormat="false" ht="12.8" hidden="false" customHeight="false" outlineLevel="0" collapsed="false">
      <c r="C72" s="0" t="s">
        <v>720</v>
      </c>
    </row>
    <row r="75" customFormat="false" ht="12.8" hidden="false" customHeight="false" outlineLevel="0" collapsed="false">
      <c r="C75" s="0" t="s">
        <v>721</v>
      </c>
      <c r="D75" s="27" t="n">
        <v>228858</v>
      </c>
    </row>
    <row r="76" customFormat="false" ht="12.8" hidden="false" customHeight="false" outlineLevel="0" collapsed="false">
      <c r="C76" s="0" t="s">
        <v>137</v>
      </c>
      <c r="D76" s="0" t="n">
        <v>67000000</v>
      </c>
    </row>
    <row r="77" customFormat="false" ht="12.8" hidden="false" customHeight="false" outlineLevel="0" collapsed="false">
      <c r="C77" s="0" t="s">
        <v>138</v>
      </c>
      <c r="D77" s="16" t="n">
        <f aca="false">(D75/D76)*100000</f>
        <v>341.579104477612</v>
      </c>
    </row>
    <row r="78" customFormat="false" ht="12.8" hidden="false" customHeight="false" outlineLevel="0" collapsed="false">
      <c r="C78" s="0" t="s">
        <v>139</v>
      </c>
      <c r="D78" s="17" t="n">
        <f aca="false">D77/100</f>
        <v>3.41579104477612</v>
      </c>
    </row>
    <row r="80" customFormat="false" ht="12.8" hidden="false" customHeight="false" outlineLevel="0" collapsed="false">
      <c r="C80" s="0" t="s">
        <v>722</v>
      </c>
      <c r="D80" s="27" t="n">
        <v>637644</v>
      </c>
    </row>
    <row r="81" customFormat="false" ht="12.8" hidden="false" customHeight="false" outlineLevel="0" collapsed="false">
      <c r="C81" s="0" t="s">
        <v>137</v>
      </c>
      <c r="D81" s="0" t="n">
        <v>67000000</v>
      </c>
    </row>
    <row r="82" customFormat="false" ht="12.8" hidden="false" customHeight="false" outlineLevel="0" collapsed="false">
      <c r="C82" s="0" t="s">
        <v>138</v>
      </c>
      <c r="D82" s="16" t="n">
        <f aca="false">(D80/D81)*100000</f>
        <v>951.707462686567</v>
      </c>
    </row>
    <row r="83" customFormat="false" ht="12.8" hidden="false" customHeight="false" outlineLevel="0" collapsed="false">
      <c r="C83" s="0" t="s">
        <v>139</v>
      </c>
      <c r="D83" s="17" t="n">
        <f aca="false">D82/100</f>
        <v>9.51707462686567</v>
      </c>
    </row>
  </sheetData>
  <hyperlinks>
    <hyperlink ref="C63" r:id="rId1" display="The healthcare system: https://www.eu-healthcare.fi/health-services-abroad/country-specific-information-about-health-services/france/"/>
    <hyperlink ref="C67" r:id="rId2" display="Manage shortages and maldistribution of skills: https://www.legifrance.gouv.fr/loda/id/JORFTEXT000022481406/"/>
    <hyperlink ref="C70" r:id="rId3" display="Professionals: https://www.vie-publique.fr/fiches/37855-categories-de-professionnels-de-sante-code-se-la-sante-publiqu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A68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E26" activeCellId="0" sqref="E2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3"/>
    <col collapsed="false" customWidth="true" hidden="false" outlineLevel="0" max="2" min="2" style="0" width="21.56"/>
    <col collapsed="false" customWidth="true" hidden="false" outlineLevel="0" max="3" min="3" style="0" width="5.28"/>
    <col collapsed="false" customWidth="true" hidden="false" outlineLevel="0" max="5" min="5" style="0" width="5.42"/>
    <col collapsed="false" customWidth="true" hidden="false" outlineLevel="0" max="7" min="7" style="0" width="5.83"/>
    <col collapsed="false" customWidth="true" hidden="false" outlineLevel="0" max="9" min="9" style="0" width="6.42"/>
    <col collapsed="false" customWidth="true" hidden="false" outlineLevel="0" max="12" min="12" style="0" width="2.77"/>
    <col collapsed="false" customWidth="true" hidden="false" outlineLevel="0" max="13" min="13" style="0" width="22.13"/>
    <col collapsed="false" customWidth="true" hidden="false" outlineLevel="0" max="14" min="14" style="0" width="13.55"/>
    <col collapsed="false" customWidth="true" hidden="false" outlineLevel="0" max="16" min="16" style="0" width="6.23"/>
    <col collapsed="false" customWidth="true" hidden="false" outlineLevel="0" max="18" min="18" style="0" width="6.67"/>
  </cols>
  <sheetData>
    <row r="2" customFormat="false" ht="12.8" hidden="false" customHeight="false" outlineLevel="0" collapsed="false">
      <c r="B2" s="28" t="s">
        <v>723</v>
      </c>
      <c r="C2" s="3"/>
      <c r="D2" s="3" t="s">
        <v>724</v>
      </c>
      <c r="E2" s="3"/>
      <c r="F2" s="3" t="s">
        <v>725</v>
      </c>
      <c r="G2" s="3" t="s">
        <v>726</v>
      </c>
      <c r="H2" s="3" t="s">
        <v>727</v>
      </c>
      <c r="I2" s="3"/>
      <c r="J2" s="3"/>
      <c r="K2" s="3" t="s">
        <v>377</v>
      </c>
      <c r="M2" s="28" t="s">
        <v>728</v>
      </c>
      <c r="N2" s="3"/>
      <c r="O2" s="3" t="s">
        <v>724</v>
      </c>
      <c r="P2" s="3"/>
      <c r="Q2" s="3" t="s">
        <v>725</v>
      </c>
      <c r="R2" s="3" t="s">
        <v>726</v>
      </c>
      <c r="S2" s="3" t="s">
        <v>727</v>
      </c>
      <c r="T2" s="3" t="s">
        <v>377</v>
      </c>
    </row>
    <row r="3" customFormat="false" ht="12.8" hidden="false" customHeight="false" outlineLevel="0" collapsed="false">
      <c r="B3" s="3" t="s">
        <v>729</v>
      </c>
      <c r="C3" s="29"/>
      <c r="D3" s="29" t="n">
        <v>3725300</v>
      </c>
      <c r="E3" s="30" t="n">
        <f aca="false">F3/D3</f>
        <v>2.44329315759805</v>
      </c>
      <c r="F3" s="29" t="n">
        <v>9102000</v>
      </c>
      <c r="G3" s="31" t="n">
        <v>0.373</v>
      </c>
      <c r="H3" s="32" t="n">
        <f aca="false">(D3+F3)*G3</f>
        <v>4784582.9</v>
      </c>
      <c r="I3" s="32"/>
      <c r="J3" s="32"/>
      <c r="K3" s="32" t="n">
        <f aca="false">H3+F3+D3</f>
        <v>17611882.9</v>
      </c>
      <c r="M3" s="3" t="s">
        <v>729</v>
      </c>
      <c r="N3" s="29"/>
      <c r="O3" s="29" t="n">
        <v>1612259</v>
      </c>
      <c r="P3" s="33" t="n">
        <f aca="false">Q3/O3</f>
        <v>2.51742927159966</v>
      </c>
      <c r="Q3" s="29" t="n">
        <v>4058748</v>
      </c>
      <c r="R3" s="31" t="n">
        <v>0.373</v>
      </c>
      <c r="S3" s="32" t="n">
        <f aca="false">(O3+Q3)*R3</f>
        <v>2115285.611</v>
      </c>
      <c r="T3" s="32" t="n">
        <f aca="false">S3+Q3+O3</f>
        <v>7786292.611</v>
      </c>
    </row>
    <row r="4" customFormat="false" ht="12.8" hidden="false" customHeight="false" outlineLevel="0" collapsed="false">
      <c r="B4" s="3" t="s">
        <v>730</v>
      </c>
      <c r="C4" s="29"/>
      <c r="D4" s="29" t="n">
        <v>3880669</v>
      </c>
      <c r="E4" s="30" t="n">
        <f aca="false">F4/D4</f>
        <v>1.70164474218234</v>
      </c>
      <c r="F4" s="29" t="n">
        <v>6603520</v>
      </c>
      <c r="G4" s="34" t="n">
        <v>0.4063</v>
      </c>
      <c r="H4" s="32" t="n">
        <f aca="false">(D4+F4)*G4</f>
        <v>4259725.9907</v>
      </c>
      <c r="I4" s="32"/>
      <c r="J4" s="32"/>
      <c r="K4" s="32" t="n">
        <f aca="false">H4+F4+D4</f>
        <v>14743914.9907</v>
      </c>
      <c r="M4" s="3" t="s">
        <v>730</v>
      </c>
      <c r="N4" s="29"/>
      <c r="O4" s="29" t="n">
        <v>3069815</v>
      </c>
      <c r="P4" s="33" t="n">
        <f aca="false">Q4/O4</f>
        <v>2.51742987769621</v>
      </c>
      <c r="Q4" s="29" t="n">
        <v>7728044</v>
      </c>
      <c r="R4" s="34" t="n">
        <v>0.4063</v>
      </c>
      <c r="S4" s="32" t="n">
        <f aca="false">(O4+Q4)*R4</f>
        <v>4387170.1117</v>
      </c>
      <c r="T4" s="32" t="n">
        <f aca="false">S4+Q4+O4</f>
        <v>15185029.1117</v>
      </c>
    </row>
    <row r="5" customFormat="false" ht="12.8" hidden="false" customHeight="false" outlineLevel="0" collapsed="false">
      <c r="B5" s="3" t="s">
        <v>731</v>
      </c>
      <c r="C5" s="29"/>
      <c r="D5" s="29" t="n">
        <v>1977455</v>
      </c>
      <c r="E5" s="30" t="n">
        <f aca="false">F5/D5</f>
        <v>2.27045621771418</v>
      </c>
      <c r="F5" s="29" t="n">
        <v>4489725</v>
      </c>
      <c r="G5" s="31" t="n">
        <v>0.549</v>
      </c>
      <c r="H5" s="32" t="n">
        <f aca="false">(D5+F5)*G5</f>
        <v>3550481.82</v>
      </c>
      <c r="I5" s="32"/>
      <c r="J5" s="32"/>
      <c r="K5" s="32" t="n">
        <f aca="false">H5+F5+D5</f>
        <v>10017661.82</v>
      </c>
      <c r="M5" s="3" t="s">
        <v>731</v>
      </c>
      <c r="N5" s="29"/>
      <c r="O5" s="29" t="n">
        <v>3274396</v>
      </c>
      <c r="P5" s="33" t="n">
        <f aca="false">Q5/O5</f>
        <v>2.51742977941581</v>
      </c>
      <c r="Q5" s="29" t="n">
        <v>8243062</v>
      </c>
      <c r="R5" s="31" t="n">
        <v>0.549</v>
      </c>
      <c r="S5" s="32" t="n">
        <f aca="false">(O5+Q5)*R5</f>
        <v>6323084.442</v>
      </c>
      <c r="T5" s="32" t="n">
        <f aca="false">S5+Q5+O5</f>
        <v>17840542.442</v>
      </c>
    </row>
    <row r="6" customFormat="false" ht="12.8" hidden="false" customHeight="false" outlineLevel="0" collapsed="false">
      <c r="B6" s="3" t="s">
        <v>732</v>
      </c>
      <c r="C6" s="29"/>
      <c r="D6" s="29" t="n">
        <v>225326</v>
      </c>
      <c r="E6" s="30" t="n">
        <f aca="false">F6/D6</f>
        <v>2.17660633925956</v>
      </c>
      <c r="F6" s="29" t="n">
        <v>490446</v>
      </c>
      <c r="G6" s="34" t="n">
        <v>0.5954</v>
      </c>
      <c r="H6" s="32" t="n">
        <f aca="false">(D6+F6)*G6</f>
        <v>426170.6488</v>
      </c>
      <c r="I6" s="32"/>
      <c r="J6" s="32"/>
      <c r="K6" s="32" t="n">
        <f aca="false">H6+F6+D6</f>
        <v>1141942.6488</v>
      </c>
      <c r="M6" s="3" t="s">
        <v>732</v>
      </c>
      <c r="N6" s="29"/>
      <c r="O6" s="29" t="n">
        <v>991190</v>
      </c>
      <c r="P6" s="33" t="n">
        <f aca="false">Q6/O6</f>
        <v>2.51743056326234</v>
      </c>
      <c r="Q6" s="29" t="n">
        <v>2495252</v>
      </c>
      <c r="R6" s="34" t="n">
        <v>0.5954</v>
      </c>
      <c r="S6" s="32" t="n">
        <f aca="false">(O6+Q6)*R6</f>
        <v>2075827.5668</v>
      </c>
      <c r="T6" s="32" t="n">
        <f aca="false">S6+Q6+O6</f>
        <v>5562269.5668</v>
      </c>
    </row>
    <row r="7" customFormat="false" ht="12.8" hidden="false" customHeight="false" outlineLevel="0" collapsed="false">
      <c r="B7" s="35" t="s">
        <v>733</v>
      </c>
      <c r="C7" s="36"/>
      <c r="D7" s="36" t="n">
        <f aca="false">SUM(D3:D6)</f>
        <v>9808750</v>
      </c>
      <c r="E7" s="30" t="n">
        <f aca="false">F7/D7</f>
        <v>2.10890184783994</v>
      </c>
      <c r="F7" s="36" t="n">
        <f aca="false">SUM(F3:F6)</f>
        <v>20685691</v>
      </c>
      <c r="G7" s="37"/>
      <c r="H7" s="38" t="n">
        <f aca="false">SUM(H3:H6)</f>
        <v>13020961.3595</v>
      </c>
      <c r="I7" s="38"/>
      <c r="J7" s="38"/>
      <c r="K7" s="38" t="n">
        <f aca="false">SUM(K3:K6)</f>
        <v>43515402.3595</v>
      </c>
      <c r="M7" s="35" t="s">
        <v>733</v>
      </c>
      <c r="N7" s="36"/>
      <c r="O7" s="36" t="n">
        <f aca="false">SUM(O3:O6)</f>
        <v>8947660</v>
      </c>
      <c r="P7" s="33" t="n">
        <f aca="false">Q7/O7</f>
        <v>2.51742980846389</v>
      </c>
      <c r="Q7" s="36" t="n">
        <f aca="false">SUM(Q3:Q6)</f>
        <v>22525106</v>
      </c>
      <c r="R7" s="37"/>
      <c r="S7" s="38" t="n">
        <f aca="false">SUM(S3:S6)</f>
        <v>14901367.7315</v>
      </c>
      <c r="T7" s="38" t="n">
        <f aca="false">SUM(T3:T6)</f>
        <v>46374133.7315</v>
      </c>
    </row>
    <row r="9" customFormat="false" ht="12.8" hidden="false" customHeight="false" outlineLevel="0" collapsed="false">
      <c r="B9" s="28" t="s">
        <v>734</v>
      </c>
      <c r="C9" s="28" t="s">
        <v>735</v>
      </c>
      <c r="D9" s="3" t="s">
        <v>724</v>
      </c>
      <c r="E9" s="28" t="s">
        <v>735</v>
      </c>
      <c r="F9" s="3" t="s">
        <v>725</v>
      </c>
      <c r="G9" s="28" t="s">
        <v>735</v>
      </c>
      <c r="H9" s="3" t="s">
        <v>727</v>
      </c>
      <c r="I9" s="3"/>
      <c r="J9" s="3"/>
      <c r="K9" s="3" t="s">
        <v>377</v>
      </c>
      <c r="M9" s="28" t="s">
        <v>736</v>
      </c>
      <c r="N9" s="28" t="s">
        <v>735</v>
      </c>
      <c r="O9" s="3" t="s">
        <v>724</v>
      </c>
      <c r="P9" s="28" t="s">
        <v>735</v>
      </c>
      <c r="Q9" s="3" t="s">
        <v>725</v>
      </c>
      <c r="R9" s="28" t="s">
        <v>735</v>
      </c>
      <c r="S9" s="3" t="s">
        <v>727</v>
      </c>
      <c r="T9" s="3" t="s">
        <v>377</v>
      </c>
    </row>
    <row r="10" customFormat="false" ht="12.8" hidden="false" customHeight="false" outlineLevel="0" collapsed="false">
      <c r="B10" s="3" t="s">
        <v>729</v>
      </c>
      <c r="C10" s="39" t="n">
        <f aca="false">(D10/D3)-1</f>
        <v>0.187259012696964</v>
      </c>
      <c r="D10" s="29" t="n">
        <v>4422896</v>
      </c>
      <c r="E10" s="39" t="n">
        <f aca="false">(F10/F3)-1</f>
        <v>0.545656558998022</v>
      </c>
      <c r="F10" s="29" t="n">
        <v>14068566</v>
      </c>
      <c r="G10" s="39" t="n">
        <f aca="false">(H10/H3)-1</f>
        <v>0.212684808951685</v>
      </c>
      <c r="H10" s="29" t="n">
        <f aca="false">5802191</f>
        <v>5802191</v>
      </c>
      <c r="I10" s="29"/>
      <c r="J10" s="29"/>
      <c r="K10" s="32" t="n">
        <f aca="false">H10+F10+D10</f>
        <v>24293653</v>
      </c>
      <c r="M10" s="3" t="s">
        <v>729</v>
      </c>
      <c r="N10" s="39" t="n">
        <f aca="false">(O10/O3)-1</f>
        <v>0.0572804989769014</v>
      </c>
      <c r="O10" s="29" t="n">
        <v>1704610</v>
      </c>
      <c r="P10" s="39" t="n">
        <f aca="false">(Q10/Q3)-1</f>
        <v>0.0572804717119664</v>
      </c>
      <c r="Q10" s="29" t="n">
        <v>4291235</v>
      </c>
      <c r="R10" s="39" t="n">
        <f aca="false">(S10/S3)-1</f>
        <v>0.0572449357998304</v>
      </c>
      <c r="S10" s="29" t="n">
        <v>2236375</v>
      </c>
      <c r="T10" s="32" t="n">
        <f aca="false">S10+Q10+O10</f>
        <v>8232220</v>
      </c>
    </row>
    <row r="11" customFormat="false" ht="12.8" hidden="false" customHeight="false" outlineLevel="0" collapsed="false">
      <c r="B11" s="3" t="s">
        <v>730</v>
      </c>
      <c r="C11" s="39" t="n">
        <f aca="false">(D11/D4)-1</f>
        <v>0.399095362165647</v>
      </c>
      <c r="D11" s="29" t="n">
        <v>5429426</v>
      </c>
      <c r="E11" s="39" t="n">
        <f aca="false">(F11/F4)-1</f>
        <v>0.432589740017445</v>
      </c>
      <c r="F11" s="29" t="n">
        <v>9460135</v>
      </c>
      <c r="G11" s="39" t="n">
        <f aca="false">(H11/H4)-1</f>
        <v>0.819997346525569</v>
      </c>
      <c r="H11" s="29" t="n">
        <v>7752690</v>
      </c>
      <c r="I11" s="29"/>
      <c r="J11" s="29"/>
      <c r="K11" s="32" t="n">
        <f aca="false">H11+F11+D11</f>
        <v>22642251</v>
      </c>
      <c r="M11" s="3" t="s">
        <v>730</v>
      </c>
      <c r="N11" s="39" t="n">
        <f aca="false">(O11/O4)-1</f>
        <v>0.0926505343155859</v>
      </c>
      <c r="O11" s="29" t="n">
        <v>3354235</v>
      </c>
      <c r="P11" s="39" t="n">
        <f aca="false">(Q11/Q4)-1</f>
        <v>0.0926504818036751</v>
      </c>
      <c r="Q11" s="29" t="n">
        <v>8444051</v>
      </c>
      <c r="R11" s="39" t="n">
        <f aca="false">(S11/S4)-1</f>
        <v>0.0925110898293231</v>
      </c>
      <c r="S11" s="29" t="n">
        <v>4793032</v>
      </c>
      <c r="T11" s="32" t="n">
        <f aca="false">S11+Q11+O11</f>
        <v>16591318</v>
      </c>
    </row>
    <row r="12" customFormat="false" ht="12.8" hidden="false" customHeight="false" outlineLevel="0" collapsed="false">
      <c r="B12" s="3" t="s">
        <v>731</v>
      </c>
      <c r="C12" s="39" t="n">
        <f aca="false">(D12/D5)-1</f>
        <v>0.7509804268618</v>
      </c>
      <c r="D12" s="29" t="n">
        <v>3462485</v>
      </c>
      <c r="E12" s="39" t="n">
        <f aca="false">(F12/F5)-1</f>
        <v>0.808254403109322</v>
      </c>
      <c r="F12" s="29" t="n">
        <v>8118565</v>
      </c>
      <c r="G12" s="39" t="n">
        <f aca="false">(H12/H5)-1</f>
        <v>0.882977955932753</v>
      </c>
      <c r="H12" s="29" t="n">
        <v>6685479</v>
      </c>
      <c r="I12" s="29"/>
      <c r="J12" s="29"/>
      <c r="K12" s="32" t="n">
        <f aca="false">H12+F12+D12</f>
        <v>18266529</v>
      </c>
      <c r="M12" s="3" t="s">
        <v>731</v>
      </c>
      <c r="N12" s="39" t="n">
        <f aca="false">(O12/O5)-1</f>
        <v>0.24854171578514</v>
      </c>
      <c r="O12" s="29" t="n">
        <v>4088220</v>
      </c>
      <c r="P12" s="39" t="n">
        <f aca="false">(Q12/Q5)-1</f>
        <v>0.248541500719029</v>
      </c>
      <c r="Q12" s="29" t="n">
        <v>10291805</v>
      </c>
      <c r="R12" s="39" t="n">
        <f aca="false">(S12/S5)-1</f>
        <v>0.248690108826479</v>
      </c>
      <c r="S12" s="29" t="n">
        <v>7895573</v>
      </c>
      <c r="T12" s="32" t="n">
        <f aca="false">S12+Q12+O12</f>
        <v>22275598</v>
      </c>
    </row>
    <row r="13" customFormat="false" ht="12.8" hidden="false" customHeight="false" outlineLevel="0" collapsed="false">
      <c r="B13" s="3" t="s">
        <v>732</v>
      </c>
      <c r="C13" s="39" t="n">
        <f aca="false">(D13/D6)-1</f>
        <v>1.12128649157221</v>
      </c>
      <c r="D13" s="29" t="n">
        <v>477981</v>
      </c>
      <c r="E13" s="39" t="n">
        <f aca="false">(F13/F6)-1</f>
        <v>0.312052703049877</v>
      </c>
      <c r="F13" s="29" t="n">
        <v>643491</v>
      </c>
      <c r="G13" s="39" t="n">
        <f aca="false">(H13/H6)-1</f>
        <v>1.3470152222271</v>
      </c>
      <c r="H13" s="29" t="n">
        <v>1000229</v>
      </c>
      <c r="I13" s="29"/>
      <c r="J13" s="29"/>
      <c r="K13" s="32" t="n">
        <f aca="false">H13+F13+D13</f>
        <v>2121701</v>
      </c>
      <c r="M13" s="3" t="s">
        <v>732</v>
      </c>
      <c r="N13" s="39" t="n">
        <f aca="false">(O13/O6)-1</f>
        <v>0.415506613262846</v>
      </c>
      <c r="O13" s="29" t="n">
        <v>1403036</v>
      </c>
      <c r="P13" s="39" t="n">
        <f aca="false">(Q13/Q6)-1</f>
        <v>0.415506329621217</v>
      </c>
      <c r="Q13" s="29" t="n">
        <v>3532045</v>
      </c>
      <c r="R13" s="39" t="n">
        <f aca="false">(S13/S6)-1</f>
        <v>0.415103088031695</v>
      </c>
      <c r="S13" s="29" t="n">
        <v>2937510</v>
      </c>
      <c r="T13" s="32" t="n">
        <f aca="false">S13+Q13+O13</f>
        <v>7872591</v>
      </c>
    </row>
    <row r="14" customFormat="false" ht="12.8" hidden="false" customHeight="false" outlineLevel="0" collapsed="false">
      <c r="B14" s="35" t="s">
        <v>733</v>
      </c>
      <c r="C14" s="39" t="n">
        <f aca="false">(D14/D7)-1</f>
        <v>0.406171836370588</v>
      </c>
      <c r="D14" s="36" t="n">
        <f aca="false">SUM(D10:D13)</f>
        <v>13792788</v>
      </c>
      <c r="E14" s="39" t="n">
        <f aca="false">(F14/F7)-1</f>
        <v>0.561019015511737</v>
      </c>
      <c r="F14" s="36" t="n">
        <f aca="false">SUM(F10:F13)</f>
        <v>32290757</v>
      </c>
      <c r="G14" s="39" t="n">
        <f aca="false">(H14/H7)-1</f>
        <v>0.631261195971757</v>
      </c>
      <c r="H14" s="36" t="n">
        <f aca="false">SUM(H10:H13)</f>
        <v>21240589</v>
      </c>
      <c r="I14" s="36"/>
      <c r="J14" s="36"/>
      <c r="K14" s="38" t="n">
        <f aca="false">SUM(K10:K13)</f>
        <v>67324134</v>
      </c>
      <c r="M14" s="35" t="s">
        <v>733</v>
      </c>
      <c r="N14" s="39" t="n">
        <f aca="false">(O14/O7)-1</f>
        <v>0.179090510815118</v>
      </c>
      <c r="O14" s="36" t="n">
        <f aca="false">SUM(O10:O13)</f>
        <v>10550101</v>
      </c>
      <c r="P14" s="39" t="n">
        <f aca="false">(Q14/Q7)-1</f>
        <v>0.179090389186182</v>
      </c>
      <c r="Q14" s="36" t="n">
        <f aca="false">SUM(Q10:Q13)</f>
        <v>26559136</v>
      </c>
      <c r="R14" s="39" t="n">
        <f aca="false">(S14/S7)-1</f>
        <v>0.198714797316255</v>
      </c>
      <c r="S14" s="36" t="n">
        <f aca="false">SUM(S10:S13)</f>
        <v>17862490</v>
      </c>
      <c r="T14" s="38" t="n">
        <f aca="false">SUM(T10:T13)</f>
        <v>54971727</v>
      </c>
    </row>
    <row r="15" customFormat="false" ht="12.8" hidden="false" customHeight="false" outlineLevel="0" collapsed="false">
      <c r="B15" s="0" t="s">
        <v>737</v>
      </c>
      <c r="C15" s="0" t="s">
        <v>738</v>
      </c>
      <c r="M15" s="0" t="s">
        <v>739</v>
      </c>
      <c r="N15" s="0" t="s">
        <v>740</v>
      </c>
    </row>
    <row r="16" customFormat="false" ht="12.8" hidden="false" customHeight="false" outlineLevel="0" collapsed="false">
      <c r="B16" s="0" t="s">
        <v>741</v>
      </c>
      <c r="C16" s="0" t="s">
        <v>742</v>
      </c>
      <c r="M16" s="0" t="s">
        <v>743</v>
      </c>
    </row>
    <row r="18" customFormat="false" ht="12.8" hidden="false" customHeight="false" outlineLevel="0" collapsed="false">
      <c r="B18" s="0" t="s">
        <v>744</v>
      </c>
      <c r="D18" s="40" t="n">
        <f aca="false">((2030-F18)/(2030-2013))</f>
        <v>0.470588235294118</v>
      </c>
      <c r="F18" s="41" t="n">
        <v>2022</v>
      </c>
      <c r="O18" s="42" t="n">
        <f aca="false">SUM(O19:Q19)</f>
        <v>4.44999977252338</v>
      </c>
      <c r="P18" s="42"/>
      <c r="Q18" s="42"/>
    </row>
    <row r="19" customFormat="false" ht="12.8" hidden="false" customHeight="false" outlineLevel="0" collapsed="false">
      <c r="M19" s="43" t="s">
        <v>745</v>
      </c>
      <c r="O19" s="44" t="n">
        <v>1.26512821214732</v>
      </c>
      <c r="P19" s="45"/>
      <c r="Q19" s="44" t="n">
        <f aca="false">P4*O19</f>
        <v>3.18487156037606</v>
      </c>
      <c r="R19" s="45"/>
      <c r="S19" s="45" t="n">
        <f aca="false">R4*(O19+Q19)</f>
        <v>1.80803490757625</v>
      </c>
      <c r="T19" s="18" t="n">
        <v>0.35</v>
      </c>
      <c r="U19" s="18" t="n">
        <v>2</v>
      </c>
    </row>
    <row r="20" customFormat="false" ht="12.8" hidden="false" customHeight="false" outlineLevel="0" collapsed="false">
      <c r="B20" s="28" t="str">
        <f aca="false">CONCATENATE("Supply ",$F$18)</f>
        <v>Supply 2022</v>
      </c>
      <c r="C20" s="28"/>
      <c r="D20" s="3" t="s">
        <v>724</v>
      </c>
      <c r="E20" s="28"/>
      <c r="F20" s="3" t="s">
        <v>746</v>
      </c>
      <c r="G20" s="28"/>
      <c r="H20" s="3" t="s">
        <v>727</v>
      </c>
      <c r="I20" s="3"/>
      <c r="J20" s="46" t="s">
        <v>747</v>
      </c>
      <c r="K20" s="0" t="s">
        <v>748</v>
      </c>
      <c r="N20" s="28" t="s">
        <v>749</v>
      </c>
      <c r="O20" s="3" t="s">
        <v>724</v>
      </c>
      <c r="P20" s="28"/>
      <c r="Q20" s="3" t="s">
        <v>725</v>
      </c>
      <c r="R20" s="47" t="s">
        <v>726</v>
      </c>
      <c r="S20" s="3" t="s">
        <v>727</v>
      </c>
      <c r="T20" s="46" t="s">
        <v>747</v>
      </c>
      <c r="U20" s="3" t="s">
        <v>142</v>
      </c>
      <c r="V20" s="3" t="s">
        <v>750</v>
      </c>
      <c r="W20" s="3" t="s">
        <v>751</v>
      </c>
      <c r="X20" s="3" t="s">
        <v>752</v>
      </c>
      <c r="Y20" s="3" t="s">
        <v>753</v>
      </c>
    </row>
    <row r="21" customFormat="false" ht="12.8" hidden="false" customHeight="false" outlineLevel="0" collapsed="false">
      <c r="B21" s="0" t="s">
        <v>8</v>
      </c>
      <c r="C21" s="18" t="n">
        <v>2.38</v>
      </c>
      <c r="D21" s="48" t="n">
        <f aca="false">(C21*$N$21)/1000</f>
        <v>509320</v>
      </c>
      <c r="E21" s="18" t="n">
        <v>3.16143457943925</v>
      </c>
      <c r="F21" s="48" t="n">
        <f aca="false">(E21*$N$21)/1000</f>
        <v>676547</v>
      </c>
      <c r="G21" s="18" t="n">
        <f aca="false">K21-(C21+E21+I21)</f>
        <v>9.15921495327103</v>
      </c>
      <c r="H21" s="48" t="n">
        <f aca="false">(G21*$N$21)/1000</f>
        <v>1960072</v>
      </c>
      <c r="I21" s="18" t="n">
        <f aca="false">(J21/N21)*1000</f>
        <v>1.20121962616822</v>
      </c>
      <c r="J21" s="49" t="n">
        <v>257061</v>
      </c>
      <c r="K21" s="18" t="n">
        <f aca="false">(3403000/N21)*1000</f>
        <v>15.9018691588785</v>
      </c>
      <c r="L21" s="0" t="s">
        <v>92</v>
      </c>
      <c r="M21" s="0" t="s">
        <v>8</v>
      </c>
      <c r="N21" s="19" t="n">
        <f aca="false">[1]base!C5*1000000</f>
        <v>214000000</v>
      </c>
      <c r="O21" s="50" t="n">
        <f aca="false">(N21*$O$19)/1000</f>
        <v>270737.437399526</v>
      </c>
      <c r="Q21" s="19" t="n">
        <f aca="false">$Q$19*O21</f>
        <v>862263.964702845</v>
      </c>
      <c r="R21" s="51" t="n">
        <f aca="false">R4</f>
        <v>0.4063</v>
      </c>
      <c r="S21" s="19" t="n">
        <f aca="false">(O21+Q21)*R21</f>
        <v>460338.469674193</v>
      </c>
      <c r="T21" s="50" t="n">
        <f aca="false">(N21*$T$19)/1000</f>
        <v>74900</v>
      </c>
    </row>
    <row r="22" customFormat="false" ht="12.8" hidden="false" customHeight="false" outlineLevel="0" collapsed="false">
      <c r="B22" s="0" t="s">
        <v>9</v>
      </c>
      <c r="C22" s="18" t="n">
        <v>4.6</v>
      </c>
      <c r="D22" s="48" t="n">
        <f aca="false">(C22*$N$22)/1000</f>
        <v>25493.2</v>
      </c>
      <c r="E22" s="18" t="n">
        <v>14.9</v>
      </c>
      <c r="F22" s="48" t="n">
        <f aca="false">(E22*$N$22)/1000</f>
        <v>82575.8</v>
      </c>
      <c r="G22" s="18" t="n">
        <f aca="false">K22-(C22+E22+I22)</f>
        <v>60.07</v>
      </c>
      <c r="H22" s="48" t="n">
        <f aca="false">(G22*$N$22)/1000</f>
        <v>332907.94</v>
      </c>
      <c r="I22" s="52" t="n">
        <f aca="false">[1]base!D34</f>
        <v>0.43</v>
      </c>
      <c r="J22" s="48" t="n">
        <v>121924</v>
      </c>
      <c r="K22" s="0" t="n">
        <v>80</v>
      </c>
      <c r="M22" s="0" t="s">
        <v>9</v>
      </c>
      <c r="N22" s="19" t="n">
        <f aca="false">[1]base!D5*1000000</f>
        <v>5542000</v>
      </c>
      <c r="O22" s="50" t="n">
        <f aca="false">(N22*$O$19)/1000</f>
        <v>7011.34055172045</v>
      </c>
      <c r="Q22" s="19" t="n">
        <f aca="false">$Q$19*O22</f>
        <v>22330.2191232858</v>
      </c>
      <c r="R22" s="0" t="n">
        <f aca="false">R3</f>
        <v>0.373</v>
      </c>
      <c r="S22" s="19" t="n">
        <f aca="false">(O22+Q22)*R22</f>
        <v>10944.4017587773</v>
      </c>
      <c r="T22" s="50" t="n">
        <f aca="false">(N22*$T$19)/1000</f>
        <v>1939.7</v>
      </c>
    </row>
    <row r="23" customFormat="false" ht="12.8" hidden="false" customHeight="false" outlineLevel="0" collapsed="false">
      <c r="B23" s="0" t="s">
        <v>10</v>
      </c>
      <c r="C23" s="18" t="n">
        <v>6.5</v>
      </c>
      <c r="D23" s="48" t="n">
        <f aca="false">(C23*$N$23)/1000</f>
        <v>438750</v>
      </c>
      <c r="E23" s="18" t="n">
        <v>11.5</v>
      </c>
      <c r="F23" s="48" t="n">
        <f aca="false">(E23*$N$23)/1000</f>
        <v>776250</v>
      </c>
      <c r="G23" s="18" t="n">
        <f aca="false">K23-(C23+E23)</f>
        <v>40</v>
      </c>
      <c r="H23" s="48" t="n">
        <f aca="false">(G23*$N$23)/1000</f>
        <v>2700000</v>
      </c>
      <c r="I23" s="18" t="n">
        <f aca="false">(J23/N23)*1000</f>
        <v>16</v>
      </c>
      <c r="J23" s="48" t="n">
        <v>1080000</v>
      </c>
      <c r="K23" s="0" t="n">
        <v>58</v>
      </c>
      <c r="M23" s="0" t="s">
        <v>10</v>
      </c>
      <c r="N23" s="19" t="n">
        <f aca="false">[1]base!E5*1000000</f>
        <v>67500000</v>
      </c>
      <c r="O23" s="50" t="n">
        <f aca="false">(N23*$O$19)/1000</f>
        <v>85396.1543199441</v>
      </c>
      <c r="Q23" s="19" t="n">
        <f aca="false">$Q$19*O23</f>
        <v>271975.783259075</v>
      </c>
      <c r="R23" s="0" t="n">
        <f aca="false">R3</f>
        <v>0.373</v>
      </c>
      <c r="S23" s="19" t="n">
        <f aca="false">(O23+Q23)*R23</f>
        <v>133299.732716974</v>
      </c>
      <c r="T23" s="50" t="n">
        <f aca="false">(N23*$T$19)/1000</f>
        <v>23625</v>
      </c>
    </row>
    <row r="25" customFormat="false" ht="12.8" hidden="false" customHeight="false" outlineLevel="0" collapsed="false">
      <c r="B25" s="28" t="str">
        <f aca="false">CONCATENATE("Supply ",$F$18)</f>
        <v>Supply 2022</v>
      </c>
      <c r="C25" s="28" t="s">
        <v>754</v>
      </c>
      <c r="D25" s="3" t="s">
        <v>142</v>
      </c>
      <c r="E25" s="28" t="s">
        <v>755</v>
      </c>
      <c r="F25" s="3" t="s">
        <v>750</v>
      </c>
      <c r="G25" s="28" t="s">
        <v>755</v>
      </c>
      <c r="H25" s="3" t="s">
        <v>751</v>
      </c>
      <c r="I25" s="35" t="s">
        <v>755</v>
      </c>
      <c r="J25" s="3" t="s">
        <v>752</v>
      </c>
      <c r="M25" s="47" t="s">
        <v>756</v>
      </c>
      <c r="N25" s="28" t="s">
        <v>735</v>
      </c>
      <c r="O25" s="3" t="s">
        <v>724</v>
      </c>
      <c r="P25" s="28" t="s">
        <v>735</v>
      </c>
      <c r="Q25" s="3" t="s">
        <v>725</v>
      </c>
      <c r="R25" s="28" t="s">
        <v>735</v>
      </c>
      <c r="S25" s="3" t="s">
        <v>727</v>
      </c>
      <c r="T25" s="46" t="s">
        <v>747</v>
      </c>
      <c r="U25" s="3" t="s">
        <v>142</v>
      </c>
      <c r="V25" s="3" t="s">
        <v>750</v>
      </c>
      <c r="W25" s="3" t="s">
        <v>751</v>
      </c>
      <c r="X25" s="3" t="s">
        <v>752</v>
      </c>
      <c r="Y25" s="3" t="s">
        <v>753</v>
      </c>
    </row>
    <row r="26" customFormat="false" ht="12.8" hidden="false" customHeight="false" outlineLevel="0" collapsed="false">
      <c r="B26" s="0" t="s">
        <v>8</v>
      </c>
      <c r="C26" s="18" t="n">
        <f aca="false">[1]beds!E9</f>
        <v>2.45391588785047</v>
      </c>
      <c r="D26" s="48" t="n">
        <f aca="false">(C26*$N$21)/1000</f>
        <v>525138</v>
      </c>
      <c r="E26" s="18" t="n">
        <f aca="false">[1]base!C78</f>
        <v>28</v>
      </c>
      <c r="F26" s="48" t="n">
        <f aca="false">(E26*$N$21)/1000000</f>
        <v>5992</v>
      </c>
      <c r="G26" s="53" t="n">
        <f aca="false">[1]base!C81</f>
        <v>14.5</v>
      </c>
      <c r="H26" s="48" t="n">
        <f aca="false">(G26*$N$21)/1000000</f>
        <v>3103</v>
      </c>
      <c r="I26" s="18" t="n">
        <f aca="false">[1]base!C90</f>
        <v>31.411214953271</v>
      </c>
      <c r="J26" s="48" t="n">
        <f aca="false">(I26*$N$21)/1000000</f>
        <v>6722</v>
      </c>
      <c r="K26" s="18"/>
      <c r="M26" s="0" t="s">
        <v>8</v>
      </c>
      <c r="N26" s="54" t="n">
        <f aca="false">N11*$D$18</f>
        <v>0.0436002514426287</v>
      </c>
      <c r="O26" s="50" t="n">
        <f aca="false">(1+N26)*O21</f>
        <v>282541.657745079</v>
      </c>
      <c r="P26" s="54" t="n">
        <f aca="false">P11*$D$18</f>
        <v>0.0436002267311412</v>
      </c>
      <c r="Q26" s="50" t="n">
        <f aca="false">(1+P26)*Q21</f>
        <v>899858.869065982</v>
      </c>
      <c r="R26" s="54" t="n">
        <f aca="false">R11*$D$18</f>
        <v>0.0435346305079168</v>
      </c>
      <c r="S26" s="50" t="n">
        <f aca="false">(1+R26)*S21</f>
        <v>480379.134860039</v>
      </c>
      <c r="T26" s="50" t="n">
        <f aca="false">(1+R26)*T21</f>
        <v>78160.743825043</v>
      </c>
    </row>
    <row r="27" customFormat="false" ht="12.8" hidden="false" customHeight="false" outlineLevel="0" collapsed="false">
      <c r="B27" s="0" t="s">
        <v>9</v>
      </c>
      <c r="C27" s="18" t="n">
        <f aca="false">[1]base!D62</f>
        <v>2.83</v>
      </c>
      <c r="D27" s="48" t="n">
        <f aca="false">(C27*$N$22)/1000</f>
        <v>15683.86</v>
      </c>
      <c r="E27" s="18" t="n">
        <f aca="false">[1]base!D78</f>
        <v>17</v>
      </c>
      <c r="F27" s="48" t="n">
        <f aca="false">(E27*$N$22)/1000000</f>
        <v>94.214</v>
      </c>
      <c r="G27" s="53" t="n">
        <f aca="false">[1]base!D81</f>
        <v>31</v>
      </c>
      <c r="H27" s="48" t="n">
        <f aca="false">(G27*$N$22)/1000000</f>
        <v>171.802</v>
      </c>
      <c r="I27" s="55" t="n">
        <f aca="false">[1]base!D90</f>
        <v>31</v>
      </c>
      <c r="J27" s="48" t="n">
        <f aca="false">(I27*$N$22)/1000000</f>
        <v>171.802</v>
      </c>
      <c r="M27" s="0" t="s">
        <v>9</v>
      </c>
      <c r="N27" s="54" t="n">
        <f aca="false">N10*$D$18</f>
        <v>0.0269555289303065</v>
      </c>
      <c r="O27" s="50" t="n">
        <f aca="false">(1+N27)*O22</f>
        <v>7200.33494480258</v>
      </c>
      <c r="P27" s="54" t="n">
        <f aca="false">P10*$D$18</f>
        <v>0.0269555160997489</v>
      </c>
      <c r="Q27" s="50" t="n">
        <f aca="false">(1+P27)*Q22</f>
        <v>22932.1417043745</v>
      </c>
      <c r="R27" s="54" t="n">
        <f aca="false">R10*$D$18</f>
        <v>0.0269387933175672</v>
      </c>
      <c r="S27" s="50" t="n">
        <f aca="false">(1+R27)*S22</f>
        <v>11239.2307357415</v>
      </c>
      <c r="T27" s="50" t="n">
        <f aca="false">(1+R27)*T22</f>
        <v>1991.95317739809</v>
      </c>
    </row>
    <row r="28" customFormat="false" ht="12.8" hidden="false" customHeight="false" outlineLevel="0" collapsed="false">
      <c r="B28" s="0" t="s">
        <v>10</v>
      </c>
      <c r="C28" s="18" t="n">
        <f aca="false">[1]base!E62</f>
        <v>5.72</v>
      </c>
      <c r="D28" s="48" t="n">
        <f aca="false">(C28*$N$23)/1000</f>
        <v>386100</v>
      </c>
      <c r="E28" s="18" t="n">
        <f aca="false">[1]base!E78</f>
        <v>19</v>
      </c>
      <c r="F28" s="48" t="n">
        <f aca="false">(E28*$N$23)/1000000</f>
        <v>1282.5</v>
      </c>
      <c r="G28" s="53" t="n">
        <f aca="false">[1]base!E81</f>
        <v>16</v>
      </c>
      <c r="H28" s="48" t="n">
        <f aca="false">(G28*$N$23)/1000000</f>
        <v>1080</v>
      </c>
      <c r="I28" s="18" t="n">
        <f aca="false">[1]base!E90</f>
        <v>7</v>
      </c>
      <c r="J28" s="48" t="n">
        <f aca="false">(I28*$N$23)/1000000</f>
        <v>472.5</v>
      </c>
      <c r="M28" s="0" t="s">
        <v>10</v>
      </c>
      <c r="N28" s="54" t="n">
        <f aca="false">N10*$D$18</f>
        <v>0.0269555289303065</v>
      </c>
      <c r="O28" s="50" t="n">
        <f aca="false">(1+N28)*O23</f>
        <v>87698.0528282523</v>
      </c>
      <c r="P28" s="54" t="n">
        <f aca="false">P10*$D$18</f>
        <v>0.0269555160997489</v>
      </c>
      <c r="Q28" s="50" t="n">
        <f aca="false">(1+P28)*Q23</f>
        <v>279307.030863457</v>
      </c>
      <c r="R28" s="54" t="n">
        <f aca="false">R10*$D$18</f>
        <v>0.0269387933175672</v>
      </c>
      <c r="S28" s="50" t="n">
        <f aca="false">(1+R28)*S23</f>
        <v>136890.666665924</v>
      </c>
      <c r="T28" s="50" t="n">
        <f aca="false">(1+R28)*T23</f>
        <v>24261.4289921275</v>
      </c>
    </row>
    <row r="30" customFormat="false" ht="12.8" hidden="false" customHeight="false" outlineLevel="0" collapsed="false">
      <c r="B30" s="28" t="str">
        <f aca="false">CONCATENATE("Supply ",$F$18)</f>
        <v>Supply 2022</v>
      </c>
      <c r="C30" s="35" t="s">
        <v>755</v>
      </c>
      <c r="D30" s="3" t="s">
        <v>753</v>
      </c>
    </row>
    <row r="31" customFormat="false" ht="12.8" hidden="false" customHeight="false" outlineLevel="0" collapsed="false">
      <c r="B31" s="0" t="s">
        <v>8</v>
      </c>
      <c r="C31" s="18" t="n">
        <v>1.83218222927144</v>
      </c>
      <c r="D31" s="48" t="n">
        <f aca="false">(C31*$N$21)/1000000</f>
        <v>392.086997064088</v>
      </c>
      <c r="F31" s="0" t="s">
        <v>757</v>
      </c>
    </row>
    <row r="32" customFormat="false" ht="12.8" hidden="false" customHeight="false" outlineLevel="0" collapsed="false">
      <c r="B32" s="0" t="s">
        <v>9</v>
      </c>
      <c r="C32" s="18" t="n">
        <f aca="false">[1]base!D93</f>
        <v>10.3</v>
      </c>
      <c r="D32" s="48" t="n">
        <f aca="false">(C32*$N$22)/1000000</f>
        <v>57.0826</v>
      </c>
      <c r="R32" s="43" t="s">
        <v>758</v>
      </c>
      <c r="S32" s="43" t="s">
        <v>759</v>
      </c>
      <c r="T32" s="43" t="s">
        <v>760</v>
      </c>
    </row>
    <row r="33" customFormat="false" ht="12.8" hidden="false" customHeight="false" outlineLevel="0" collapsed="false">
      <c r="B33" s="0" t="s">
        <v>10</v>
      </c>
      <c r="C33" s="18" t="n">
        <f aca="false">[1]base!E94</f>
        <v>11.3</v>
      </c>
      <c r="D33" s="48" t="n">
        <f aca="false">(C33*$N$23)/1000000</f>
        <v>762.75</v>
      </c>
      <c r="R33" s="0" t="s">
        <v>761</v>
      </c>
      <c r="S33" s="0" t="s">
        <v>762</v>
      </c>
    </row>
    <row r="34" customFormat="false" ht="12.8" hidden="false" customHeight="false" outlineLevel="0" collapsed="false">
      <c r="M34" s="19"/>
      <c r="R34" s="0" t="s">
        <v>763</v>
      </c>
      <c r="S34" s="0" t="s">
        <v>764</v>
      </c>
    </row>
    <row r="35" customFormat="false" ht="12.8" hidden="false" customHeight="false" outlineLevel="0" collapsed="false">
      <c r="B35" s="28" t="s">
        <v>734</v>
      </c>
      <c r="C35" s="28" t="s">
        <v>735</v>
      </c>
      <c r="D35" s="3" t="s">
        <v>724</v>
      </c>
      <c r="E35" s="28" t="s">
        <v>735</v>
      </c>
      <c r="F35" s="3" t="s">
        <v>725</v>
      </c>
      <c r="G35" s="28" t="s">
        <v>735</v>
      </c>
      <c r="H35" s="3" t="s">
        <v>727</v>
      </c>
      <c r="I35" s="3"/>
      <c r="J35" s="3" t="str">
        <f aca="false">J20</f>
        <v>Community-based health workers</v>
      </c>
      <c r="M35" s="19" t="s">
        <v>765</v>
      </c>
    </row>
    <row r="36" customFormat="false" ht="12.8" hidden="false" customHeight="false" outlineLevel="0" collapsed="false">
      <c r="B36" s="0" t="s">
        <v>8</v>
      </c>
      <c r="C36" s="54" t="n">
        <f aca="false">C11*$D$18</f>
        <v>0.187809582195599</v>
      </c>
      <c r="D36" s="50" t="n">
        <f aca="false">(1+C36)*D21</f>
        <v>604975.176403862</v>
      </c>
      <c r="E36" s="54" t="n">
        <f aca="false">E11*$D$18</f>
        <v>0.203571642361151</v>
      </c>
      <c r="F36" s="50" t="n">
        <f aca="false">(1+E36)*F21</f>
        <v>814272.783924509</v>
      </c>
      <c r="G36" s="54" t="n">
        <f aca="false">G11*$D$18</f>
        <v>0.385881104247326</v>
      </c>
      <c r="H36" s="50" t="n">
        <f aca="false">(1+G36)*H21</f>
        <v>2716426.74776427</v>
      </c>
      <c r="I36" s="56" t="n">
        <f aca="false">G36</f>
        <v>0.385881104247326</v>
      </c>
      <c r="J36" s="50" t="n">
        <f aca="false">(1+I36)*J21</f>
        <v>356255.982538922</v>
      </c>
      <c r="M36" s="0" t="s">
        <v>766</v>
      </c>
      <c r="O36" s="3" t="s">
        <v>724</v>
      </c>
      <c r="Q36" s="3" t="s">
        <v>725</v>
      </c>
      <c r="R36" s="28"/>
      <c r="S36" s="3" t="s">
        <v>727</v>
      </c>
      <c r="T36" s="46" t="s">
        <v>747</v>
      </c>
      <c r="U36" s="3" t="s">
        <v>142</v>
      </c>
      <c r="V36" s="3" t="s">
        <v>750</v>
      </c>
      <c r="W36" s="3" t="s">
        <v>751</v>
      </c>
      <c r="X36" s="3" t="s">
        <v>752</v>
      </c>
      <c r="Y36" s="3" t="s">
        <v>753</v>
      </c>
      <c r="Z36" s="3"/>
    </row>
    <row r="37" customFormat="false" ht="12.8" hidden="false" customHeight="false" outlineLevel="0" collapsed="false">
      <c r="B37" s="0" t="s">
        <v>9</v>
      </c>
      <c r="C37" s="54" t="n">
        <f aca="false">C10*$D$18</f>
        <v>0.0881218883279831</v>
      </c>
      <c r="D37" s="50" t="n">
        <f aca="false">(1+C37)*D22</f>
        <v>27739.7089235229</v>
      </c>
      <c r="E37" s="54" t="n">
        <f aca="false">E10*$D$18</f>
        <v>0.25677955717554</v>
      </c>
      <c r="F37" s="50" t="n">
        <f aca="false">(1+E37)*F22</f>
        <v>103779.577357416</v>
      </c>
      <c r="G37" s="54" t="n">
        <f aca="false">G10*$D$18</f>
        <v>0.10008696891844</v>
      </c>
      <c r="H37" s="50" t="n">
        <f aca="false">(1+G37)*H22</f>
        <v>366227.686643482</v>
      </c>
      <c r="I37" s="56" t="n">
        <f aca="false">G37</f>
        <v>0.10008696891844</v>
      </c>
      <c r="J37" s="50" t="n">
        <f aca="false">(1+I37)*J22</f>
        <v>134127.003598412</v>
      </c>
      <c r="M37" s="0" t="s">
        <v>767</v>
      </c>
      <c r="N37" s="54" t="n">
        <v>0.1</v>
      </c>
      <c r="O37" s="45" t="n">
        <f aca="false">N37*$O$19</f>
        <v>0.126512821214732</v>
      </c>
      <c r="P37" s="54" t="n">
        <f aca="false">18.1%+1.8%</f>
        <v>0.199</v>
      </c>
      <c r="Q37" s="45" t="n">
        <f aca="false">P37*$Q$19</f>
        <v>0.633789440514835</v>
      </c>
      <c r="R37" s="54" t="n">
        <v>0.2</v>
      </c>
      <c r="S37" s="45" t="n">
        <f aca="false">R37*$S$19</f>
        <v>0.36160698151525</v>
      </c>
      <c r="T37" s="57" t="n">
        <v>0.35</v>
      </c>
      <c r="U37" s="45" t="s">
        <v>768</v>
      </c>
      <c r="V37" s="58" t="s">
        <v>768</v>
      </c>
      <c r="W37" s="58" t="s">
        <v>768</v>
      </c>
      <c r="X37" s="58" t="s">
        <v>768</v>
      </c>
      <c r="Y37" s="58" t="s">
        <v>768</v>
      </c>
      <c r="Z37" s="59"/>
      <c r="AA37" s="59"/>
    </row>
    <row r="38" customFormat="false" ht="12.8" hidden="false" customHeight="false" outlineLevel="0" collapsed="false">
      <c r="B38" s="0" t="s">
        <v>10</v>
      </c>
      <c r="C38" s="54" t="n">
        <f aca="false">C10*$D$18</f>
        <v>0.0881218883279831</v>
      </c>
      <c r="D38" s="50" t="n">
        <f aca="false">(1+C38)*D23</f>
        <v>477413.478503903</v>
      </c>
      <c r="E38" s="54" t="n">
        <f aca="false">E10*$D$18</f>
        <v>0.25677955717554</v>
      </c>
      <c r="F38" s="50" t="n">
        <f aca="false">(1+E38)*F23</f>
        <v>975575.131257513</v>
      </c>
      <c r="G38" s="54" t="n">
        <f aca="false">G10*$D$18</f>
        <v>0.10008696891844</v>
      </c>
      <c r="H38" s="50" t="n">
        <f aca="false">(1+G38)*H23</f>
        <v>2970234.81607979</v>
      </c>
      <c r="I38" s="56" t="n">
        <f aca="false">G38</f>
        <v>0.10008696891844</v>
      </c>
      <c r="J38" s="50" t="n">
        <f aca="false">(1+I38)*J23</f>
        <v>1188093.92643192</v>
      </c>
      <c r="M38" s="0" t="s">
        <v>769</v>
      </c>
      <c r="N38" s="54" t="n">
        <v>0.41</v>
      </c>
      <c r="O38" s="45" t="n">
        <f aca="false">N38*$O$19</f>
        <v>0.518702566980401</v>
      </c>
      <c r="P38" s="54" t="n">
        <f aca="false">6.1%+1.3%+2%</f>
        <v>0.094</v>
      </c>
      <c r="Q38" s="45" t="n">
        <f aca="false">P38*$Q$19</f>
        <v>0.299377926675349</v>
      </c>
      <c r="R38" s="54" t="n">
        <v>0.4</v>
      </c>
      <c r="S38" s="45" t="n">
        <f aca="false">R38*$S$19</f>
        <v>0.723213963030499</v>
      </c>
      <c r="T38" s="57" t="s">
        <v>768</v>
      </c>
      <c r="U38" s="45" t="n">
        <v>1.19</v>
      </c>
      <c r="V38" s="58" t="n">
        <f aca="false">5/1000</f>
        <v>0.005</v>
      </c>
      <c r="W38" s="58" t="n">
        <f aca="false">0.3*W39</f>
        <v>0.00356208244088937</v>
      </c>
      <c r="X38" s="58" t="n">
        <f aca="false">0.2*X39</f>
        <v>0.0016</v>
      </c>
      <c r="Y38" s="58" t="n">
        <f aca="false">0.1/1000</f>
        <v>0.0001</v>
      </c>
      <c r="Z38" s="59"/>
      <c r="AA38" s="59"/>
    </row>
    <row r="39" customFormat="false" ht="12.8" hidden="false" customHeight="false" outlineLevel="0" collapsed="false">
      <c r="M39" s="0" t="s">
        <v>770</v>
      </c>
      <c r="N39" s="54" t="n">
        <v>0.49</v>
      </c>
      <c r="O39" s="45" t="n">
        <f aca="false">N39*$O$19</f>
        <v>0.619912823952187</v>
      </c>
      <c r="P39" s="54" t="n">
        <f aca="false">56.5%+11%+3%</f>
        <v>0.705</v>
      </c>
      <c r="Q39" s="45" t="n">
        <f aca="false">P39*$Q$19</f>
        <v>2.24533445006512</v>
      </c>
      <c r="R39" s="54" t="n">
        <v>0.4</v>
      </c>
      <c r="S39" s="45" t="n">
        <f aca="false">R39*$S$19</f>
        <v>0.723213963030499</v>
      </c>
      <c r="T39" s="57" t="s">
        <v>768</v>
      </c>
      <c r="U39" s="45" t="n">
        <v>0.81</v>
      </c>
      <c r="V39" s="58" t="n">
        <f aca="false">15/1000</f>
        <v>0.015</v>
      </c>
      <c r="W39" s="58" t="n">
        <v>0.0118736081362979</v>
      </c>
      <c r="X39" s="58" t="n">
        <f aca="false">8/1000</f>
        <v>0.008</v>
      </c>
      <c r="Y39" s="58" t="n">
        <f aca="false">4/1000</f>
        <v>0.004</v>
      </c>
      <c r="Z39" s="59"/>
      <c r="AA39" s="59"/>
    </row>
    <row r="40" customFormat="false" ht="12.8" hidden="false" customHeight="false" outlineLevel="0" collapsed="false">
      <c r="B40" s="0" t="s">
        <v>771</v>
      </c>
      <c r="O40" s="18"/>
      <c r="Q40" s="45"/>
      <c r="S40" s="45"/>
      <c r="T40" s="57"/>
      <c r="U40" s="45"/>
      <c r="V40" s="58"/>
      <c r="W40" s="58"/>
      <c r="X40" s="58"/>
      <c r="Y40" s="60"/>
      <c r="Z40" s="59"/>
      <c r="AA40" s="59"/>
    </row>
    <row r="41" customFormat="false" ht="12.8" hidden="false" customHeight="false" outlineLevel="0" collapsed="false">
      <c r="K41" s="18"/>
      <c r="M41" s="43" t="s">
        <v>772</v>
      </c>
      <c r="N41" s="54" t="n">
        <f aca="false">SUM(N37:N39)</f>
        <v>1</v>
      </c>
      <c r="O41" s="61" t="n">
        <f aca="false">SUM(O37:O39)</f>
        <v>1.26512821214732</v>
      </c>
      <c r="P41" s="54" t="n">
        <f aca="false">SUM(P37:P39)</f>
        <v>0.998</v>
      </c>
      <c r="Q41" s="61" t="n">
        <f aca="false">SUM(Q37:Q39)</f>
        <v>3.1785018172553</v>
      </c>
      <c r="R41" s="54" t="n">
        <f aca="false">SUM(R37:R39)</f>
        <v>1</v>
      </c>
      <c r="S41" s="61" t="n">
        <f aca="false">SUM(S37:S39)</f>
        <v>1.80803490757625</v>
      </c>
      <c r="T41" s="61" t="n">
        <f aca="false">SUM(T37:T39)</f>
        <v>0.35</v>
      </c>
      <c r="U41" s="61" t="n">
        <f aca="false">SUM(U37:U39)</f>
        <v>2</v>
      </c>
      <c r="V41" s="62" t="n">
        <f aca="false">SUM(V37:V39)</f>
        <v>0.02</v>
      </c>
      <c r="W41" s="62" t="n">
        <f aca="false">SUM(W37:W39)</f>
        <v>0.0154356905771873</v>
      </c>
      <c r="X41" s="62" t="n">
        <f aca="false">SUM(X37:X39)</f>
        <v>0.0096</v>
      </c>
      <c r="Y41" s="62" t="n">
        <f aca="false">SUM(Y37:Y39)</f>
        <v>0.0041</v>
      </c>
      <c r="Z41" s="63"/>
      <c r="AA41" s="63"/>
    </row>
    <row r="42" customFormat="false" ht="12.8" hidden="false" customHeight="false" outlineLevel="0" collapsed="false">
      <c r="A42" s="0" t="s">
        <v>773</v>
      </c>
      <c r="B42" s="28" t="str">
        <f aca="false">CONCATENATE("Supply ",$F$18)</f>
        <v>Supply 2022</v>
      </c>
      <c r="C42" s="0" t="s">
        <v>748</v>
      </c>
      <c r="D42" s="46" t="s">
        <v>747</v>
      </c>
      <c r="E42" s="0" t="s">
        <v>774</v>
      </c>
      <c r="F42" s="46" t="s">
        <v>775</v>
      </c>
      <c r="K42" s="18"/>
    </row>
    <row r="43" customFormat="false" ht="12.8" hidden="false" customHeight="false" outlineLevel="0" collapsed="false">
      <c r="A43" s="0" t="s">
        <v>773</v>
      </c>
      <c r="B43" s="0" t="s">
        <v>8</v>
      </c>
      <c r="C43" s="18" t="n">
        <f aca="false">(D43/N21)*1000</f>
        <v>1.20121962616822</v>
      </c>
      <c r="D43" s="49" t="n">
        <v>257061</v>
      </c>
      <c r="E43" s="18" t="n">
        <f aca="false">(F43/N21)*1000</f>
        <v>0.34</v>
      </c>
      <c r="F43" s="19" t="n">
        <f aca="false">(N21/(3000))+((0.02*N21)/(3000))</f>
        <v>72760</v>
      </c>
      <c r="H43" s="19"/>
      <c r="I43" s="19"/>
      <c r="J43" s="19"/>
      <c r="K43" s="18"/>
      <c r="O43" s="0" t="s">
        <v>776</v>
      </c>
      <c r="U43" s="0" t="s">
        <v>777</v>
      </c>
    </row>
    <row r="44" customFormat="false" ht="12.8" hidden="false" customHeight="false" outlineLevel="0" collapsed="false">
      <c r="A44" s="0" t="s">
        <v>773</v>
      </c>
      <c r="B44" s="0" t="s">
        <v>9</v>
      </c>
      <c r="C44" s="0" t="n">
        <v>21.5</v>
      </c>
      <c r="D44" s="48" t="n">
        <v>121924</v>
      </c>
      <c r="E44" s="18" t="n">
        <f aca="false">(F44/N22)*1000</f>
        <v>0.353333333333333</v>
      </c>
      <c r="F44" s="19" t="n">
        <f aca="false">(N22/(3000))+((0.06*N22)/(3000))</f>
        <v>1958.17333333333</v>
      </c>
      <c r="M44" s="19"/>
    </row>
    <row r="45" customFormat="false" ht="12.8" hidden="false" customHeight="false" outlineLevel="0" collapsed="false">
      <c r="A45" s="0" t="s">
        <v>778</v>
      </c>
      <c r="B45" s="0" t="s">
        <v>10</v>
      </c>
      <c r="C45" s="18" t="n">
        <f aca="false">(D45/N23)*1000</f>
        <v>16</v>
      </c>
      <c r="D45" s="48" t="n">
        <v>1080000</v>
      </c>
      <c r="E45" s="18" t="n">
        <f aca="false">(F45/N23)*1000</f>
        <v>0.353333333333333</v>
      </c>
      <c r="F45" s="19" t="n">
        <f aca="false">(N23/(3000))+((0.06*N23)/(3000))</f>
        <v>23850</v>
      </c>
      <c r="V45" s="19" t="n">
        <f aca="false">14.5*N21/1000000+210</f>
        <v>3313</v>
      </c>
      <c r="W45" s="0" t="s">
        <v>779</v>
      </c>
    </row>
    <row r="46" customFormat="false" ht="12.8" hidden="false" customHeight="false" outlineLevel="0" collapsed="false">
      <c r="A46" s="0" t="s">
        <v>780</v>
      </c>
      <c r="J46" s="13"/>
      <c r="V46" s="19" t="n">
        <f aca="false">(W41*N21)/1000</f>
        <v>3303.23778351808</v>
      </c>
    </row>
    <row r="47" customFormat="false" ht="12.8" hidden="false" customHeight="false" outlineLevel="0" collapsed="false">
      <c r="B47" s="0" t="s">
        <v>742</v>
      </c>
      <c r="O47" s="25" t="s">
        <v>781</v>
      </c>
      <c r="Q47" s="25" t="s">
        <v>567</v>
      </c>
      <c r="S47" s="25" t="s">
        <v>782</v>
      </c>
      <c r="T47" s="0" t="s">
        <v>783</v>
      </c>
      <c r="U47" s="25" t="s">
        <v>784</v>
      </c>
      <c r="V47" s="3" t="s">
        <v>750</v>
      </c>
      <c r="W47" s="3" t="s">
        <v>751</v>
      </c>
      <c r="X47" s="3" t="s">
        <v>752</v>
      </c>
      <c r="Y47" s="3" t="s">
        <v>753</v>
      </c>
    </row>
    <row r="48" customFormat="false" ht="12.8" hidden="false" customHeight="false" outlineLevel="0" collapsed="false">
      <c r="A48" s="0" t="s">
        <v>778</v>
      </c>
      <c r="B48" s="0" t="s">
        <v>785</v>
      </c>
      <c r="M48" s="0" t="s">
        <v>766</v>
      </c>
      <c r="N48" s="0" t="s">
        <v>786</v>
      </c>
      <c r="O48" s="57" t="n">
        <v>1</v>
      </c>
      <c r="P48" s="57"/>
      <c r="Q48" s="57" t="n">
        <v>2</v>
      </c>
      <c r="R48" s="57"/>
      <c r="S48" s="57" t="n">
        <v>3</v>
      </c>
      <c r="T48" s="57" t="n">
        <v>4</v>
      </c>
      <c r="U48" s="57" t="n">
        <v>5</v>
      </c>
      <c r="V48" s="57" t="n">
        <v>6</v>
      </c>
      <c r="W48" s="57" t="n">
        <v>7</v>
      </c>
      <c r="X48" s="57" t="n">
        <v>8</v>
      </c>
      <c r="Y48" s="57" t="n">
        <v>9</v>
      </c>
      <c r="Z48" s="0" t="s">
        <v>787</v>
      </c>
    </row>
    <row r="49" customFormat="false" ht="12.8" hidden="false" customHeight="false" outlineLevel="0" collapsed="false">
      <c r="A49" s="0" t="s">
        <v>773</v>
      </c>
      <c r="B49" s="0" t="s">
        <v>788</v>
      </c>
      <c r="M49" s="0" t="n">
        <v>1</v>
      </c>
      <c r="O49" s="45" t="n">
        <f aca="false">O37</f>
        <v>0.126512821214732</v>
      </c>
      <c r="P49" s="57"/>
      <c r="Q49" s="45" t="n">
        <f aca="false">Q37</f>
        <v>0.633789440514835</v>
      </c>
      <c r="R49" s="57"/>
      <c r="S49" s="45" t="n">
        <f aca="false">S37</f>
        <v>0.36160698151525</v>
      </c>
      <c r="T49" s="57" t="n">
        <f aca="false">T37</f>
        <v>0.35</v>
      </c>
      <c r="U49" s="45" t="str">
        <f aca="false">U37</f>
        <v>.</v>
      </c>
      <c r="V49" s="58" t="str">
        <f aca="false">V37</f>
        <v>.</v>
      </c>
      <c r="W49" s="58" t="str">
        <f aca="false">W37</f>
        <v>.</v>
      </c>
      <c r="X49" s="58" t="str">
        <f aca="false">X37</f>
        <v>.</v>
      </c>
      <c r="Y49" s="58" t="str">
        <f aca="false">Y37</f>
        <v>.</v>
      </c>
    </row>
    <row r="50" customFormat="false" ht="12.8" hidden="false" customHeight="false" outlineLevel="0" collapsed="false">
      <c r="A50" s="0" t="s">
        <v>773</v>
      </c>
      <c r="B50" s="0" t="s">
        <v>789</v>
      </c>
      <c r="D50" s="25"/>
      <c r="M50" s="0" t="n">
        <v>2</v>
      </c>
      <c r="O50" s="45" t="n">
        <f aca="false">O38</f>
        <v>0.518702566980401</v>
      </c>
      <c r="P50" s="57"/>
      <c r="Q50" s="45" t="n">
        <f aca="false">Q38</f>
        <v>0.299377926675349</v>
      </c>
      <c r="R50" s="57"/>
      <c r="S50" s="45" t="n">
        <f aca="false">S38</f>
        <v>0.723213963030499</v>
      </c>
      <c r="T50" s="57" t="str">
        <f aca="false">T38</f>
        <v>.</v>
      </c>
      <c r="U50" s="45" t="n">
        <f aca="false">U38</f>
        <v>1.19</v>
      </c>
      <c r="V50" s="58" t="n">
        <f aca="false">V38</f>
        <v>0.005</v>
      </c>
      <c r="W50" s="58" t="n">
        <f aca="false">W38</f>
        <v>0.00356208244088937</v>
      </c>
      <c r="X50" s="58" t="n">
        <f aca="false">X38</f>
        <v>0.0016</v>
      </c>
      <c r="Y50" s="58" t="n">
        <f aca="false">Y38</f>
        <v>0.0001</v>
      </c>
    </row>
    <row r="51" customFormat="false" ht="12.8" hidden="false" customHeight="false" outlineLevel="0" collapsed="false">
      <c r="B51" s="0" t="s">
        <v>790</v>
      </c>
      <c r="M51" s="0" t="n">
        <v>3</v>
      </c>
      <c r="O51" s="45" t="n">
        <f aca="false">O39</f>
        <v>0.619912823952187</v>
      </c>
      <c r="P51" s="57"/>
      <c r="Q51" s="45" t="n">
        <f aca="false">Q39</f>
        <v>2.24533445006512</v>
      </c>
      <c r="R51" s="57"/>
      <c r="S51" s="45" t="n">
        <f aca="false">S39</f>
        <v>0.723213963030499</v>
      </c>
      <c r="T51" s="57" t="str">
        <f aca="false">T39</f>
        <v>.</v>
      </c>
      <c r="U51" s="45" t="n">
        <f aca="false">U39</f>
        <v>0.81</v>
      </c>
      <c r="V51" s="58" t="n">
        <f aca="false">V39</f>
        <v>0.015</v>
      </c>
      <c r="W51" s="58" t="n">
        <f aca="false">W39</f>
        <v>0.0118736081362979</v>
      </c>
      <c r="X51" s="58" t="n">
        <f aca="false">X39</f>
        <v>0.008</v>
      </c>
      <c r="Y51" s="58" t="n">
        <f aca="false">Y39</f>
        <v>0.004</v>
      </c>
    </row>
    <row r="52" customFormat="false" ht="12.8" hidden="false" customHeight="false" outlineLevel="0" collapsed="false">
      <c r="B52" s="0" t="s">
        <v>791</v>
      </c>
      <c r="M52" s="0" t="s">
        <v>792</v>
      </c>
    </row>
    <row r="53" customFormat="false" ht="12.8" hidden="false" customHeight="false" outlineLevel="0" collapsed="false">
      <c r="B53" s="0" t="s">
        <v>793</v>
      </c>
    </row>
    <row r="54" customFormat="false" ht="12.8" hidden="false" customHeight="false" outlineLevel="0" collapsed="false">
      <c r="B54" s="0" t="s">
        <v>794</v>
      </c>
    </row>
    <row r="55" customFormat="false" ht="12.8" hidden="false" customHeight="false" outlineLevel="0" collapsed="false">
      <c r="B55" s="0" t="s">
        <v>795</v>
      </c>
      <c r="M55" s="18" t="n">
        <f aca="false">G21</f>
        <v>9.15921495327103</v>
      </c>
    </row>
    <row r="56" customFormat="false" ht="12.8" hidden="false" customHeight="false" outlineLevel="0" collapsed="false">
      <c r="B56" s="0" t="s">
        <v>796</v>
      </c>
      <c r="M56" s="18" t="n">
        <f aca="false">G22</f>
        <v>60.07</v>
      </c>
    </row>
    <row r="57" customFormat="false" ht="12.8" hidden="false" customHeight="false" outlineLevel="0" collapsed="false">
      <c r="B57" s="0" t="s">
        <v>797</v>
      </c>
      <c r="M57" s="18" t="n">
        <f aca="false">G23</f>
        <v>40</v>
      </c>
    </row>
    <row r="58" customFormat="false" ht="12.8" hidden="false" customHeight="false" outlineLevel="0" collapsed="false">
      <c r="B58" s="0" t="s">
        <v>798</v>
      </c>
    </row>
    <row r="59" customFormat="false" ht="12.8" hidden="false" customHeight="false" outlineLevel="0" collapsed="false">
      <c r="B59" s="0" t="s">
        <v>799</v>
      </c>
    </row>
    <row r="60" customFormat="false" ht="12.8" hidden="false" customHeight="false" outlineLevel="0" collapsed="false">
      <c r="B60" s="0" t="s">
        <v>800</v>
      </c>
    </row>
    <row r="62" customFormat="false" ht="12.8" hidden="false" customHeight="false" outlineLevel="0" collapsed="false">
      <c r="M62" s="19" t="s">
        <v>765</v>
      </c>
    </row>
    <row r="63" customFormat="false" ht="12.8" hidden="false" customHeight="false" outlineLevel="0" collapsed="false">
      <c r="K63" s="18" t="n">
        <f aca="false">SUM(E65:J65)</f>
        <v>2.323</v>
      </c>
      <c r="M63" s="0" t="s">
        <v>801</v>
      </c>
      <c r="O63" s="3" t="s">
        <v>724</v>
      </c>
      <c r="Q63" s="3" t="s">
        <v>725</v>
      </c>
      <c r="R63" s="28"/>
      <c r="S63" s="3" t="s">
        <v>727</v>
      </c>
      <c r="T63" s="46" t="s">
        <v>747</v>
      </c>
      <c r="U63" s="3" t="s">
        <v>142</v>
      </c>
      <c r="V63" s="3" t="s">
        <v>750</v>
      </c>
      <c r="W63" s="3" t="s">
        <v>751</v>
      </c>
      <c r="X63" s="3" t="s">
        <v>752</v>
      </c>
      <c r="Y63" s="3" t="s">
        <v>753</v>
      </c>
      <c r="Z63" s="3"/>
    </row>
    <row r="64" customFormat="false" ht="12.8" hidden="false" customHeight="false" outlineLevel="0" collapsed="false">
      <c r="B64" s="0" t="s">
        <v>802</v>
      </c>
      <c r="C64" s="0" t="s">
        <v>781</v>
      </c>
      <c r="D64" s="0" t="s">
        <v>725</v>
      </c>
      <c r="E64" s="43" t="s">
        <v>758</v>
      </c>
      <c r="F64" s="43" t="s">
        <v>759</v>
      </c>
      <c r="G64" s="43" t="s">
        <v>760</v>
      </c>
      <c r="K64" s="18" t="n">
        <f aca="false">SUM(E66:J66)</f>
        <v>4.631</v>
      </c>
      <c r="M64" s="0" t="s">
        <v>767</v>
      </c>
      <c r="N64" s="54" t="n">
        <v>0.1</v>
      </c>
      <c r="O64" s="45" t="s">
        <v>803</v>
      </c>
      <c r="P64" s="54" t="n">
        <f aca="false">18.1%+1.8%</f>
        <v>0.199</v>
      </c>
      <c r="Q64" s="45" t="n">
        <f aca="false">P64*$Q$19</f>
        <v>0.633789440514835</v>
      </c>
      <c r="R64" s="54" t="n">
        <v>0.2</v>
      </c>
      <c r="S64" s="45" t="n">
        <f aca="false">R64*$S$19</f>
        <v>0.36160698151525</v>
      </c>
      <c r="T64" s="57" t="n">
        <v>0.35</v>
      </c>
      <c r="U64" s="45" t="s">
        <v>768</v>
      </c>
      <c r="V64" s="58" t="s">
        <v>768</v>
      </c>
      <c r="W64" s="58" t="s">
        <v>768</v>
      </c>
      <c r="X64" s="58" t="s">
        <v>768</v>
      </c>
      <c r="Y64" s="58" t="s">
        <v>768</v>
      </c>
      <c r="Z64" s="59"/>
    </row>
    <row r="65" customFormat="false" ht="12.8" hidden="false" customHeight="false" outlineLevel="0" collapsed="false">
      <c r="B65" s="0" t="s">
        <v>8</v>
      </c>
      <c r="C65" s="18" t="n">
        <v>2.311</v>
      </c>
      <c r="D65" s="18" t="n">
        <v>7.401</v>
      </c>
      <c r="E65" s="18" t="n">
        <v>0.64</v>
      </c>
      <c r="F65" s="18" t="n">
        <v>0.683</v>
      </c>
      <c r="G65" s="0" t="n">
        <v>1</v>
      </c>
      <c r="K65" s="18" t="n">
        <f aca="false">SUM(E67:J67)</f>
        <v>3.064</v>
      </c>
      <c r="M65" s="0" t="s">
        <v>769</v>
      </c>
      <c r="N65" s="54" t="n">
        <v>0.41</v>
      </c>
      <c r="O65" s="45" t="n">
        <f aca="false">N65*$O$19</f>
        <v>0.518702566980401</v>
      </c>
      <c r="P65" s="54" t="n">
        <f aca="false">6.1%+1.3%+2%</f>
        <v>0.094</v>
      </c>
      <c r="Q65" s="45" t="n">
        <f aca="false">P65*$Q$19</f>
        <v>0.299377926675349</v>
      </c>
      <c r="R65" s="54" t="n">
        <v>0.4</v>
      </c>
      <c r="S65" s="45" t="n">
        <f aca="false">R65*$S$19</f>
        <v>0.723213963030499</v>
      </c>
      <c r="T65" s="57" t="s">
        <v>768</v>
      </c>
      <c r="U65" s="45" t="n">
        <v>1.19</v>
      </c>
      <c r="V65" s="58" t="n">
        <f aca="false">5/1000</f>
        <v>0.005</v>
      </c>
      <c r="W65" s="58" t="n">
        <f aca="false">0.3*W66</f>
        <v>0.00356208244088937</v>
      </c>
      <c r="X65" s="58" t="n">
        <f aca="false">0.2*X66</f>
        <v>0.0016</v>
      </c>
      <c r="Y65" s="58" t="n">
        <f aca="false">0.1/1000</f>
        <v>0.0001</v>
      </c>
      <c r="Z65" s="59"/>
    </row>
    <row r="66" customFormat="false" ht="12.8" hidden="false" customHeight="false" outlineLevel="0" collapsed="false">
      <c r="B66" s="0" t="s">
        <v>9</v>
      </c>
      <c r="C66" s="18" t="n">
        <v>4.64</v>
      </c>
      <c r="D66" s="18" t="n">
        <v>22.31</v>
      </c>
      <c r="E66" s="18" t="n">
        <v>1.076</v>
      </c>
      <c r="F66" s="18" t="n">
        <v>1.925</v>
      </c>
      <c r="G66" s="0" t="n">
        <v>1.63</v>
      </c>
      <c r="M66" s="0" t="s">
        <v>770</v>
      </c>
      <c r="N66" s="54" t="n">
        <v>0.49</v>
      </c>
      <c r="O66" s="45" t="n">
        <f aca="false">N66*$O$19</f>
        <v>0.619912823952187</v>
      </c>
      <c r="P66" s="54" t="n">
        <f aca="false">56.5%+11%+3%</f>
        <v>0.705</v>
      </c>
      <c r="Q66" s="45" t="n">
        <f aca="false">P66*$Q$19</f>
        <v>2.24533445006512</v>
      </c>
      <c r="R66" s="54" t="n">
        <v>0.4</v>
      </c>
      <c r="S66" s="45" t="n">
        <f aca="false">R66*$S$19</f>
        <v>0.723213963030499</v>
      </c>
      <c r="T66" s="57" t="s">
        <v>768</v>
      </c>
      <c r="U66" s="45" t="n">
        <v>0.81</v>
      </c>
      <c r="V66" s="58" t="n">
        <f aca="false">15/1000</f>
        <v>0.015</v>
      </c>
      <c r="W66" s="58" t="n">
        <v>0.0118736081362979</v>
      </c>
      <c r="X66" s="58" t="n">
        <f aca="false">8/1000</f>
        <v>0.008</v>
      </c>
      <c r="Y66" s="58" t="n">
        <f aca="false">4/1000</f>
        <v>0.004</v>
      </c>
      <c r="Z66" s="59"/>
    </row>
    <row r="67" customFormat="false" ht="12.8" hidden="false" customHeight="false" outlineLevel="0" collapsed="false">
      <c r="B67" s="0" t="s">
        <v>10</v>
      </c>
      <c r="C67" s="18" t="n">
        <v>3.274</v>
      </c>
      <c r="D67" s="18" t="n">
        <v>11.78</v>
      </c>
      <c r="E67" s="18" t="n">
        <v>0.653</v>
      </c>
      <c r="F67" s="18" t="n">
        <v>1.061</v>
      </c>
      <c r="G67" s="0" t="n">
        <v>1.35</v>
      </c>
      <c r="O67" s="18"/>
      <c r="Q67" s="45"/>
      <c r="S67" s="45"/>
      <c r="T67" s="57"/>
      <c r="U67" s="45"/>
      <c r="V67" s="58"/>
      <c r="W67" s="58"/>
      <c r="X67" s="58"/>
      <c r="Y67" s="60"/>
      <c r="Z67" s="59"/>
    </row>
    <row r="68" customFormat="false" ht="12.8" hidden="false" customHeight="false" outlineLevel="0" collapsed="false">
      <c r="M68" s="43" t="s">
        <v>772</v>
      </c>
      <c r="N68" s="54" t="n">
        <f aca="false">SUM(N64:N66)</f>
        <v>1</v>
      </c>
      <c r="O68" s="61" t="n">
        <f aca="false">SUM(O64:O66)</f>
        <v>1.13861539093259</v>
      </c>
      <c r="P68" s="54" t="n">
        <f aca="false">SUM(P64:P66)</f>
        <v>0.998</v>
      </c>
      <c r="Q68" s="61" t="n">
        <f aca="false">SUM(Q64:Q66)</f>
        <v>3.1785018172553</v>
      </c>
      <c r="R68" s="54" t="n">
        <f aca="false">SUM(R64:R66)</f>
        <v>1</v>
      </c>
      <c r="S68" s="61" t="n">
        <f aca="false">SUM(S64:S66)</f>
        <v>1.80803490757625</v>
      </c>
      <c r="T68" s="61" t="n">
        <f aca="false">SUM(T64:T66)</f>
        <v>0.35</v>
      </c>
      <c r="U68" s="61" t="n">
        <f aca="false">SUM(U64:U66)</f>
        <v>2</v>
      </c>
      <c r="V68" s="62" t="n">
        <f aca="false">SUM(V64:V66)</f>
        <v>0.02</v>
      </c>
      <c r="W68" s="62" t="n">
        <f aca="false">SUM(W64:W66)</f>
        <v>0.0154356905771873</v>
      </c>
      <c r="X68" s="62" t="n">
        <f aca="false">SUM(X64:X66)</f>
        <v>0.0096</v>
      </c>
      <c r="Y68" s="62" t="n">
        <f aca="false">SUM(Y64:Y66)</f>
        <v>0.0041</v>
      </c>
      <c r="Z68" s="63"/>
    </row>
  </sheetData>
  <mergeCells count="1">
    <mergeCell ref="O18:Q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D73"/>
  <sheetViews>
    <sheetView showFormulas="false" showGridLines="true" showRowColHeaders="true" showZeros="true" rightToLeft="false" tabSelected="true" showOutlineSymbols="true" defaultGridColor="true" view="normal" topLeftCell="A25" colorId="64" zoomScale="160" zoomScaleNormal="160" zoomScalePageLayoutView="100" workbookViewId="0">
      <selection pane="topLeft" activeCell="C36" activeCellId="0" sqref="C3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3"/>
    <col collapsed="false" customWidth="true" hidden="false" outlineLevel="0" max="2" min="2" style="0" width="21.56"/>
    <col collapsed="false" customWidth="true" hidden="false" outlineLevel="0" max="3" min="3" style="0" width="5.28"/>
    <col collapsed="false" customWidth="true" hidden="false" outlineLevel="0" max="5" min="5" style="0" width="5.42"/>
    <col collapsed="false" customWidth="true" hidden="false" outlineLevel="0" max="7" min="7" style="0" width="5.83"/>
    <col collapsed="false" customWidth="true" hidden="false" outlineLevel="0" max="9" min="9" style="0" width="6.42"/>
    <col collapsed="false" customWidth="true" hidden="false" outlineLevel="0" max="12" min="12" style="0" width="2.77"/>
    <col collapsed="false" customWidth="true" hidden="false" outlineLevel="0" max="13" min="13" style="0" width="22.13"/>
    <col collapsed="false" customWidth="true" hidden="false" outlineLevel="0" max="14" min="14" style="0" width="13.55"/>
    <col collapsed="false" customWidth="true" hidden="false" outlineLevel="0" max="16" min="16" style="0" width="6.23"/>
    <col collapsed="false" customWidth="true" hidden="false" outlineLevel="0" max="18" min="18" style="0" width="6.67"/>
  </cols>
  <sheetData>
    <row r="2" customFormat="false" ht="12.8" hidden="false" customHeight="false" outlineLevel="0" collapsed="false">
      <c r="B2" s="28" t="s">
        <v>723</v>
      </c>
      <c r="C2" s="3"/>
      <c r="D2" s="3" t="s">
        <v>724</v>
      </c>
      <c r="E2" s="3"/>
      <c r="F2" s="3" t="s">
        <v>725</v>
      </c>
      <c r="G2" s="3" t="s">
        <v>726</v>
      </c>
      <c r="H2" s="3" t="s">
        <v>727</v>
      </c>
      <c r="I2" s="3"/>
      <c r="J2" s="3"/>
      <c r="K2" s="3" t="s">
        <v>377</v>
      </c>
      <c r="M2" s="28" t="s">
        <v>728</v>
      </c>
      <c r="N2" s="3"/>
      <c r="O2" s="3" t="s">
        <v>724</v>
      </c>
      <c r="P2" s="3"/>
      <c r="Q2" s="3" t="s">
        <v>725</v>
      </c>
      <c r="R2" s="3" t="s">
        <v>726</v>
      </c>
      <c r="S2" s="3" t="s">
        <v>727</v>
      </c>
      <c r="T2" s="3" t="s">
        <v>377</v>
      </c>
    </row>
    <row r="3" customFormat="false" ht="12.8" hidden="false" customHeight="false" outlineLevel="0" collapsed="false">
      <c r="B3" s="3" t="s">
        <v>729</v>
      </c>
      <c r="C3" s="29"/>
      <c r="D3" s="29" t="n">
        <v>3725300</v>
      </c>
      <c r="E3" s="30" t="n">
        <f aca="false">F3/D3</f>
        <v>2.44329315759805</v>
      </c>
      <c r="F3" s="29" t="n">
        <v>9102000</v>
      </c>
      <c r="G3" s="31" t="n">
        <v>0.373</v>
      </c>
      <c r="H3" s="32" t="n">
        <f aca="false">(D3+F3)*G3</f>
        <v>4784582.9</v>
      </c>
      <c r="I3" s="32"/>
      <c r="J3" s="32"/>
      <c r="K3" s="32" t="n">
        <f aca="false">H3+F3+D3</f>
        <v>17611882.9</v>
      </c>
      <c r="M3" s="3" t="s">
        <v>729</v>
      </c>
      <c r="N3" s="29"/>
      <c r="O3" s="29" t="n">
        <v>1612259</v>
      </c>
      <c r="P3" s="33" t="n">
        <f aca="false">Q3/O3</f>
        <v>2.51742927159966</v>
      </c>
      <c r="Q3" s="29" t="n">
        <v>4058748</v>
      </c>
      <c r="R3" s="31" t="n">
        <v>0.373</v>
      </c>
      <c r="S3" s="32" t="n">
        <f aca="false">(O3+Q3)*R3</f>
        <v>2115285.611</v>
      </c>
      <c r="T3" s="32" t="n">
        <f aca="false">S3+Q3+O3</f>
        <v>7786292.611</v>
      </c>
    </row>
    <row r="4" customFormat="false" ht="12.8" hidden="false" customHeight="false" outlineLevel="0" collapsed="false">
      <c r="B4" s="3" t="s">
        <v>730</v>
      </c>
      <c r="C4" s="29"/>
      <c r="D4" s="29" t="n">
        <v>3880669</v>
      </c>
      <c r="E4" s="30" t="n">
        <f aca="false">F4/D4</f>
        <v>1.70164474218234</v>
      </c>
      <c r="F4" s="29" t="n">
        <v>6603520</v>
      </c>
      <c r="G4" s="34" t="n">
        <v>0.4063</v>
      </c>
      <c r="H4" s="32" t="n">
        <f aca="false">(D4+F4)*G4</f>
        <v>4259725.9907</v>
      </c>
      <c r="I4" s="32"/>
      <c r="J4" s="32"/>
      <c r="K4" s="32" t="n">
        <f aca="false">H4+F4+D4</f>
        <v>14743914.9907</v>
      </c>
      <c r="M4" s="3" t="s">
        <v>730</v>
      </c>
      <c r="N4" s="29"/>
      <c r="O4" s="29" t="n">
        <v>3069815</v>
      </c>
      <c r="P4" s="33" t="n">
        <f aca="false">Q4/O4</f>
        <v>2.51742987769621</v>
      </c>
      <c r="Q4" s="29" t="n">
        <v>7728044</v>
      </c>
      <c r="R4" s="34" t="n">
        <v>0.4063</v>
      </c>
      <c r="S4" s="32" t="n">
        <f aca="false">(O4+Q4)*R4</f>
        <v>4387170.1117</v>
      </c>
      <c r="T4" s="32" t="n">
        <f aca="false">S4+Q4+O4</f>
        <v>15185029.1117</v>
      </c>
    </row>
    <row r="5" customFormat="false" ht="12.8" hidden="false" customHeight="false" outlineLevel="0" collapsed="false">
      <c r="B5" s="3" t="s">
        <v>731</v>
      </c>
      <c r="C5" s="29"/>
      <c r="D5" s="29" t="n">
        <v>1977455</v>
      </c>
      <c r="E5" s="30" t="n">
        <f aca="false">F5/D5</f>
        <v>2.27045621771418</v>
      </c>
      <c r="F5" s="29" t="n">
        <v>4489725</v>
      </c>
      <c r="G5" s="31" t="n">
        <v>0.549</v>
      </c>
      <c r="H5" s="32" t="n">
        <f aca="false">(D5+F5)*G5</f>
        <v>3550481.82</v>
      </c>
      <c r="I5" s="32"/>
      <c r="J5" s="32"/>
      <c r="K5" s="32" t="n">
        <f aca="false">H5+F5+D5</f>
        <v>10017661.82</v>
      </c>
      <c r="M5" s="3" t="s">
        <v>731</v>
      </c>
      <c r="N5" s="29"/>
      <c r="O5" s="29" t="n">
        <v>3274396</v>
      </c>
      <c r="P5" s="33" t="n">
        <f aca="false">Q5/O5</f>
        <v>2.51742977941581</v>
      </c>
      <c r="Q5" s="29" t="n">
        <v>8243062</v>
      </c>
      <c r="R5" s="31" t="n">
        <v>0.549</v>
      </c>
      <c r="S5" s="32" t="n">
        <f aca="false">(O5+Q5)*R5</f>
        <v>6323084.442</v>
      </c>
      <c r="T5" s="32" t="n">
        <f aca="false">S5+Q5+O5</f>
        <v>17840542.442</v>
      </c>
    </row>
    <row r="6" customFormat="false" ht="12.8" hidden="false" customHeight="false" outlineLevel="0" collapsed="false">
      <c r="B6" s="3" t="s">
        <v>732</v>
      </c>
      <c r="C6" s="29"/>
      <c r="D6" s="29" t="n">
        <v>225326</v>
      </c>
      <c r="E6" s="30" t="n">
        <f aca="false">F6/D6</f>
        <v>2.17660633925956</v>
      </c>
      <c r="F6" s="29" t="n">
        <v>490446</v>
      </c>
      <c r="G6" s="34" t="n">
        <v>0.5954</v>
      </c>
      <c r="H6" s="32" t="n">
        <f aca="false">(D6+F6)*G6</f>
        <v>426170.6488</v>
      </c>
      <c r="I6" s="32"/>
      <c r="J6" s="32"/>
      <c r="K6" s="32" t="n">
        <f aca="false">H6+F6+D6</f>
        <v>1141942.6488</v>
      </c>
      <c r="M6" s="3" t="s">
        <v>732</v>
      </c>
      <c r="N6" s="29"/>
      <c r="O6" s="29" t="n">
        <v>991190</v>
      </c>
      <c r="P6" s="33" t="n">
        <f aca="false">Q6/O6</f>
        <v>2.51743056326234</v>
      </c>
      <c r="Q6" s="29" t="n">
        <v>2495252</v>
      </c>
      <c r="R6" s="34" t="n">
        <v>0.5954</v>
      </c>
      <c r="S6" s="32" t="n">
        <f aca="false">(O6+Q6)*R6</f>
        <v>2075827.5668</v>
      </c>
      <c r="T6" s="32" t="n">
        <f aca="false">S6+Q6+O6</f>
        <v>5562269.5668</v>
      </c>
    </row>
    <row r="7" customFormat="false" ht="12.8" hidden="false" customHeight="false" outlineLevel="0" collapsed="false">
      <c r="B7" s="35" t="s">
        <v>733</v>
      </c>
      <c r="C7" s="36"/>
      <c r="D7" s="36" t="n">
        <f aca="false">SUM(D3:D6)</f>
        <v>9808750</v>
      </c>
      <c r="E7" s="30" t="n">
        <f aca="false">F7/D7</f>
        <v>2.10890184783994</v>
      </c>
      <c r="F7" s="36" t="n">
        <f aca="false">SUM(F3:F6)</f>
        <v>20685691</v>
      </c>
      <c r="G7" s="37"/>
      <c r="H7" s="38" t="n">
        <f aca="false">SUM(H3:H6)</f>
        <v>13020961.3595</v>
      </c>
      <c r="I7" s="38"/>
      <c r="J7" s="38"/>
      <c r="K7" s="38" t="n">
        <f aca="false">SUM(K3:K6)</f>
        <v>43515402.3595</v>
      </c>
      <c r="M7" s="35" t="s">
        <v>733</v>
      </c>
      <c r="N7" s="36"/>
      <c r="O7" s="36" t="n">
        <f aca="false">SUM(O3:O6)</f>
        <v>8947660</v>
      </c>
      <c r="P7" s="33" t="n">
        <f aca="false">Q7/O7</f>
        <v>2.51742980846389</v>
      </c>
      <c r="Q7" s="36" t="n">
        <f aca="false">SUM(Q3:Q6)</f>
        <v>22525106</v>
      </c>
      <c r="R7" s="37"/>
      <c r="S7" s="38" t="n">
        <f aca="false">SUM(S3:S6)</f>
        <v>14901367.7315</v>
      </c>
      <c r="T7" s="38" t="n">
        <f aca="false">SUM(T3:T6)</f>
        <v>46374133.7315</v>
      </c>
    </row>
    <row r="9" customFormat="false" ht="12.8" hidden="false" customHeight="false" outlineLevel="0" collapsed="false">
      <c r="B9" s="28" t="s">
        <v>734</v>
      </c>
      <c r="C9" s="28" t="s">
        <v>735</v>
      </c>
      <c r="D9" s="3" t="s">
        <v>724</v>
      </c>
      <c r="E9" s="28" t="s">
        <v>735</v>
      </c>
      <c r="F9" s="3" t="s">
        <v>725</v>
      </c>
      <c r="G9" s="28" t="s">
        <v>735</v>
      </c>
      <c r="H9" s="3" t="s">
        <v>727</v>
      </c>
      <c r="I9" s="3"/>
      <c r="J9" s="3"/>
      <c r="K9" s="3" t="s">
        <v>377</v>
      </c>
      <c r="M9" s="28" t="s">
        <v>736</v>
      </c>
      <c r="N9" s="28" t="s">
        <v>735</v>
      </c>
      <c r="O9" s="3" t="s">
        <v>724</v>
      </c>
      <c r="P9" s="28" t="s">
        <v>735</v>
      </c>
      <c r="Q9" s="3" t="s">
        <v>725</v>
      </c>
      <c r="R9" s="28" t="s">
        <v>735</v>
      </c>
      <c r="S9" s="3" t="s">
        <v>727</v>
      </c>
      <c r="T9" s="3" t="s">
        <v>377</v>
      </c>
    </row>
    <row r="10" customFormat="false" ht="12.8" hidden="false" customHeight="false" outlineLevel="0" collapsed="false">
      <c r="B10" s="3" t="s">
        <v>729</v>
      </c>
      <c r="C10" s="39" t="n">
        <f aca="false">(D10/D3)-1</f>
        <v>0.187259012696964</v>
      </c>
      <c r="D10" s="29" t="n">
        <v>4422896</v>
      </c>
      <c r="E10" s="39" t="n">
        <f aca="false">(F10/F3)-1</f>
        <v>0.545656558998022</v>
      </c>
      <c r="F10" s="29" t="n">
        <v>14068566</v>
      </c>
      <c r="G10" s="39" t="n">
        <f aca="false">(H10/H3)-1</f>
        <v>0.212684808951685</v>
      </c>
      <c r="H10" s="29" t="n">
        <f aca="false">5802191</f>
        <v>5802191</v>
      </c>
      <c r="I10" s="29"/>
      <c r="J10" s="29"/>
      <c r="K10" s="32" t="n">
        <f aca="false">H10+F10+D10</f>
        <v>24293653</v>
      </c>
      <c r="M10" s="3" t="s">
        <v>729</v>
      </c>
      <c r="N10" s="39" t="n">
        <f aca="false">(O10/O3)-1</f>
        <v>0.0572804989769014</v>
      </c>
      <c r="O10" s="29" t="n">
        <v>1704610</v>
      </c>
      <c r="P10" s="39" t="n">
        <f aca="false">(Q10/Q3)-1</f>
        <v>0.0572804717119664</v>
      </c>
      <c r="Q10" s="29" t="n">
        <v>4291235</v>
      </c>
      <c r="R10" s="39" t="n">
        <f aca="false">(S10/S3)-1</f>
        <v>0.0572449357998304</v>
      </c>
      <c r="S10" s="29" t="n">
        <v>2236375</v>
      </c>
      <c r="T10" s="32" t="n">
        <f aca="false">S10+Q10+O10</f>
        <v>8232220</v>
      </c>
    </row>
    <row r="11" customFormat="false" ht="12.8" hidden="false" customHeight="false" outlineLevel="0" collapsed="false">
      <c r="B11" s="3" t="s">
        <v>730</v>
      </c>
      <c r="C11" s="39" t="n">
        <f aca="false">(D11/D4)-1</f>
        <v>0.399095362165647</v>
      </c>
      <c r="D11" s="29" t="n">
        <v>5429426</v>
      </c>
      <c r="E11" s="39" t="n">
        <f aca="false">(F11/F4)-1</f>
        <v>0.432589740017445</v>
      </c>
      <c r="F11" s="29" t="n">
        <v>9460135</v>
      </c>
      <c r="G11" s="39" t="n">
        <f aca="false">(H11/H4)-1</f>
        <v>0.819997346525569</v>
      </c>
      <c r="H11" s="29" t="n">
        <v>7752690</v>
      </c>
      <c r="I11" s="29"/>
      <c r="J11" s="29"/>
      <c r="K11" s="32" t="n">
        <f aca="false">H11+F11+D11</f>
        <v>22642251</v>
      </c>
      <c r="M11" s="3" t="s">
        <v>730</v>
      </c>
      <c r="N11" s="39" t="n">
        <f aca="false">(O11/O4)-1</f>
        <v>0.0926505343155859</v>
      </c>
      <c r="O11" s="29" t="n">
        <v>3354235</v>
      </c>
      <c r="P11" s="39" t="n">
        <f aca="false">(Q11/Q4)-1</f>
        <v>0.0926504818036751</v>
      </c>
      <c r="Q11" s="29" t="n">
        <v>8444051</v>
      </c>
      <c r="R11" s="39" t="n">
        <f aca="false">(S11/S4)-1</f>
        <v>0.0925110898293231</v>
      </c>
      <c r="S11" s="29" t="n">
        <v>4793032</v>
      </c>
      <c r="T11" s="32" t="n">
        <f aca="false">S11+Q11+O11</f>
        <v>16591318</v>
      </c>
    </row>
    <row r="12" customFormat="false" ht="12.8" hidden="false" customHeight="false" outlineLevel="0" collapsed="false">
      <c r="B12" s="3" t="s">
        <v>731</v>
      </c>
      <c r="C12" s="39" t="n">
        <f aca="false">(D12/D5)-1</f>
        <v>0.7509804268618</v>
      </c>
      <c r="D12" s="29" t="n">
        <v>3462485</v>
      </c>
      <c r="E12" s="39" t="n">
        <f aca="false">(F12/F5)-1</f>
        <v>0.808254403109322</v>
      </c>
      <c r="F12" s="29" t="n">
        <v>8118565</v>
      </c>
      <c r="G12" s="39" t="n">
        <f aca="false">(H12/H5)-1</f>
        <v>0.882977955932753</v>
      </c>
      <c r="H12" s="29" t="n">
        <v>6685479</v>
      </c>
      <c r="I12" s="29"/>
      <c r="J12" s="29"/>
      <c r="K12" s="32" t="n">
        <f aca="false">H12+F12+D12</f>
        <v>18266529</v>
      </c>
      <c r="M12" s="3" t="s">
        <v>731</v>
      </c>
      <c r="N12" s="39" t="n">
        <f aca="false">(O12/O5)-1</f>
        <v>0.24854171578514</v>
      </c>
      <c r="O12" s="29" t="n">
        <v>4088220</v>
      </c>
      <c r="P12" s="39" t="n">
        <f aca="false">(Q12/Q5)-1</f>
        <v>0.248541500719029</v>
      </c>
      <c r="Q12" s="29" t="n">
        <v>10291805</v>
      </c>
      <c r="R12" s="39" t="n">
        <f aca="false">(S12/S5)-1</f>
        <v>0.248690108826479</v>
      </c>
      <c r="S12" s="29" t="n">
        <v>7895573</v>
      </c>
      <c r="T12" s="32" t="n">
        <f aca="false">S12+Q12+O12</f>
        <v>22275598</v>
      </c>
    </row>
    <row r="13" customFormat="false" ht="12.8" hidden="false" customHeight="false" outlineLevel="0" collapsed="false">
      <c r="B13" s="3" t="s">
        <v>732</v>
      </c>
      <c r="C13" s="39" t="n">
        <f aca="false">(D13/D6)-1</f>
        <v>1.12128649157221</v>
      </c>
      <c r="D13" s="29" t="n">
        <v>477981</v>
      </c>
      <c r="E13" s="39" t="n">
        <f aca="false">(F13/F6)-1</f>
        <v>0.312052703049877</v>
      </c>
      <c r="F13" s="29" t="n">
        <v>643491</v>
      </c>
      <c r="G13" s="39" t="n">
        <f aca="false">(H13/H6)-1</f>
        <v>1.3470152222271</v>
      </c>
      <c r="H13" s="29" t="n">
        <v>1000229</v>
      </c>
      <c r="I13" s="29"/>
      <c r="J13" s="29"/>
      <c r="K13" s="32" t="n">
        <f aca="false">H13+F13+D13</f>
        <v>2121701</v>
      </c>
      <c r="M13" s="3" t="s">
        <v>732</v>
      </c>
      <c r="N13" s="39" t="n">
        <f aca="false">(O13/O6)-1</f>
        <v>0.415506613262846</v>
      </c>
      <c r="O13" s="29" t="n">
        <v>1403036</v>
      </c>
      <c r="P13" s="39" t="n">
        <f aca="false">(Q13/Q6)-1</f>
        <v>0.415506329621217</v>
      </c>
      <c r="Q13" s="29" t="n">
        <v>3532045</v>
      </c>
      <c r="R13" s="39" t="n">
        <f aca="false">(S13/S6)-1</f>
        <v>0.415103088031695</v>
      </c>
      <c r="S13" s="29" t="n">
        <v>2937510</v>
      </c>
      <c r="T13" s="32" t="n">
        <f aca="false">S13+Q13+O13</f>
        <v>7872591</v>
      </c>
    </row>
    <row r="14" customFormat="false" ht="12.8" hidden="false" customHeight="false" outlineLevel="0" collapsed="false">
      <c r="B14" s="35" t="s">
        <v>733</v>
      </c>
      <c r="C14" s="39" t="n">
        <f aca="false">(D14/D7)-1</f>
        <v>0.406171836370588</v>
      </c>
      <c r="D14" s="36" t="n">
        <f aca="false">SUM(D10:D13)</f>
        <v>13792788</v>
      </c>
      <c r="E14" s="39" t="n">
        <f aca="false">(F14/F7)-1</f>
        <v>0.561019015511737</v>
      </c>
      <c r="F14" s="36" t="n">
        <f aca="false">SUM(F10:F13)</f>
        <v>32290757</v>
      </c>
      <c r="G14" s="39" t="n">
        <f aca="false">(H14/H7)-1</f>
        <v>0.631261195971757</v>
      </c>
      <c r="H14" s="36" t="n">
        <f aca="false">SUM(H10:H13)</f>
        <v>21240589</v>
      </c>
      <c r="I14" s="36"/>
      <c r="J14" s="36"/>
      <c r="K14" s="38" t="n">
        <f aca="false">SUM(K10:K13)</f>
        <v>67324134</v>
      </c>
      <c r="M14" s="35" t="s">
        <v>733</v>
      </c>
      <c r="N14" s="39" t="n">
        <f aca="false">(O14/O7)-1</f>
        <v>0.179090510815118</v>
      </c>
      <c r="O14" s="36" t="n">
        <f aca="false">SUM(O10:O13)</f>
        <v>10550101</v>
      </c>
      <c r="P14" s="39" t="n">
        <f aca="false">(Q14/Q7)-1</f>
        <v>0.179090389186182</v>
      </c>
      <c r="Q14" s="36" t="n">
        <f aca="false">SUM(Q10:Q13)</f>
        <v>26559136</v>
      </c>
      <c r="R14" s="39" t="n">
        <f aca="false">(S14/S7)-1</f>
        <v>0.198714797316255</v>
      </c>
      <c r="S14" s="36" t="n">
        <f aca="false">SUM(S10:S13)</f>
        <v>17862490</v>
      </c>
      <c r="T14" s="38" t="n">
        <f aca="false">SUM(T10:T13)</f>
        <v>54971727</v>
      </c>
    </row>
    <row r="15" customFormat="false" ht="12.8" hidden="false" customHeight="false" outlineLevel="0" collapsed="false">
      <c r="B15" s="0" t="s">
        <v>737</v>
      </c>
      <c r="C15" s="0" t="s">
        <v>738</v>
      </c>
      <c r="M15" s="0" t="s">
        <v>739</v>
      </c>
      <c r="N15" s="0" t="s">
        <v>740</v>
      </c>
    </row>
    <row r="16" customFormat="false" ht="12.8" hidden="false" customHeight="false" outlineLevel="0" collapsed="false">
      <c r="B16" s="0" t="s">
        <v>741</v>
      </c>
      <c r="C16" s="0" t="s">
        <v>742</v>
      </c>
      <c r="M16" s="0" t="s">
        <v>743</v>
      </c>
    </row>
    <row r="18" customFormat="false" ht="12.8" hidden="false" customHeight="false" outlineLevel="0" collapsed="false">
      <c r="B18" s="0" t="s">
        <v>744</v>
      </c>
      <c r="D18" s="40" t="n">
        <f aca="false">((2030-F18)/(2030-2013))</f>
        <v>0.470588235294118</v>
      </c>
      <c r="F18" s="41" t="n">
        <v>2022</v>
      </c>
      <c r="O18" s="42"/>
      <c r="P18" s="42"/>
      <c r="Q18" s="42"/>
      <c r="V18" s="64" t="s">
        <v>804</v>
      </c>
      <c r="W18" s="64"/>
      <c r="X18" s="64"/>
      <c r="Y18" s="64"/>
    </row>
    <row r="19" customFormat="false" ht="12.8" hidden="false" customHeight="false" outlineLevel="0" collapsed="false">
      <c r="M19" s="43" t="s">
        <v>745</v>
      </c>
      <c r="O19" s="44" t="n">
        <f aca="false">'[2]10'!I39</f>
        <v>4.066</v>
      </c>
      <c r="P19" s="45"/>
      <c r="Q19" s="44" t="n">
        <f aca="false">'[2]10'!J39</f>
        <v>12.732</v>
      </c>
      <c r="R19" s="45"/>
      <c r="S19" s="45" t="n">
        <f aca="false">'[2]10'!K39</f>
        <v>6.265654</v>
      </c>
      <c r="T19" s="18" t="n">
        <f aca="false">'[2]10'!L39</f>
        <v>9.302</v>
      </c>
      <c r="U19" s="18" t="n">
        <f aca="false">'[2]10'!M39</f>
        <v>4.49</v>
      </c>
      <c r="V19" s="18" t="n">
        <f aca="false">'[2]10'!N39</f>
        <v>26.56</v>
      </c>
      <c r="W19" s="18" t="n">
        <f aca="false">'[2]10'!O39</f>
        <v>21.839</v>
      </c>
      <c r="X19" s="18" t="n">
        <f aca="false">'[2]10'!P39</f>
        <v>18.69</v>
      </c>
      <c r="Y19" s="18" t="n">
        <f aca="false">'[2]10'!Q39</f>
        <v>10.5</v>
      </c>
    </row>
    <row r="20" customFormat="false" ht="12.8" hidden="false" customHeight="false" outlineLevel="0" collapsed="false">
      <c r="B20" s="28" t="str">
        <f aca="false">CONCATENATE("Supply ",$F$18)</f>
        <v>Supply 2022</v>
      </c>
      <c r="C20" s="28"/>
      <c r="D20" s="3" t="s">
        <v>724</v>
      </c>
      <c r="E20" s="28"/>
      <c r="F20" s="3" t="s">
        <v>746</v>
      </c>
      <c r="G20" s="28"/>
      <c r="H20" s="3" t="s">
        <v>727</v>
      </c>
      <c r="I20" s="3"/>
      <c r="J20" s="46" t="s">
        <v>747</v>
      </c>
      <c r="K20" s="0" t="s">
        <v>748</v>
      </c>
      <c r="N20" s="28" t="s">
        <v>749</v>
      </c>
      <c r="O20" s="3" t="s">
        <v>724</v>
      </c>
      <c r="P20" s="28"/>
      <c r="Q20" s="3" t="s">
        <v>725</v>
      </c>
      <c r="R20" s="47" t="s">
        <v>726</v>
      </c>
      <c r="S20" s="3" t="s">
        <v>727</v>
      </c>
      <c r="T20" s="46" t="s">
        <v>747</v>
      </c>
      <c r="U20" s="3" t="s">
        <v>142</v>
      </c>
      <c r="V20" s="3" t="s">
        <v>750</v>
      </c>
      <c r="W20" s="3" t="s">
        <v>751</v>
      </c>
      <c r="X20" s="3" t="s">
        <v>752</v>
      </c>
      <c r="Y20" s="3" t="s">
        <v>753</v>
      </c>
    </row>
    <row r="21" customFormat="false" ht="12.8" hidden="false" customHeight="false" outlineLevel="0" collapsed="false">
      <c r="B21" s="0" t="s">
        <v>8</v>
      </c>
      <c r="C21" s="18" t="n">
        <v>2.38</v>
      </c>
      <c r="D21" s="48" t="n">
        <f aca="false">(C21*$N$21)/1000</f>
        <v>509320</v>
      </c>
      <c r="E21" s="18" t="n">
        <v>3.16143457943925</v>
      </c>
      <c r="F21" s="48" t="n">
        <f aca="false">(E21*$N$21)/1000</f>
        <v>676547</v>
      </c>
      <c r="G21" s="18" t="n">
        <f aca="false">K21-(C21+E21+I21)</f>
        <v>9.15921495327103</v>
      </c>
      <c r="H21" s="48" t="n">
        <f aca="false">(G21*$N$21)/1000</f>
        <v>1960072</v>
      </c>
      <c r="I21" s="18" t="n">
        <f aca="false">(J21/N21)*1000</f>
        <v>1.20121962616822</v>
      </c>
      <c r="J21" s="49" t="n">
        <v>257061</v>
      </c>
      <c r="K21" s="18" t="n">
        <f aca="false">(3403000/N21)*1000</f>
        <v>15.9018691588785</v>
      </c>
      <c r="L21" s="0" t="s">
        <v>92</v>
      </c>
      <c r="M21" s="0" t="s">
        <v>8</v>
      </c>
      <c r="N21" s="19" t="n">
        <f aca="false">[1]base!C5*1000000</f>
        <v>214000000</v>
      </c>
      <c r="O21" s="50" t="n">
        <f aca="false">(N21*$O$19)/1000</f>
        <v>870124</v>
      </c>
      <c r="Q21" s="19" t="n">
        <f aca="false">$Q$19*O21</f>
        <v>11078418.768</v>
      </c>
      <c r="R21" s="51" t="n">
        <f aca="false">R4</f>
        <v>0.4063</v>
      </c>
      <c r="S21" s="19" t="n">
        <f aca="false">(O21+Q21)*R21</f>
        <v>4854692.9266384</v>
      </c>
      <c r="T21" s="50" t="n">
        <f aca="false">(N21*$T$19)/1000</f>
        <v>1990628</v>
      </c>
    </row>
    <row r="22" customFormat="false" ht="12.8" hidden="false" customHeight="false" outlineLevel="0" collapsed="false">
      <c r="B22" s="0" t="s">
        <v>9</v>
      </c>
      <c r="C22" s="18" t="n">
        <v>4.6</v>
      </c>
      <c r="D22" s="48" t="n">
        <f aca="false">(C22*$N$22)/1000</f>
        <v>25493.2</v>
      </c>
      <c r="E22" s="18" t="n">
        <v>14.9</v>
      </c>
      <c r="F22" s="48" t="n">
        <f aca="false">(E22*$N$22)/1000</f>
        <v>82575.8</v>
      </c>
      <c r="G22" s="18" t="n">
        <f aca="false">K22-(C22+E22+I22)</f>
        <v>60.07</v>
      </c>
      <c r="H22" s="48" t="n">
        <f aca="false">(G22*$N$22)/1000</f>
        <v>332907.94</v>
      </c>
      <c r="I22" s="52" t="n">
        <f aca="false">[1]base!D34</f>
        <v>0.43</v>
      </c>
      <c r="J22" s="48" t="n">
        <v>121924</v>
      </c>
      <c r="K22" s="0" t="n">
        <v>80</v>
      </c>
      <c r="M22" s="0" t="s">
        <v>9</v>
      </c>
      <c r="N22" s="19" t="n">
        <f aca="false">[1]base!D5*1000000</f>
        <v>5542000</v>
      </c>
      <c r="O22" s="50" t="n">
        <f aca="false">(N22*$O$19)/1000</f>
        <v>22533.772</v>
      </c>
      <c r="Q22" s="19" t="n">
        <f aca="false">$Q$19*O22</f>
        <v>286899.985104</v>
      </c>
      <c r="R22" s="0" t="n">
        <f aca="false">R3</f>
        <v>0.373</v>
      </c>
      <c r="S22" s="19" t="n">
        <f aca="false">(O22+Q22)*R22</f>
        <v>115418.791399792</v>
      </c>
      <c r="T22" s="50" t="n">
        <f aca="false">(N22*$T$19)/1000</f>
        <v>51551.684</v>
      </c>
    </row>
    <row r="23" customFormat="false" ht="12.8" hidden="false" customHeight="false" outlineLevel="0" collapsed="false">
      <c r="B23" s="0" t="s">
        <v>10</v>
      </c>
      <c r="C23" s="18" t="n">
        <v>6.5</v>
      </c>
      <c r="D23" s="48" t="n">
        <f aca="false">(C23*$N$23)/1000</f>
        <v>438750</v>
      </c>
      <c r="E23" s="18" t="n">
        <v>11.5</v>
      </c>
      <c r="F23" s="48" t="n">
        <f aca="false">(E23*$N$23)/1000</f>
        <v>776250</v>
      </c>
      <c r="G23" s="18" t="n">
        <f aca="false">K23-(C23+E23)</f>
        <v>40</v>
      </c>
      <c r="H23" s="48" t="n">
        <f aca="false">(G23*$N$23)/1000</f>
        <v>2700000</v>
      </c>
      <c r="I23" s="18" t="n">
        <f aca="false">(J23/N23)*1000</f>
        <v>16</v>
      </c>
      <c r="J23" s="48" t="n">
        <v>1080000</v>
      </c>
      <c r="K23" s="0" t="n">
        <v>58</v>
      </c>
      <c r="M23" s="0" t="s">
        <v>10</v>
      </c>
      <c r="N23" s="19" t="n">
        <f aca="false">[1]base!E5*1000000</f>
        <v>67500000</v>
      </c>
      <c r="O23" s="50" t="n">
        <f aca="false">(N23*$O$19)/1000</f>
        <v>274455</v>
      </c>
      <c r="Q23" s="19" t="n">
        <f aca="false">$Q$19*O23</f>
        <v>3494361.06</v>
      </c>
      <c r="R23" s="0" t="n">
        <f aca="false">R3</f>
        <v>0.373</v>
      </c>
      <c r="S23" s="19" t="n">
        <f aca="false">(O23+Q23)*R23</f>
        <v>1405768.39038</v>
      </c>
      <c r="T23" s="50" t="n">
        <f aca="false">(N23*$T$19)/1000</f>
        <v>627885</v>
      </c>
    </row>
    <row r="25" customFormat="false" ht="12.8" hidden="false" customHeight="false" outlineLevel="0" collapsed="false">
      <c r="B25" s="28" t="str">
        <f aca="false">CONCATENATE("Supply ",$F$18)</f>
        <v>Supply 2022</v>
      </c>
      <c r="C25" s="28" t="s">
        <v>754</v>
      </c>
      <c r="D25" s="3" t="s">
        <v>142</v>
      </c>
      <c r="E25" s="28" t="s">
        <v>755</v>
      </c>
      <c r="F25" s="3" t="s">
        <v>750</v>
      </c>
      <c r="G25" s="28" t="s">
        <v>755</v>
      </c>
      <c r="H25" s="3" t="s">
        <v>751</v>
      </c>
      <c r="I25" s="35" t="s">
        <v>755</v>
      </c>
      <c r="J25" s="3" t="s">
        <v>752</v>
      </c>
      <c r="M25" s="47" t="s">
        <v>756</v>
      </c>
      <c r="N25" s="28" t="s">
        <v>735</v>
      </c>
      <c r="O25" s="3" t="s">
        <v>724</v>
      </c>
      <c r="P25" s="28" t="s">
        <v>735</v>
      </c>
      <c r="Q25" s="3" t="s">
        <v>725</v>
      </c>
      <c r="R25" s="28" t="s">
        <v>735</v>
      </c>
      <c r="S25" s="3" t="s">
        <v>727</v>
      </c>
      <c r="T25" s="46" t="s">
        <v>747</v>
      </c>
      <c r="U25" s="3" t="s">
        <v>142</v>
      </c>
      <c r="V25" s="3" t="s">
        <v>750</v>
      </c>
      <c r="W25" s="3" t="s">
        <v>751</v>
      </c>
      <c r="X25" s="3" t="s">
        <v>752</v>
      </c>
      <c r="Y25" s="3" t="s">
        <v>753</v>
      </c>
    </row>
    <row r="26" customFormat="false" ht="12.8" hidden="false" customHeight="false" outlineLevel="0" collapsed="false">
      <c r="B26" s="0" t="s">
        <v>8</v>
      </c>
      <c r="C26" s="18" t="n">
        <f aca="false">[1]beds!E9</f>
        <v>2.45391588785047</v>
      </c>
      <c r="D26" s="48" t="n">
        <f aca="false">(C26*$N$21)/1000</f>
        <v>525138</v>
      </c>
      <c r="E26" s="18" t="n">
        <f aca="false">[1]base!C78</f>
        <v>28</v>
      </c>
      <c r="F26" s="48" t="n">
        <f aca="false">(E26*$N$21)/1000000</f>
        <v>5992</v>
      </c>
      <c r="G26" s="53" t="n">
        <f aca="false">[1]base!C81</f>
        <v>14.5</v>
      </c>
      <c r="H26" s="48" t="n">
        <f aca="false">(G26*$N$21)/1000000</f>
        <v>3103</v>
      </c>
      <c r="I26" s="18" t="n">
        <f aca="false">[1]base!C90</f>
        <v>31.411214953271</v>
      </c>
      <c r="J26" s="48" t="n">
        <f aca="false">(I26*$N$21)/1000000</f>
        <v>6722</v>
      </c>
      <c r="K26" s="18"/>
      <c r="M26" s="0" t="s">
        <v>8</v>
      </c>
      <c r="N26" s="54" t="n">
        <f aca="false">N11*$D$18</f>
        <v>0.0436002514426287</v>
      </c>
      <c r="O26" s="50" t="n">
        <f aca="false">(1+N26)*O21</f>
        <v>908061.625186266</v>
      </c>
      <c r="P26" s="54" t="n">
        <f aca="false">P11*$D$18</f>
        <v>0.0436002267311412</v>
      </c>
      <c r="Q26" s="50" t="n">
        <f aca="false">(1+P26)*Q21</f>
        <v>11561440.3381073</v>
      </c>
      <c r="R26" s="54" t="n">
        <f aca="false">R11*$D$18</f>
        <v>0.0435346305079168</v>
      </c>
      <c r="S26" s="50" t="n">
        <f aca="false">(1+R26)*S21</f>
        <v>5066040.189429</v>
      </c>
      <c r="T26" s="50" t="n">
        <f aca="false">(1+R26)*T21</f>
        <v>2077289.25445871</v>
      </c>
    </row>
    <row r="27" customFormat="false" ht="12.8" hidden="false" customHeight="false" outlineLevel="0" collapsed="false">
      <c r="B27" s="0" t="s">
        <v>9</v>
      </c>
      <c r="C27" s="18" t="n">
        <f aca="false">[1]base!D62</f>
        <v>2.83</v>
      </c>
      <c r="D27" s="48" t="n">
        <f aca="false">(C27*$N$22)/1000</f>
        <v>15683.86</v>
      </c>
      <c r="E27" s="18" t="n">
        <f aca="false">[1]base!D78</f>
        <v>17</v>
      </c>
      <c r="F27" s="48" t="n">
        <f aca="false">(E27*$N$22)/1000000</f>
        <v>94.214</v>
      </c>
      <c r="G27" s="53" t="n">
        <f aca="false">[1]base!D81</f>
        <v>31</v>
      </c>
      <c r="H27" s="48" t="n">
        <f aca="false">(G27*$N$22)/1000000</f>
        <v>171.802</v>
      </c>
      <c r="I27" s="55" t="n">
        <f aca="false">[1]base!D90</f>
        <v>31</v>
      </c>
      <c r="J27" s="48" t="n">
        <f aca="false">(I27*$N$22)/1000000</f>
        <v>171.802</v>
      </c>
      <c r="M27" s="0" t="s">
        <v>9</v>
      </c>
      <c r="N27" s="54" t="n">
        <f aca="false">N10*$D$18</f>
        <v>0.0269555289303065</v>
      </c>
      <c r="O27" s="50" t="n">
        <f aca="false">(1+N27)*O22</f>
        <v>23141.1817430549</v>
      </c>
      <c r="P27" s="54" t="n">
        <f aca="false">P10*$D$18</f>
        <v>0.0269555160997489</v>
      </c>
      <c r="Q27" s="50" t="n">
        <f aca="false">(1+P27)*Q22</f>
        <v>294633.522271489</v>
      </c>
      <c r="R27" s="54" t="n">
        <f aca="false">R10*$D$18</f>
        <v>0.0269387933175672</v>
      </c>
      <c r="S27" s="50" t="n">
        <f aca="false">(1+R27)*S22</f>
        <v>118528.034366274</v>
      </c>
      <c r="T27" s="50" t="n">
        <f aca="false">(1+R27)*T22</f>
        <v>52940.4241604486</v>
      </c>
    </row>
    <row r="28" customFormat="false" ht="12.8" hidden="false" customHeight="false" outlineLevel="0" collapsed="false">
      <c r="B28" s="0" t="s">
        <v>10</v>
      </c>
      <c r="C28" s="18" t="n">
        <f aca="false">[1]base!E62</f>
        <v>5.72</v>
      </c>
      <c r="D28" s="48" t="n">
        <f aca="false">(C28*$N$23)/1000</f>
        <v>386100</v>
      </c>
      <c r="E28" s="18" t="n">
        <f aca="false">[1]base!E78</f>
        <v>19</v>
      </c>
      <c r="F28" s="48" t="n">
        <f aca="false">(E28*$N$23)/1000000</f>
        <v>1282.5</v>
      </c>
      <c r="G28" s="53" t="n">
        <f aca="false">[1]base!E81</f>
        <v>16</v>
      </c>
      <c r="H28" s="48" t="n">
        <f aca="false">(G28*$N$23)/1000000</f>
        <v>1080</v>
      </c>
      <c r="I28" s="18" t="n">
        <f aca="false">[1]base!E90</f>
        <v>7</v>
      </c>
      <c r="J28" s="48" t="n">
        <f aca="false">(I28*$N$23)/1000000</f>
        <v>472.5</v>
      </c>
      <c r="M28" s="0" t="s">
        <v>10</v>
      </c>
      <c r="N28" s="54" t="n">
        <f aca="false">N10*$D$18</f>
        <v>0.0269555289303065</v>
      </c>
      <c r="O28" s="50" t="n">
        <f aca="false">(1+N28)*O23</f>
        <v>281853.079692567</v>
      </c>
      <c r="P28" s="54" t="n">
        <f aca="false">P10*$D$18</f>
        <v>0.0269555160997489</v>
      </c>
      <c r="Q28" s="50" t="n">
        <f aca="false">(1+P28)*Q23</f>
        <v>3588553.36581117</v>
      </c>
      <c r="R28" s="54" t="n">
        <f aca="false">R10*$D$18</f>
        <v>0.0269387933175672</v>
      </c>
      <c r="S28" s="50" t="n">
        <f aca="false">(1+R28)*S23</f>
        <v>1443638.09450082</v>
      </c>
      <c r="T28" s="50" t="n">
        <f aca="false">(1+R28)*T23</f>
        <v>644799.464242201</v>
      </c>
    </row>
    <row r="30" customFormat="false" ht="12.8" hidden="false" customHeight="false" outlineLevel="0" collapsed="false">
      <c r="B30" s="28" t="str">
        <f aca="false">CONCATENATE("Supply ",$F$18)</f>
        <v>Supply 2022</v>
      </c>
      <c r="C30" s="35" t="s">
        <v>755</v>
      </c>
      <c r="D30" s="3" t="s">
        <v>753</v>
      </c>
    </row>
    <row r="31" customFormat="false" ht="12.8" hidden="false" customHeight="false" outlineLevel="0" collapsed="false">
      <c r="B31" s="0" t="s">
        <v>8</v>
      </c>
      <c r="C31" s="18" t="n">
        <v>1.83218222927144</v>
      </c>
      <c r="D31" s="48" t="n">
        <f aca="false">(C31*$N$21)/1000000</f>
        <v>392.086997064088</v>
      </c>
      <c r="F31" s="0" t="s">
        <v>757</v>
      </c>
    </row>
    <row r="32" customFormat="false" ht="12.8" hidden="false" customHeight="false" outlineLevel="0" collapsed="false">
      <c r="B32" s="0" t="s">
        <v>9</v>
      </c>
      <c r="C32" s="18" t="n">
        <f aca="false">[1]base!D93</f>
        <v>10.3</v>
      </c>
      <c r="D32" s="48" t="n">
        <f aca="false">(C32*$N$22)/1000000</f>
        <v>57.0826</v>
      </c>
    </row>
    <row r="33" customFormat="false" ht="12.8" hidden="false" customHeight="false" outlineLevel="0" collapsed="false">
      <c r="B33" s="0" t="s">
        <v>10</v>
      </c>
      <c r="C33" s="18" t="n">
        <f aca="false">[1]base!E94</f>
        <v>11.3</v>
      </c>
      <c r="D33" s="48" t="n">
        <f aca="false">(C33*$N$23)/1000000</f>
        <v>762.75</v>
      </c>
    </row>
    <row r="34" customFormat="false" ht="12.8" hidden="false" customHeight="false" outlineLevel="0" collapsed="false">
      <c r="M34" s="19"/>
    </row>
    <row r="35" customFormat="false" ht="12.8" hidden="false" customHeight="false" outlineLevel="0" collapsed="false">
      <c r="B35" s="28" t="s">
        <v>734</v>
      </c>
      <c r="C35" s="28" t="s">
        <v>735</v>
      </c>
      <c r="D35" s="3" t="s">
        <v>724</v>
      </c>
      <c r="E35" s="28" t="s">
        <v>735</v>
      </c>
      <c r="F35" s="3" t="s">
        <v>725</v>
      </c>
      <c r="G35" s="28" t="s">
        <v>735</v>
      </c>
      <c r="H35" s="3" t="s">
        <v>727</v>
      </c>
      <c r="I35" s="3"/>
      <c r="J35" s="3" t="str">
        <f aca="false">J20</f>
        <v>Community-based health workers</v>
      </c>
      <c r="M35" s="19" t="s">
        <v>765</v>
      </c>
      <c r="X35" s="0" t="n">
        <v>1000</v>
      </c>
      <c r="Z35" s="0" t="n">
        <v>1000</v>
      </c>
      <c r="AB35" s="0" t="n">
        <v>1000</v>
      </c>
      <c r="AD35" s="0" t="n">
        <v>1000</v>
      </c>
    </row>
    <row r="36" customFormat="false" ht="12.8" hidden="false" customHeight="false" outlineLevel="0" collapsed="false">
      <c r="B36" s="0" t="s">
        <v>8</v>
      </c>
      <c r="C36" s="54" t="n">
        <f aca="false">C11*$D$18</f>
        <v>0.187809582195599</v>
      </c>
      <c r="D36" s="50" t="n">
        <f aca="false">(1+C36)*D21</f>
        <v>604975.176403862</v>
      </c>
      <c r="E36" s="54" t="n">
        <f aca="false">E11*$D$18</f>
        <v>0.203571642361151</v>
      </c>
      <c r="F36" s="50" t="n">
        <f aca="false">(1+E36)*F21</f>
        <v>814272.783924509</v>
      </c>
      <c r="G36" s="54" t="n">
        <f aca="false">G11*$D$18</f>
        <v>0.385881104247326</v>
      </c>
      <c r="H36" s="50" t="n">
        <f aca="false">(1+G36)*H21</f>
        <v>2716426.74776427</v>
      </c>
      <c r="I36" s="56" t="n">
        <f aca="false">G36</f>
        <v>0.385881104247326</v>
      </c>
      <c r="J36" s="50" t="n">
        <f aca="false">(1+I36)*J21</f>
        <v>356255.982538922</v>
      </c>
      <c r="M36" s="0" t="s">
        <v>766</v>
      </c>
      <c r="O36" s="3" t="s">
        <v>724</v>
      </c>
      <c r="Q36" s="3" t="s">
        <v>725</v>
      </c>
      <c r="R36" s="28"/>
      <c r="S36" s="3" t="s">
        <v>727</v>
      </c>
      <c r="T36" s="46" t="s">
        <v>747</v>
      </c>
      <c r="V36" s="3" t="s">
        <v>142</v>
      </c>
      <c r="X36" s="3" t="s">
        <v>750</v>
      </c>
      <c r="Z36" s="3" t="s">
        <v>751</v>
      </c>
      <c r="AB36" s="3" t="s">
        <v>752</v>
      </c>
      <c r="AD36" s="3" t="s">
        <v>753</v>
      </c>
    </row>
    <row r="37" customFormat="false" ht="12.8" hidden="false" customHeight="false" outlineLevel="0" collapsed="false">
      <c r="B37" s="0" t="s">
        <v>9</v>
      </c>
      <c r="C37" s="54" t="n">
        <f aca="false">C10*$D$18</f>
        <v>0.0881218883279831</v>
      </c>
      <c r="D37" s="50" t="n">
        <f aca="false">(1+C37)*D22</f>
        <v>27739.7089235229</v>
      </c>
      <c r="E37" s="54" t="n">
        <f aca="false">E10*$D$18</f>
        <v>0.25677955717554</v>
      </c>
      <c r="F37" s="50" t="n">
        <f aca="false">(1+E37)*F22</f>
        <v>103779.577357416</v>
      </c>
      <c r="G37" s="54" t="n">
        <f aca="false">G10*$D$18</f>
        <v>0.10008696891844</v>
      </c>
      <c r="H37" s="50" t="n">
        <f aca="false">(1+G37)*H22</f>
        <v>366227.686643482</v>
      </c>
      <c r="I37" s="56" t="n">
        <f aca="false">G37</f>
        <v>0.10008696891844</v>
      </c>
      <c r="J37" s="50" t="n">
        <f aca="false">(1+I37)*J22</f>
        <v>134127.003598412</v>
      </c>
      <c r="M37" s="0" t="s">
        <v>767</v>
      </c>
      <c r="N37" s="54" t="n">
        <v>0.1</v>
      </c>
      <c r="O37" s="45" t="n">
        <f aca="false">N37*$O$19</f>
        <v>0.4066</v>
      </c>
      <c r="P37" s="54" t="n">
        <f aca="false">18.1%+1.8%</f>
        <v>0.199</v>
      </c>
      <c r="Q37" s="45" t="n">
        <f aca="false">P37*$Q$19</f>
        <v>2.533668</v>
      </c>
      <c r="R37" s="54" t="n">
        <v>0.2</v>
      </c>
      <c r="S37" s="45" t="n">
        <f aca="false">R37*$S$19</f>
        <v>1.2531308</v>
      </c>
      <c r="T37" s="45" t="n">
        <f aca="false">T19</f>
        <v>9.302</v>
      </c>
      <c r="V37" s="45" t="s">
        <v>768</v>
      </c>
      <c r="X37" s="58" t="s">
        <v>768</v>
      </c>
      <c r="Z37" s="58" t="s">
        <v>768</v>
      </c>
      <c r="AB37" s="58" t="s">
        <v>768</v>
      </c>
      <c r="AD37" s="58" t="s">
        <v>768</v>
      </c>
    </row>
    <row r="38" customFormat="false" ht="12.8" hidden="false" customHeight="false" outlineLevel="0" collapsed="false">
      <c r="B38" s="0" t="s">
        <v>10</v>
      </c>
      <c r="C38" s="54" t="n">
        <f aca="false">C10*$D$18</f>
        <v>0.0881218883279831</v>
      </c>
      <c r="D38" s="50" t="n">
        <f aca="false">(1+C38)*D23</f>
        <v>477413.478503903</v>
      </c>
      <c r="E38" s="54" t="n">
        <f aca="false">E10*$D$18</f>
        <v>0.25677955717554</v>
      </c>
      <c r="F38" s="50" t="n">
        <f aca="false">(1+E38)*F23</f>
        <v>975575.131257513</v>
      </c>
      <c r="G38" s="54" t="n">
        <f aca="false">G10*$D$18</f>
        <v>0.10008696891844</v>
      </c>
      <c r="H38" s="50" t="n">
        <f aca="false">(1+G38)*H23</f>
        <v>2970234.81607979</v>
      </c>
      <c r="I38" s="56" t="n">
        <f aca="false">G38</f>
        <v>0.10008696891844</v>
      </c>
      <c r="J38" s="50" t="n">
        <f aca="false">(1+I38)*J23</f>
        <v>1188093.92643192</v>
      </c>
      <c r="M38" s="0" t="s">
        <v>769</v>
      </c>
      <c r="N38" s="54" t="n">
        <v>0.41</v>
      </c>
      <c r="O38" s="45" t="n">
        <f aca="false">N38*$O$19</f>
        <v>1.66706</v>
      </c>
      <c r="P38" s="54" t="n">
        <f aca="false">6.1%+1.3%+2%</f>
        <v>0.094</v>
      </c>
      <c r="Q38" s="45" t="n">
        <f aca="false">P38*$Q$19</f>
        <v>1.196808</v>
      </c>
      <c r="R38" s="54" t="n">
        <v>0.4</v>
      </c>
      <c r="S38" s="45" t="n">
        <f aca="false">R38*$S$19</f>
        <v>2.5062616</v>
      </c>
      <c r="T38" s="57" t="s">
        <v>768</v>
      </c>
      <c r="U38" s="54" t="n">
        <v>0.595</v>
      </c>
      <c r="V38" s="45" t="n">
        <f aca="false">$U$19*U38</f>
        <v>2.67155</v>
      </c>
      <c r="W38" s="54" t="n">
        <v>0.25</v>
      </c>
      <c r="X38" s="58" t="n">
        <f aca="false">$V$19*W38/X35</f>
        <v>0.00664</v>
      </c>
      <c r="Y38" s="54" t="n">
        <v>0.230769230769231</v>
      </c>
      <c r="Z38" s="58" t="n">
        <f aca="false">$W$19*Y38/Z35</f>
        <v>0.00503976923076923</v>
      </c>
      <c r="AA38" s="54" t="n">
        <v>0.166666666666667</v>
      </c>
      <c r="AB38" s="58" t="n">
        <f aca="false">$X$19*AA38/AB35</f>
        <v>0.003115</v>
      </c>
      <c r="AC38" s="54" t="n">
        <v>0.024390243902439</v>
      </c>
      <c r="AD38" s="58" t="n">
        <f aca="false">$Y$19*AC38/AD35</f>
        <v>0.00025609756097561</v>
      </c>
    </row>
    <row r="39" customFormat="false" ht="12.8" hidden="false" customHeight="false" outlineLevel="0" collapsed="false">
      <c r="M39" s="0" t="s">
        <v>770</v>
      </c>
      <c r="N39" s="54" t="n">
        <v>0.49</v>
      </c>
      <c r="O39" s="45" t="n">
        <f aca="false">N39*$O$19</f>
        <v>1.99234</v>
      </c>
      <c r="P39" s="54" t="n">
        <f aca="false">56.5%+11%+3%</f>
        <v>0.705</v>
      </c>
      <c r="Q39" s="45" t="n">
        <f aca="false">P39*$Q$19</f>
        <v>8.97606</v>
      </c>
      <c r="R39" s="54" t="n">
        <v>0.4</v>
      </c>
      <c r="S39" s="45" t="n">
        <f aca="false">R39*$S$19</f>
        <v>2.5062616</v>
      </c>
      <c r="T39" s="57" t="s">
        <v>768</v>
      </c>
      <c r="U39" s="54" t="n">
        <v>0.405</v>
      </c>
      <c r="V39" s="45" t="n">
        <f aca="false">$U$19*U39</f>
        <v>1.81845</v>
      </c>
      <c r="W39" s="54" t="n">
        <v>0.75</v>
      </c>
      <c r="X39" s="58" t="n">
        <f aca="false">$V$19*W39/X35</f>
        <v>0.01992</v>
      </c>
      <c r="Y39" s="54" t="n">
        <v>0.769230769230769</v>
      </c>
      <c r="Z39" s="58" t="n">
        <f aca="false">$W$19*Y39/Z35</f>
        <v>0.0167992307692308</v>
      </c>
      <c r="AA39" s="54" t="n">
        <v>0.833333333333333</v>
      </c>
      <c r="AB39" s="58" t="n">
        <f aca="false">$X$19*AA39/AB35</f>
        <v>0.015575</v>
      </c>
      <c r="AC39" s="54" t="n">
        <v>0.975609756097561</v>
      </c>
      <c r="AD39" s="58" t="n">
        <f aca="false">$Y$19*AC39/AD35</f>
        <v>0.0102439024390244</v>
      </c>
    </row>
    <row r="40" customFormat="false" ht="12.8" hidden="false" customHeight="false" outlineLevel="0" collapsed="false">
      <c r="B40" s="0" t="s">
        <v>771</v>
      </c>
      <c r="O40" s="18"/>
      <c r="Q40" s="45"/>
      <c r="S40" s="45"/>
      <c r="T40" s="57"/>
      <c r="V40" s="45"/>
      <c r="X40" s="65"/>
      <c r="Z40" s="58"/>
      <c r="AB40" s="58"/>
      <c r="AD40" s="66"/>
    </row>
    <row r="41" customFormat="false" ht="12.8" hidden="false" customHeight="false" outlineLevel="0" collapsed="false">
      <c r="K41" s="18"/>
      <c r="M41" s="43" t="s">
        <v>772</v>
      </c>
      <c r="N41" s="54" t="n">
        <f aca="false">SUM(N37:N39)</f>
        <v>1</v>
      </c>
      <c r="O41" s="61" t="n">
        <f aca="false">SUM(O37:O39)</f>
        <v>4.066</v>
      </c>
      <c r="P41" s="54" t="n">
        <f aca="false">SUM(P37:P39)</f>
        <v>0.998</v>
      </c>
      <c r="Q41" s="61" t="n">
        <f aca="false">SUM(Q37:Q39)</f>
        <v>12.706536</v>
      </c>
      <c r="R41" s="54" t="n">
        <f aca="false">SUM(R37:R39)</f>
        <v>1</v>
      </c>
      <c r="S41" s="61" t="n">
        <f aca="false">SUM(S37:S39)</f>
        <v>6.265654</v>
      </c>
      <c r="T41" s="61" t="n">
        <f aca="false">SUM(T37:T39)</f>
        <v>9.302</v>
      </c>
      <c r="V41" s="61" t="n">
        <f aca="false">SUM(V37:V39)</f>
        <v>4.49</v>
      </c>
      <c r="X41" s="62" t="n">
        <f aca="false">SUM(X37:X39)</f>
        <v>0.02656</v>
      </c>
      <c r="Z41" s="62" t="n">
        <f aca="false">SUM(Z37:Z39)</f>
        <v>0.021839</v>
      </c>
      <c r="AB41" s="62" t="n">
        <f aca="false">SUM(AB37:AB39)</f>
        <v>0.01869</v>
      </c>
      <c r="AD41" s="62" t="n">
        <f aca="false">SUM(AD37:AD39)</f>
        <v>0.0105</v>
      </c>
    </row>
    <row r="42" customFormat="false" ht="12.8" hidden="false" customHeight="false" outlineLevel="0" collapsed="false">
      <c r="A42" s="0" t="s">
        <v>773</v>
      </c>
      <c r="B42" s="28" t="str">
        <f aca="false">CONCATENATE("Supply ",$F$18)</f>
        <v>Supply 2022</v>
      </c>
      <c r="C42" s="0" t="s">
        <v>748</v>
      </c>
      <c r="D42" s="46" t="s">
        <v>747</v>
      </c>
      <c r="E42" s="0" t="s">
        <v>774</v>
      </c>
      <c r="F42" s="46" t="s">
        <v>775</v>
      </c>
      <c r="K42" s="18"/>
    </row>
    <row r="43" customFormat="false" ht="12.8" hidden="false" customHeight="false" outlineLevel="0" collapsed="false">
      <c r="A43" s="0" t="s">
        <v>773</v>
      </c>
      <c r="B43" s="0" t="s">
        <v>8</v>
      </c>
      <c r="C43" s="18" t="n">
        <f aca="false">(D43/N21)*1000</f>
        <v>1.20121962616822</v>
      </c>
      <c r="D43" s="49" t="n">
        <v>257061</v>
      </c>
      <c r="E43" s="18" t="n">
        <f aca="false">(F43/N21)*1000</f>
        <v>0.34</v>
      </c>
      <c r="F43" s="19" t="n">
        <f aca="false">(N21/(3000))+((0.02*N21)/(3000))</f>
        <v>72760</v>
      </c>
      <c r="H43" s="19"/>
      <c r="I43" s="19"/>
      <c r="J43" s="19"/>
      <c r="K43" s="18"/>
      <c r="O43" s="0" t="s">
        <v>776</v>
      </c>
      <c r="U43" s="0" t="s">
        <v>777</v>
      </c>
    </row>
    <row r="44" customFormat="false" ht="12.8" hidden="false" customHeight="false" outlineLevel="0" collapsed="false">
      <c r="A44" s="0" t="s">
        <v>773</v>
      </c>
      <c r="B44" s="0" t="s">
        <v>9</v>
      </c>
      <c r="C44" s="0" t="n">
        <v>21.5</v>
      </c>
      <c r="D44" s="48" t="n">
        <v>121924</v>
      </c>
      <c r="E44" s="18" t="n">
        <f aca="false">(F44/N22)*1000</f>
        <v>0.353333333333333</v>
      </c>
      <c r="F44" s="19" t="n">
        <f aca="false">(N22/(3000))+((0.06*N22)/(3000))</f>
        <v>1958.17333333333</v>
      </c>
      <c r="M44" s="19"/>
    </row>
    <row r="45" customFormat="false" ht="12.8" hidden="false" customHeight="false" outlineLevel="0" collapsed="false">
      <c r="A45" s="0" t="s">
        <v>778</v>
      </c>
      <c r="B45" s="0" t="s">
        <v>10</v>
      </c>
      <c r="C45" s="18" t="n">
        <f aca="false">(D45/N23)*1000</f>
        <v>16</v>
      </c>
      <c r="D45" s="48" t="n">
        <v>1080000</v>
      </c>
      <c r="E45" s="18" t="n">
        <f aca="false">(F45/N23)*1000</f>
        <v>0.353333333333333</v>
      </c>
      <c r="F45" s="19" t="n">
        <f aca="false">(N23/(3000))+((0.06*N23)/(3000))</f>
        <v>23850</v>
      </c>
      <c r="V45" s="19" t="n">
        <f aca="false">14.5*N21/1000000+210</f>
        <v>3313</v>
      </c>
      <c r="W45" s="0" t="s">
        <v>779</v>
      </c>
    </row>
    <row r="46" customFormat="false" ht="12.8" hidden="false" customHeight="false" outlineLevel="0" collapsed="false">
      <c r="A46" s="0" t="s">
        <v>780</v>
      </c>
      <c r="J46" s="13"/>
      <c r="V46" s="19" t="n">
        <f aca="false">(Z41*N21)/1000</f>
        <v>4673.546</v>
      </c>
    </row>
    <row r="47" customFormat="false" ht="12.8" hidden="false" customHeight="false" outlineLevel="0" collapsed="false">
      <c r="B47" s="0" t="s">
        <v>742</v>
      </c>
      <c r="O47" s="25" t="s">
        <v>781</v>
      </c>
      <c r="Q47" s="25" t="s">
        <v>567</v>
      </c>
      <c r="S47" s="25" t="s">
        <v>782</v>
      </c>
      <c r="T47" s="0" t="s">
        <v>783</v>
      </c>
      <c r="U47" s="25" t="s">
        <v>784</v>
      </c>
      <c r="V47" s="21" t="s">
        <v>750</v>
      </c>
      <c r="W47" s="21" t="s">
        <v>751</v>
      </c>
      <c r="X47" s="21" t="s">
        <v>752</v>
      </c>
      <c r="Y47" s="21" t="s">
        <v>753</v>
      </c>
    </row>
    <row r="48" customFormat="false" ht="12.8" hidden="false" customHeight="false" outlineLevel="0" collapsed="false">
      <c r="A48" s="0" t="s">
        <v>778</v>
      </c>
      <c r="B48" s="0" t="s">
        <v>785</v>
      </c>
      <c r="M48" s="43" t="s">
        <v>805</v>
      </c>
      <c r="N48" s="43" t="s">
        <v>786</v>
      </c>
      <c r="O48" s="67" t="n">
        <v>1</v>
      </c>
      <c r="P48" s="67"/>
      <c r="Q48" s="67" t="n">
        <v>2</v>
      </c>
      <c r="R48" s="67"/>
      <c r="S48" s="67" t="n">
        <v>3</v>
      </c>
      <c r="T48" s="67" t="n">
        <v>4</v>
      </c>
      <c r="U48" s="67" t="n">
        <v>5</v>
      </c>
      <c r="V48" s="67" t="n">
        <v>6</v>
      </c>
      <c r="W48" s="67" t="n">
        <v>7</v>
      </c>
      <c r="X48" s="67" t="n">
        <v>8</v>
      </c>
      <c r="Y48" s="67" t="n">
        <v>9</v>
      </c>
      <c r="Z48" s="43" t="s">
        <v>787</v>
      </c>
    </row>
    <row r="49" customFormat="false" ht="12.8" hidden="false" customHeight="false" outlineLevel="0" collapsed="false">
      <c r="A49" s="0" t="s">
        <v>773</v>
      </c>
      <c r="B49" s="0" t="s">
        <v>788</v>
      </c>
      <c r="M49" s="43" t="n">
        <v>1</v>
      </c>
      <c r="N49" s="43"/>
      <c r="O49" s="61" t="n">
        <f aca="false">O37</f>
        <v>0.4066</v>
      </c>
      <c r="P49" s="67"/>
      <c r="Q49" s="61" t="n">
        <f aca="false">Q37</f>
        <v>2.533668</v>
      </c>
      <c r="R49" s="67"/>
      <c r="S49" s="61" t="n">
        <f aca="false">S37</f>
        <v>1.2531308</v>
      </c>
      <c r="T49" s="61" t="n">
        <f aca="false">T37</f>
        <v>9.302</v>
      </c>
      <c r="U49" s="61" t="str">
        <f aca="false">V37</f>
        <v>.</v>
      </c>
      <c r="V49" s="62" t="str">
        <f aca="false">X37</f>
        <v>.</v>
      </c>
      <c r="W49" s="62" t="str">
        <f aca="false">Z37</f>
        <v>.</v>
      </c>
      <c r="X49" s="62" t="str">
        <f aca="false">AB37</f>
        <v>.</v>
      </c>
      <c r="Y49" s="62" t="str">
        <f aca="false">AD37</f>
        <v>.</v>
      </c>
      <c r="Z49" s="43"/>
    </row>
    <row r="50" customFormat="false" ht="12.8" hidden="false" customHeight="false" outlineLevel="0" collapsed="false">
      <c r="A50" s="0" t="s">
        <v>773</v>
      </c>
      <c r="B50" s="0" t="s">
        <v>789</v>
      </c>
      <c r="D50" s="25"/>
      <c r="M50" s="43" t="n">
        <v>2</v>
      </c>
      <c r="N50" s="43"/>
      <c r="O50" s="61" t="n">
        <f aca="false">O38</f>
        <v>1.66706</v>
      </c>
      <c r="P50" s="67"/>
      <c r="Q50" s="61" t="n">
        <f aca="false">Q38</f>
        <v>1.196808</v>
      </c>
      <c r="R50" s="67"/>
      <c r="S50" s="61" t="n">
        <f aca="false">S38</f>
        <v>2.5062616</v>
      </c>
      <c r="T50" s="67" t="str">
        <f aca="false">T38</f>
        <v>.</v>
      </c>
      <c r="U50" s="61" t="n">
        <f aca="false">V38</f>
        <v>2.67155</v>
      </c>
      <c r="V50" s="62" t="n">
        <f aca="false">X38</f>
        <v>0.00664</v>
      </c>
      <c r="W50" s="62" t="n">
        <f aca="false">Z38</f>
        <v>0.00503976923076923</v>
      </c>
      <c r="X50" s="62" t="n">
        <f aca="false">AB38</f>
        <v>0.003115</v>
      </c>
      <c r="Y50" s="62" t="n">
        <f aca="false">AD38</f>
        <v>0.00025609756097561</v>
      </c>
      <c r="Z50" s="43"/>
    </row>
    <row r="51" customFormat="false" ht="12.8" hidden="false" customHeight="false" outlineLevel="0" collapsed="false">
      <c r="B51" s="0" t="s">
        <v>790</v>
      </c>
      <c r="M51" s="43" t="n">
        <v>3</v>
      </c>
      <c r="N51" s="43"/>
      <c r="O51" s="61" t="n">
        <f aca="false">O39</f>
        <v>1.99234</v>
      </c>
      <c r="P51" s="67"/>
      <c r="Q51" s="61" t="n">
        <f aca="false">Q39</f>
        <v>8.97606</v>
      </c>
      <c r="R51" s="67"/>
      <c r="S51" s="61" t="n">
        <f aca="false">S39</f>
        <v>2.5062616</v>
      </c>
      <c r="T51" s="67" t="str">
        <f aca="false">T39</f>
        <v>.</v>
      </c>
      <c r="U51" s="61" t="n">
        <f aca="false">V39</f>
        <v>1.81845</v>
      </c>
      <c r="V51" s="62" t="n">
        <f aca="false">X39</f>
        <v>0.01992</v>
      </c>
      <c r="W51" s="62" t="n">
        <f aca="false">Z39</f>
        <v>0.0167992307692308</v>
      </c>
      <c r="X51" s="62" t="n">
        <f aca="false">AB39</f>
        <v>0.015575</v>
      </c>
      <c r="Y51" s="62" t="n">
        <f aca="false">AD39</f>
        <v>0.0102439024390244</v>
      </c>
      <c r="Z51" s="43"/>
    </row>
    <row r="52" customFormat="false" ht="12.8" hidden="false" customHeight="false" outlineLevel="0" collapsed="false">
      <c r="B52" s="0" t="s">
        <v>791</v>
      </c>
      <c r="M52" s="0" t="s">
        <v>792</v>
      </c>
    </row>
    <row r="53" customFormat="false" ht="12.8" hidden="false" customHeight="false" outlineLevel="0" collapsed="false">
      <c r="B53" s="0" t="s">
        <v>793</v>
      </c>
    </row>
    <row r="54" customFormat="false" ht="12.8" hidden="false" customHeight="false" outlineLevel="0" collapsed="false">
      <c r="B54" s="0" t="s">
        <v>794</v>
      </c>
    </row>
    <row r="55" customFormat="false" ht="12.8" hidden="false" customHeight="false" outlineLevel="0" collapsed="false">
      <c r="B55" s="0" t="s">
        <v>795</v>
      </c>
      <c r="M55" s="18" t="n">
        <f aca="false">G21</f>
        <v>9.15921495327103</v>
      </c>
    </row>
    <row r="56" customFormat="false" ht="12.8" hidden="false" customHeight="false" outlineLevel="0" collapsed="false">
      <c r="B56" s="0" t="s">
        <v>796</v>
      </c>
      <c r="M56" s="18" t="n">
        <f aca="false">G22</f>
        <v>60.07</v>
      </c>
    </row>
    <row r="57" customFormat="false" ht="12.8" hidden="false" customHeight="false" outlineLevel="0" collapsed="false">
      <c r="B57" s="0" t="s">
        <v>797</v>
      </c>
      <c r="M57" s="18" t="n">
        <f aca="false">G23</f>
        <v>40</v>
      </c>
    </row>
    <row r="58" customFormat="false" ht="12.8" hidden="false" customHeight="false" outlineLevel="0" collapsed="false">
      <c r="B58" s="0" t="s">
        <v>798</v>
      </c>
    </row>
    <row r="59" customFormat="false" ht="12.8" hidden="false" customHeight="false" outlineLevel="0" collapsed="false">
      <c r="B59" s="0" t="s">
        <v>799</v>
      </c>
    </row>
    <row r="60" customFormat="false" ht="12.8" hidden="false" customHeight="false" outlineLevel="0" collapsed="false">
      <c r="B60" s="0" t="s">
        <v>800</v>
      </c>
    </row>
    <row r="62" customFormat="false" ht="12.8" hidden="false" customHeight="false" outlineLevel="0" collapsed="false">
      <c r="M62" s="19"/>
    </row>
    <row r="63" customFormat="false" ht="12.8" hidden="false" customHeight="false" outlineLevel="0" collapsed="false">
      <c r="K63" s="18"/>
      <c r="O63" s="3"/>
      <c r="Q63" s="3"/>
      <c r="R63" s="28"/>
      <c r="S63" s="3"/>
      <c r="T63" s="46"/>
      <c r="U63" s="3"/>
      <c r="V63" s="3"/>
      <c r="W63" s="3"/>
      <c r="X63" s="3"/>
      <c r="Y63" s="3"/>
      <c r="Z63" s="3"/>
    </row>
    <row r="64" customFormat="false" ht="12.8" hidden="false" customHeight="false" outlineLevel="0" collapsed="false">
      <c r="B64" s="0" t="s">
        <v>802</v>
      </c>
      <c r="C64" s="0" t="s">
        <v>781</v>
      </c>
      <c r="D64" s="0" t="s">
        <v>725</v>
      </c>
      <c r="E64" s="43" t="s">
        <v>758</v>
      </c>
      <c r="F64" s="43" t="s">
        <v>759</v>
      </c>
      <c r="G64" s="43" t="s">
        <v>760</v>
      </c>
      <c r="K64" s="18"/>
      <c r="N64" s="54"/>
      <c r="O64" s="45"/>
      <c r="P64" s="54"/>
      <c r="Q64" s="45"/>
      <c r="R64" s="54"/>
      <c r="S64" s="45"/>
      <c r="T64" s="57"/>
      <c r="U64" s="45"/>
      <c r="V64" s="58"/>
      <c r="W64" s="58"/>
      <c r="X64" s="58"/>
      <c r="Y64" s="58"/>
      <c r="Z64" s="59"/>
    </row>
    <row r="65" customFormat="false" ht="12.8" hidden="false" customHeight="false" outlineLevel="0" collapsed="false">
      <c r="B65" s="0" t="s">
        <v>8</v>
      </c>
      <c r="C65" s="18" t="n">
        <v>2.311</v>
      </c>
      <c r="D65" s="18" t="n">
        <v>7.401</v>
      </c>
      <c r="E65" s="18" t="n">
        <v>0.64</v>
      </c>
      <c r="F65" s="18" t="n">
        <v>0.683</v>
      </c>
      <c r="G65" s="0" t="n">
        <v>1</v>
      </c>
      <c r="K65" s="18"/>
      <c r="N65" s="54"/>
      <c r="O65" s="45"/>
      <c r="P65" s="54"/>
      <c r="Q65" s="45"/>
      <c r="R65" s="54"/>
      <c r="S65" s="45"/>
      <c r="T65" s="57"/>
      <c r="U65" s="45"/>
      <c r="V65" s="58"/>
      <c r="W65" s="58"/>
      <c r="X65" s="58"/>
      <c r="Y65" s="58"/>
      <c r="Z65" s="59"/>
    </row>
    <row r="66" customFormat="false" ht="12.8" hidden="false" customHeight="false" outlineLevel="0" collapsed="false">
      <c r="B66" s="0" t="s">
        <v>9</v>
      </c>
      <c r="C66" s="18" t="n">
        <v>4.64</v>
      </c>
      <c r="D66" s="18" t="n">
        <v>22.31</v>
      </c>
      <c r="E66" s="18" t="n">
        <v>1.076</v>
      </c>
      <c r="F66" s="18" t="n">
        <v>1.925</v>
      </c>
      <c r="G66" s="0" t="n">
        <v>1.63</v>
      </c>
      <c r="N66" s="54"/>
      <c r="O66" s="45"/>
      <c r="P66" s="54"/>
      <c r="Q66" s="45"/>
      <c r="R66" s="54"/>
      <c r="S66" s="45"/>
      <c r="T66" s="57"/>
      <c r="U66" s="45"/>
      <c r="V66" s="58"/>
      <c r="W66" s="58"/>
      <c r="X66" s="58"/>
      <c r="Y66" s="58"/>
      <c r="Z66" s="59"/>
    </row>
    <row r="67" customFormat="false" ht="12.8" hidden="false" customHeight="false" outlineLevel="0" collapsed="false">
      <c r="B67" s="0" t="s">
        <v>10</v>
      </c>
      <c r="C67" s="18" t="n">
        <v>3.274</v>
      </c>
      <c r="D67" s="18" t="n">
        <v>11.78</v>
      </c>
      <c r="E67" s="18" t="n">
        <v>0.653</v>
      </c>
      <c r="F67" s="18" t="n">
        <v>1.061</v>
      </c>
      <c r="G67" s="0" t="n">
        <v>1.35</v>
      </c>
      <c r="O67" s="18"/>
      <c r="Q67" s="45"/>
      <c r="S67" s="45"/>
      <c r="T67" s="57"/>
      <c r="U67" s="45"/>
      <c r="V67" s="58"/>
      <c r="W67" s="58"/>
      <c r="X67" s="58"/>
      <c r="Y67" s="60"/>
      <c r="Z67" s="59"/>
    </row>
    <row r="68" customFormat="false" ht="12.8" hidden="false" customHeight="false" outlineLevel="0" collapsed="false">
      <c r="M68" s="43"/>
      <c r="N68" s="54"/>
      <c r="O68" s="61"/>
      <c r="P68" s="54"/>
      <c r="Q68" s="61"/>
      <c r="R68" s="54"/>
      <c r="S68" s="61"/>
      <c r="T68" s="61"/>
      <c r="U68" s="61"/>
      <c r="V68" s="62"/>
      <c r="W68" s="62"/>
      <c r="X68" s="62"/>
      <c r="Y68" s="62"/>
      <c r="Z68" s="63"/>
    </row>
    <row r="71" customFormat="false" ht="12.8" hidden="false" customHeight="false" outlineLevel="0" collapsed="false">
      <c r="O71" s="43" t="s">
        <v>758</v>
      </c>
      <c r="P71" s="43" t="s">
        <v>759</v>
      </c>
      <c r="Q71" s="43" t="s">
        <v>760</v>
      </c>
    </row>
    <row r="72" customFormat="false" ht="12.8" hidden="false" customHeight="false" outlineLevel="0" collapsed="false">
      <c r="O72" s="0" t="s">
        <v>761</v>
      </c>
      <c r="P72" s="0" t="s">
        <v>762</v>
      </c>
      <c r="Q72" s="0" t="s">
        <v>763</v>
      </c>
    </row>
    <row r="73" customFormat="false" ht="12.8" hidden="false" customHeight="false" outlineLevel="0" collapsed="false">
      <c r="P73" s="0" t="s">
        <v>764</v>
      </c>
    </row>
  </sheetData>
  <mergeCells count="2">
    <mergeCell ref="O18:Q18"/>
    <mergeCell ref="V18:Y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27689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2022-09-01T17:30:25Z</dcterms:created>
  <dc:creator/>
  <dc:description/>
  <dc:language>en-US</dc:language>
  <cp:lastModifiedBy/>
  <dcterms:modified xsi:type="dcterms:W3CDTF">2022-12-27T22:30:09Z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