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base" sheetId="1" state="visible" r:id="rId2"/>
    <sheet name="ajuste" sheetId="2" state="visible" r:id="rId3"/>
    <sheet name="cost" sheetId="3" state="visible" r:id="rId4"/>
    <sheet name="beds" sheetId="4" state="visible" r:id="rId5"/>
  </sheets>
  <externalReferences>
    <externalReference r:id="rId6"/>
  </externalReferenc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<sst xmlns="http://schemas.openxmlformats.org/spreadsheetml/2006/main" count="461" uniqueCount="256">
  <si>
    <t xml:space="preserve">Parameter</t>
  </si>
  <si>
    <t xml:space="preserve">Brazil</t>
  </si>
  <si>
    <t xml:space="preserve">Finland</t>
  </si>
  <si>
    <t xml:space="preserve">France</t>
  </si>
  <si>
    <t xml:space="preserve">Tertiary care</t>
  </si>
  <si>
    <t xml:space="preserve">GDP: Gross Domestic Product (2021) US$ Milions</t>
  </si>
  <si>
    <t xml:space="preserve">Secondary care</t>
  </si>
  <si>
    <t xml:space="preserve">PPP exchange rate (USA = 1)</t>
  </si>
  <si>
    <t xml:space="preserve">Population (Milions)</t>
  </si>
  <si>
    <t xml:space="preserve">Primary care</t>
  </si>
  <si>
    <t xml:space="preserve">Population (Milions) (2030)</t>
  </si>
  <si>
    <t xml:space="preserve">https://www.ibge.gov.br/apps/populacao/projecao/index.html</t>
  </si>
  <si>
    <t xml:space="preserve">GDP per capita (2021) US$</t>
  </si>
  <si>
    <t xml:space="preserve">https://pxdata.stat.fi/PxWeb/pxweb/en/StatFin/StatFin__vaenn/statfin_vaenn_pxt_139f.px/table/tableViewLayout1/</t>
  </si>
  <si>
    <t xml:space="preserve">Area (km2)</t>
  </si>
  <si>
    <t xml:space="preserve">https://www.ined.fr/en/everything_about_population/data/france/population-evolution/projections/</t>
  </si>
  <si>
    <t xml:space="preserve">OECD: Health expenditure and financing  (% GDP)</t>
  </si>
  <si>
    <t xml:space="preserve">https://data.worldbank.org/indicator/SH.XPD.CHEX.GD.ZS?locations=BR</t>
  </si>
  <si>
    <t xml:space="preserve">OECD: Health expenditure and financing (US$  Milions)  </t>
  </si>
  <si>
    <t xml:space="preserve">IC/SC/EC: Inpatient curative and rehabilitative care (% Health expenditure)</t>
  </si>
  <si>
    <t xml:space="preserve">IC/SC/EC: Inpatient curative and rehabilitative care (US$  Milions)</t>
  </si>
  <si>
    <t xml:space="preserve">AC: Outpatient curative and rehabilitative care (% Health expenditure)</t>
  </si>
  <si>
    <t xml:space="preserve">AC: Outpatient curative and rehabilitative care (US$  Milions)</t>
  </si>
  <si>
    <t xml:space="preserve">http://www.labflorida.com/blog/lab-testing/types-labs/</t>
  </si>
  <si>
    <t xml:space="preserve">Ancillary services (laboratory, imaging, transportation) (%HE)</t>
  </si>
  <si>
    <t xml:space="preserve">https://healthcareappraisers.com/2020-outlook-diagnostic-imaging-and-radiology-practices/</t>
  </si>
  <si>
    <t xml:space="preserve">Ancillary services (laboratory, imaging, transportation) (US$  Milions)</t>
  </si>
  <si>
    <t xml:space="preserve">Primary (LC)</t>
  </si>
  <si>
    <t xml:space="preserve">Medical goods (pharmaceuticals, medicines) (%HE)</t>
  </si>
  <si>
    <t xml:space="preserve">https://www.aihw.gov.au/reports/medicines/medicines-in-the-health-system</t>
  </si>
  <si>
    <t xml:space="preserve">Medical goods (pharmaceuticals, medicines) (US$  Milions)</t>
  </si>
  <si>
    <t xml:space="preserve">LC: Long Term care (% Health expenditure)</t>
  </si>
  <si>
    <t xml:space="preserve">LC: Long Term care (US$  Milions)</t>
  </si>
  <si>
    <t xml:space="preserve">BC: Preventive care (% Health expenditure)</t>
  </si>
  <si>
    <t xml:space="preserve">BC: Preventive care (US$  Milions)</t>
  </si>
  <si>
    <t xml:space="preserve">Governance and health system administration</t>
  </si>
  <si>
    <t xml:space="preserve">https://www.nuffieldtrust.org.uk/resource/the-nhs-workforce-in-numbers#1-what-kinds-of-staff-make-up-the-nhs-workforce</t>
  </si>
  <si>
    <t xml:space="preserve">Other</t>
  </si>
  <si>
    <t xml:space="preserve">Governance and other  (US$  Milions)</t>
  </si>
  <si>
    <t xml:space="preserve">Total (%)</t>
  </si>
  <si>
    <t xml:space="preserve">OECD: Heal Care Resources</t>
  </si>
  <si>
    <t xml:space="preserve">?</t>
  </si>
  <si>
    <t xml:space="preserve">Proportion</t>
  </si>
  <si>
    <t xml:space="preserve">Total health and social employment (per 1000 pop)</t>
  </si>
  <si>
    <t xml:space="preserve">https://www.statista.com/statistics/763755/number-employees-health-social-services-sector-brazil/</t>
  </si>
  <si>
    <t xml:space="preserve">Physicians (per 1000 pop)</t>
  </si>
  <si>
    <t xml:space="preserve">Midwives (per 1000 pop)</t>
  </si>
  <si>
    <t xml:space="preserve">Nurses (per 1000 pop)</t>
  </si>
  <si>
    <t xml:space="preserve">Practicing caring personnel (per 1000 pop)</t>
  </si>
  <si>
    <t xml:space="preserve">Dentist (per 1000 pop)</t>
  </si>
  <si>
    <t xml:space="preserve">Practicing pharmacist (per 1000 pop)</t>
  </si>
  <si>
    <t xml:space="preserve">Phisiotherapist (per 1000 pop)</t>
  </si>
  <si>
    <t xml:space="preserve">Hospitals (per 1000.000 pop)</t>
  </si>
  <si>
    <t xml:space="preserve">Public hospitals (per 1000.000 pop)</t>
  </si>
  <si>
    <t xml:space="preserve">Private not-for-profit hospitals (per 1000.000 pop)</t>
  </si>
  <si>
    <t xml:space="preserve">Private for-profit hospitals (per 1000.000 pop)</t>
  </si>
  <si>
    <t xml:space="preserve">General hospitals (per 1000.000 pop)</t>
  </si>
  <si>
    <t xml:space="preserve">Hospitals FTE (per 1.000 pop)</t>
  </si>
  <si>
    <t xml:space="preserve">Physicians FTE (per 1.000 pop)</t>
  </si>
  <si>
    <t xml:space="preserve">Nurses and midwives FTE (per 1.000 pop)</t>
  </si>
  <si>
    <t xml:space="preserve">Assistants FTE (per 1.000 pop)</t>
  </si>
  <si>
    <t xml:space="preserve">Other services FTE (per 1.000 pop)</t>
  </si>
  <si>
    <t xml:space="preserve">Other staff FTE (per 1.000 pop)</t>
  </si>
  <si>
    <t xml:space="preserve">Remuneration of health professionals</t>
  </si>
  <si>
    <t xml:space="preserve">Physicians Especialist (US$ per year)</t>
  </si>
  <si>
    <t xml:space="preserve">Physicians GP (US$ per year)</t>
  </si>
  <si>
    <t xml:space="preserve">Nurses  (US$ per year)</t>
  </si>
  <si>
    <t xml:space="preserve">Hospital beds (per 1000 pop)</t>
  </si>
  <si>
    <t xml:space="preserve">Somatic (physical need) care beds (per 1000 pop)</t>
  </si>
  <si>
    <t xml:space="preserve">Psychiatric care beds (per 1000 pop)</t>
  </si>
  <si>
    <t xml:space="preserve">Curative (acute) care beds (per 1000 pop)</t>
  </si>
  <si>
    <t xml:space="preserve">Somatic curative care beds (per 1000 pop)</t>
  </si>
  <si>
    <t xml:space="preserve">Psychiatric somatic care beds (per 1000 pop)</t>
  </si>
  <si>
    <t xml:space="preserve">Rehabilitative care beds (per 1000 pop)</t>
  </si>
  <si>
    <t xml:space="preserve">Somatic rehabilitative care beds (per 1000 pop)</t>
  </si>
  <si>
    <t xml:space="preserve">Psychiatric rehabilitative care beds (per 1000 pop)</t>
  </si>
  <si>
    <t xml:space="preserve">Long term care beds (per 1000 pop)</t>
  </si>
  <si>
    <t xml:space="preserve">Somatic long term care beds (per 1000 pop)</t>
  </si>
  <si>
    <t xml:space="preserve">Psychiatric long term care beds (per 1000 pop)</t>
  </si>
  <si>
    <t xml:space="preserve">Other care beds (per 1000 pop)</t>
  </si>
  <si>
    <t xml:space="preserve">Somatic other care beds (per 1000 pop)</t>
  </si>
  <si>
    <t xml:space="preserve">Psychiatric other care beds (per 1000 pop)</t>
  </si>
  <si>
    <t xml:space="preserve">CT scanner (per 1000.000 pop)</t>
  </si>
  <si>
    <t xml:space="preserve">https://data.oecd.org/healtheqt/computed-tomography-ct-scanners.htm#indicator-chart</t>
  </si>
  <si>
    <t xml:space="preserve">CT scanner in hospital (per 1000.000 pop)</t>
  </si>
  <si>
    <t xml:space="preserve">CT scanner in ambulatory (per 1000.000 pop)</t>
  </si>
  <si>
    <t xml:space="preserve">MRI units (per 1000.000 pop)</t>
  </si>
  <si>
    <t xml:space="preserve">https://data.oecd.org/healtheqt/magnetic-resonance-imaging-mri-units.htm#indicator-chart</t>
  </si>
  <si>
    <t xml:space="preserve">MRI unists in hospital (per 1000.000 pop)</t>
  </si>
  <si>
    <t xml:space="preserve">MRI unists in ambulatory (per 1000.000 pop)</t>
  </si>
  <si>
    <t xml:space="preserve">PET scanner (per 1000.000 pop)</t>
  </si>
  <si>
    <t xml:space="preserve">PET scanner in hospital (per 1000.000 pop)</t>
  </si>
  <si>
    <t xml:space="preserve">PET scanner in ambulatory (per 1000.000 pop)</t>
  </si>
  <si>
    <t xml:space="preserve">Gamma cameras (per 1000.000 pop)</t>
  </si>
  <si>
    <t xml:space="preserve">Gamma cameras in hospital (per 1000.000 pop)</t>
  </si>
  <si>
    <t xml:space="preserve">Gamma cameras in ambulatory (per 1000.000 pop)</t>
  </si>
  <si>
    <t xml:space="preserve">Mamographs (per 1000.000 pop)</t>
  </si>
  <si>
    <t xml:space="preserve">https://data.oecd.org/healtheqt/mammography-machines.htm#indicator-chart</t>
  </si>
  <si>
    <t xml:space="preserve">Mamographs in hospital (per 1000.000 pop)</t>
  </si>
  <si>
    <t xml:space="preserve">http://cnes2.datasus.gov.br/Mod_Ind_Equipamento.asp?VEstado=00</t>
  </si>
  <si>
    <t xml:space="preserve">Mamographs in ambulatory (per 1000.000 pop)</t>
  </si>
  <si>
    <t xml:space="preserve">Radiation therapy (per 1000.000 pop)</t>
  </si>
  <si>
    <t xml:space="preserve">https://saude.abril.com.br/medicina/radioterapia-entre-o-passado-e-o-futuro/</t>
  </si>
  <si>
    <t xml:space="preserve">Radiation therapy in hospital (per 1000.000 pop)</t>
  </si>
  <si>
    <t xml:space="preserve">Radiation therapy in ambulatory (per 1000.000 pop)</t>
  </si>
  <si>
    <t xml:space="preserve">Use of Health care </t>
  </si>
  <si>
    <t xml:space="preserve">Inpatient care discharge (all hospitals)  (per 100.000 pop)</t>
  </si>
  <si>
    <t xml:space="preserve">Curative care discharge (all hospitals)  (per 100.000 pop)</t>
  </si>
  <si>
    <t xml:space="preserve">Utilisation: Occupancy rate (hospitals) (%)</t>
  </si>
  <si>
    <t xml:space="preserve">Doctor consultation (per capita)</t>
  </si>
  <si>
    <t xml:space="preserve">Dentist consultation (per capita)</t>
  </si>
  <si>
    <t xml:space="preserve">Efficiency (real use)  (exams per machine)</t>
  </si>
  <si>
    <t xml:space="preserve">CT scanner (exams per machine)</t>
  </si>
  <si>
    <t xml:space="preserve">CT scanner in hospital (exams per machine)</t>
  </si>
  <si>
    <t xml:space="preserve">CT scanner in ambulatory (exams per machine)</t>
  </si>
  <si>
    <t xml:space="preserve">MRI units (exams per machine)</t>
  </si>
  <si>
    <t xml:space="preserve">MRI unists in hospital (exams per machine)</t>
  </si>
  <si>
    <t xml:space="preserve">MRI unists in ambulatory (exams per machine)</t>
  </si>
  <si>
    <t xml:space="preserve">PET scanner (exams per machine)</t>
  </si>
  <si>
    <t xml:space="preserve">PET scanner in hospital (exams per machine)</t>
  </si>
  <si>
    <t xml:space="preserve">PET scanner in ambulatory (exams per machine)</t>
  </si>
  <si>
    <t xml:space="preserve">Gamma cameras (exams per machine)</t>
  </si>
  <si>
    <t xml:space="preserve">Gamma cameras in hospital (exams per machine)</t>
  </si>
  <si>
    <t xml:space="preserve">Gamma cameras in ambulatory (exams per machine)</t>
  </si>
  <si>
    <t xml:space="preserve">Mamographs (exams per machine)</t>
  </si>
  <si>
    <t xml:space="preserve">Mamographs in hospital (exams per machine)</t>
  </si>
  <si>
    <t xml:space="preserve">Mamographs in ambulatory (exams per machine)</t>
  </si>
  <si>
    <t xml:space="preserve">Radiation therapy (exams per machine)</t>
  </si>
  <si>
    <t xml:space="preserve">Radiation therapy in hospital (exams per machine)</t>
  </si>
  <si>
    <t xml:space="preserve">Radiation therapy in ambulatory (exams per machine)</t>
  </si>
  <si>
    <t xml:space="preserve">Demographic References : Population age structure</t>
  </si>
  <si>
    <t xml:space="preserve">65 years old and over (% pop)</t>
  </si>
  <si>
    <t xml:space="preserve">85 years old and over (% pop)</t>
  </si>
  <si>
    <t xml:space="preserve">Transport infrastructure</t>
  </si>
  <si>
    <t xml:space="preserve">12% of GDP</t>
  </si>
  <si>
    <t xml:space="preserve">Rail infrastructure capital value (Millions)</t>
  </si>
  <si>
    <t xml:space="preserve">Road infrastructure capital value  (Millions)</t>
  </si>
  <si>
    <t xml:space="preserve">Airport infrastructure capital value  (Millions)</t>
  </si>
  <si>
    <t xml:space="preserve">Maritme inland infrastructure capital value  (Millions)</t>
  </si>
  <si>
    <t xml:space="preserve">Maritme port infrastructure capital value  (Millions)</t>
  </si>
  <si>
    <t xml:space="preserve">Global Ranking</t>
  </si>
  <si>
    <t xml:space="preserve">GDP: Gross Domestic Product US$ Milions</t>
  </si>
  <si>
    <t xml:space="preserve">PPP exchange rate (USA = 1) </t>
  </si>
  <si>
    <t xml:space="preserve">GDP per capita US$</t>
  </si>
  <si>
    <t xml:space="preserve">Tertiary care (% Health expenditure)</t>
  </si>
  <si>
    <t xml:space="preserve">Tertiary (US$  Milions)</t>
  </si>
  <si>
    <t xml:space="preserve">https://valorinveste.globo.com/mercados/brasil-e-politica/noticia/2022/04/14/ibge-gasto-dos-brasileiros-com-sade-privada-mais-que-o-dobro-da-mdia-da-ocde.ghtml</t>
  </si>
  <si>
    <t xml:space="preserve">Secondary care (% Health expenditure)</t>
  </si>
  <si>
    <t xml:space="preserve">https://exame.com/economia/gasto-com-saude-tem-que-aumentar-para-47-do-pib-para-bancar-sus-aponta-estudo/</t>
  </si>
  <si>
    <t xml:space="preserve">Secondary care (US$  Milions)</t>
  </si>
  <si>
    <t xml:space="preserve">https://www.cnnbrasil.com.br/saude/brasil-ocupa-penultima-posicao-no-ranking-de-gastos-publicos-em-saude-segundo-ibge/</t>
  </si>
  <si>
    <r>
      <rPr>
        <sz val="10"/>
        <color rgb="FF999999"/>
        <rFont val="Arial"/>
        <family val="2"/>
        <charset val="1"/>
      </rPr>
      <t xml:space="preserve">Ancillary services (laboratory, imaging, transportation) (US$  Milions</t>
    </r>
    <r>
      <rPr>
        <i val="true"/>
        <sz val="10"/>
        <color rgb="FF999999"/>
        <rFont val="Arial"/>
        <family val="2"/>
        <charset val="1"/>
      </rPr>
      <t xml:space="preserve">)</t>
    </r>
  </si>
  <si>
    <r>
      <rPr>
        <sz val="10"/>
        <color rgb="FF999999"/>
        <rFont val="Arial"/>
        <family val="2"/>
        <charset val="1"/>
      </rPr>
      <t xml:space="preserve">Medical goods (pharmaceuticals, medicines) (US$  Milions</t>
    </r>
    <r>
      <rPr>
        <i val="true"/>
        <sz val="10"/>
        <color rgb="FF999999"/>
        <rFont val="Arial"/>
        <family val="2"/>
        <charset val="1"/>
      </rPr>
      <t xml:space="preserve">)</t>
    </r>
  </si>
  <si>
    <t xml:space="preserve">Primary care (% Health expenditure)</t>
  </si>
  <si>
    <t xml:space="preserve">Primary care (US$  Milions)</t>
  </si>
  <si>
    <r>
      <rPr>
        <sz val="10"/>
        <color rgb="FF999999"/>
        <rFont val="Arial"/>
        <family val="2"/>
        <charset val="1"/>
      </rPr>
      <t xml:space="preserve">BC: Preventive care (% Health expenditure</t>
    </r>
    <r>
      <rPr>
        <i val="true"/>
        <sz val="10"/>
        <color rgb="FF999999"/>
        <rFont val="Arial"/>
        <family val="2"/>
        <charset val="1"/>
      </rPr>
      <t xml:space="preserve">)</t>
    </r>
  </si>
  <si>
    <r>
      <rPr>
        <sz val="10"/>
        <color rgb="FF999999"/>
        <rFont val="Arial"/>
        <family val="2"/>
        <charset val="1"/>
      </rPr>
      <t xml:space="preserve">BC: Preventive care (US$  Milions</t>
    </r>
    <r>
      <rPr>
        <i val="true"/>
        <sz val="10"/>
        <color rgb="FF999999"/>
        <rFont val="Arial"/>
        <family val="2"/>
        <charset val="1"/>
      </rPr>
      <t xml:space="preserve">)</t>
    </r>
  </si>
  <si>
    <t xml:space="preserve">Complementary cost (?)</t>
  </si>
  <si>
    <t xml:space="preserve">Primary care (per capita)</t>
  </si>
  <si>
    <t xml:space="preserve">Secondary care (per capita)</t>
  </si>
  <si>
    <t xml:space="preserve">Tertiary care (per capita)</t>
  </si>
  <si>
    <t xml:space="preserve">https://data.oecd.org/healthres/health-spending.htm</t>
  </si>
  <si>
    <t xml:space="preserve">OECD: Health expediture per capita</t>
  </si>
  <si>
    <t xml:space="preserve">PPP</t>
  </si>
  <si>
    <t xml:space="preserve">Doctor consultation (per 100.000 pop)</t>
  </si>
  <si>
    <t xml:space="preserve">Dentist consultation (per 100.000 pop)</t>
  </si>
  <si>
    <t xml:space="preserve">Pool</t>
  </si>
  <si>
    <t xml:space="preserve">health spending per capita ($)</t>
  </si>
  <si>
    <t xml:space="preserve">Universal Health Coverage index  </t>
  </si>
  <si>
    <t xml:space="preserve">Covered lives (thousands)</t>
  </si>
  <si>
    <t xml:space="preserve">Observed</t>
  </si>
  <si>
    <t xml:space="preserve">Worse</t>
  </si>
  <si>
    <t xml:space="preserve">Reference</t>
  </si>
  <si>
    <t xml:space="preserve">Better</t>
  </si>
  <si>
    <t xml:space="preserve">1024 (994 to 1059)</t>
  </si>
  <si>
    <t xml:space="preserve">944 (585 to 1268)</t>
  </si>
  <si>
    <t xml:space="preserve">1213 (738 to 1639)</t>
  </si>
  <si>
    <t xml:space="preserve">2027 (1234 to 2736)</t>
  </si>
  <si>
    <t xml:space="preserve">61.7 (60.4 to 62.7)</t>
  </si>
  <si>
    <t xml:space="preserve">62.4 (58.8 to 64.5)</t>
  </si>
  <si>
    <t xml:space="preserve">64.5 (60.7 to 66.8)</t>
  </si>
  <si>
    <t xml:space="preserve">68.7 (64.7 to 71.2)</t>
  </si>
  <si>
    <t xml:space="preserve">12869 (12600 to 13081)</t>
  </si>
  <si>
    <t xml:space="preserve">14172 (13362 to 14668)</t>
  </si>
  <si>
    <t xml:space="preserve">14668 (13805 to 15189)</t>
  </si>
  <si>
    <t xml:space="preserve">15625 (14698 to 16192)</t>
  </si>
  <si>
    <t xml:space="preserve">3292 (3221 to 3368)</t>
  </si>
  <si>
    <t xml:space="preserve">3424 (2800 to 4155)</t>
  </si>
  <si>
    <t xml:space="preserve">4300 (3473 to 5265)</t>
  </si>
  <si>
    <t xml:space="preserve">6318 (5122 to 7727)</t>
  </si>
  <si>
    <t xml:space="preserve">84.5 (82.8 to 86.1)</t>
  </si>
  <si>
    <t xml:space="preserve">88.0 (85.2 to 90.5)</t>
  </si>
  <si>
    <t xml:space="preserve">90.7 (87.7 to 93.3)</t>
  </si>
  <si>
    <t xml:space="preserve">95.5 (92.5 to 98.3)</t>
  </si>
  <si>
    <t xml:space="preserve">462 (453 to 471)</t>
  </si>
  <si>
    <t xml:space="preserve">501 (485 to 515)</t>
  </si>
  <si>
    <t xml:space="preserve">516 (500 to 531)</t>
  </si>
  <si>
    <t xml:space="preserve">544 (527 to 560)</t>
  </si>
  <si>
    <t xml:space="preserve">4419 (4342 to 4485)</t>
  </si>
  <si>
    <t xml:space="preserve">4412 (3941 to 4950)</t>
  </si>
  <si>
    <t xml:space="preserve">5005 (4414 to 5691)</t>
  </si>
  <si>
    <t xml:space="preserve">8287 (7358 to 9368)</t>
  </si>
  <si>
    <t xml:space="preserve">80.1 (78.5 to 81.6)</t>
  </si>
  <si>
    <t xml:space="preserve">82.8 (81.0 to 84.5)</t>
  </si>
  <si>
    <t xml:space="preserve">84.1 (82.1 to 85.9)</t>
  </si>
  <si>
    <t xml:space="preserve">90.1 (88.0 to 92.0)</t>
  </si>
  <si>
    <t xml:space="preserve">5171 (5066 to 5263)</t>
  </si>
  <si>
    <t xml:space="preserve">5585 (5463 to 5701)</t>
  </si>
  <si>
    <t xml:space="preserve">5674 (5540 to 5796)</t>
  </si>
  <si>
    <t xml:space="preserve">6075 (5938 to 6204)</t>
  </si>
  <si>
    <t xml:space="preserve">Data</t>
  </si>
  <si>
    <t xml:space="preserve">Total health spending per capita 2015 ($)</t>
  </si>
  <si>
    <t xml:space="preserve">Total health spending per capita 2030 ($)</t>
  </si>
  <si>
    <t xml:space="preserve">Government (%)</t>
  </si>
  <si>
    <t xml:space="preserve">Pre-paid private (%)</t>
  </si>
  <si>
    <t xml:space="preserve">Out-of-pocket (%)</t>
  </si>
  <si>
    <t xml:space="preserve">1431 (1407 to 1453)</t>
  </si>
  <si>
    <t xml:space="preserve">1638 (1299 to 1966)</t>
  </si>
  <si>
    <t xml:space="preserve">43.1 (32.4 to 51.0)</t>
  </si>
  <si>
    <t xml:space="preserve">30.2 (24.5 to 32.3)</t>
  </si>
  <si>
    <t xml:space="preserve">26.0 (25.6 to 27.2) </t>
  </si>
  <si>
    <t xml:space="preserve">4101 (4035 to 4163)</t>
  </si>
  <si>
    <t xml:space="preserve">5280 (4471 to 6201)</t>
  </si>
  <si>
    <t xml:space="preserve">78.3 (75.5 to 81.5)</t>
  </si>
  <si>
    <t xml:space="preserve">3.0 (2.4 to 3.6)</t>
  </si>
  <si>
    <t xml:space="preserve">18.5 (17.9 to 19.1)</t>
  </si>
  <si>
    <t xml:space="preserve">4741 (4677 to 4799)</t>
  </si>
  <si>
    <t xml:space="preserve">5417 (4927 to 5978)</t>
  </si>
  <si>
    <t xml:space="preserve">77.6 (76.0 to 79.6)</t>
  </si>
  <si>
    <t xml:space="preserve">14.7 (13.5 to 15.6)</t>
  </si>
  <si>
    <t xml:space="preserve">7.6 (7.0 to 8.1)</t>
  </si>
  <si>
    <t xml:space="preserve">Per capita 2030</t>
  </si>
  <si>
    <t xml:space="preserve">Percentage</t>
  </si>
  <si>
    <t xml:space="preserve">Param HC</t>
  </si>
  <si>
    <t xml:space="preserve">Primary</t>
  </si>
  <si>
    <t xml:space="preserve">Secondary</t>
  </si>
  <si>
    <t xml:space="preserve">Tertiary</t>
  </si>
  <si>
    <t xml:space="preserve">Population 2030</t>
  </si>
  <si>
    <t xml:space="preserve">10.5 % of GDP (Health)</t>
  </si>
  <si>
    <t xml:space="preserve">GDP (OECD PPP)</t>
  </si>
  <si>
    <t xml:space="preserve">Population 2030 (million)</t>
  </si>
  <si>
    <t xml:space="preserve">Health Care (Bi)</t>
  </si>
  <si>
    <t xml:space="preserve">GDP (Bi)</t>
  </si>
  <si>
    <t xml:space="preserve">Public beds</t>
  </si>
  <si>
    <t xml:space="preserve">Target (beds / 1000 pop)</t>
  </si>
  <si>
    <t xml:space="preserve">Public + Private?</t>
  </si>
  <si>
    <t xml:space="preserve">Subsaarian Africa</t>
  </si>
  <si>
    <t xml:space="preserve">https://www.pnas.org/doi/pdf/10.1073/pnas.2009172117</t>
  </si>
  <si>
    <t xml:space="preserve">USA</t>
  </si>
  <si>
    <t xml:space="preserve">https://www.who.int/gho/publications/world_health_statistics/WHS2015_IndicatorCompendium.pdf</t>
  </si>
  <si>
    <t xml:space="preserve">Canada</t>
  </si>
  <si>
    <t xml:space="preserve">UK</t>
  </si>
  <si>
    <t xml:space="preserve">http://tabnet.datasus.gov.br/cgi/deftohtm.exe?cnes/cnv/leiintbr.def</t>
  </si>
  <si>
    <t xml:space="preserve">http://cnes2.datasus.gov.br/</t>
  </si>
  <si>
    <t xml:space="preserve">http://cnes2.datasus.gov.br/Mod_Ind_Tipo_Leito.asp?VEstado=00</t>
  </si>
  <si>
    <t xml:space="preserve">Param Beds</t>
  </si>
</sst>
</file>

<file path=xl/styles.xml><?xml version="1.0" encoding="utf-8"?>
<styleSheet xmlns="http://schemas.openxmlformats.org/spreadsheetml/2006/main">
  <numFmts count="16">
    <numFmt numFmtId="164" formatCode="General"/>
    <numFmt numFmtId="165" formatCode="[$$-409]#,##0;[RED]\-[$$-409]#,##0"/>
    <numFmt numFmtId="166" formatCode="[$-409]#,##0.00"/>
    <numFmt numFmtId="167" formatCode="[$-409]#,##0"/>
    <numFmt numFmtId="168" formatCode="0.00%"/>
    <numFmt numFmtId="169" formatCode="0%"/>
    <numFmt numFmtId="170" formatCode="#,##0"/>
    <numFmt numFmtId="171" formatCode="General"/>
    <numFmt numFmtId="172" formatCode="[$$-409]#,##0.00;[RED]\-[$$-409]#,##0.00"/>
    <numFmt numFmtId="173" formatCode="#,##0.00"/>
    <numFmt numFmtId="174" formatCode="#,##0\ [$€-81D];[RED]\-#,##0\ [$€-81D]"/>
    <numFmt numFmtId="175" formatCode="[$R$-416]\ #,##0.00;[RED]\-[$R$-416]\ #,##0.00"/>
    <numFmt numFmtId="176" formatCode="[$$-409]#,##0.0;[RED]\-[$$-409]#,##0.0"/>
    <numFmt numFmtId="177" formatCode="#,##0.000"/>
    <numFmt numFmtId="178" formatCode="0"/>
    <numFmt numFmtId="179" formatCode="#,##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color rgb="FF999999"/>
      <name val="Arial"/>
      <family val="2"/>
      <charset val="1"/>
    </font>
    <font>
      <sz val="10"/>
      <color rgb="FF999999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0"/>
      <name val="Arial"/>
      <family val="2"/>
      <charset val="1"/>
    </font>
    <font>
      <b val="true"/>
      <i val="true"/>
      <sz val="10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4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81D41A"/>
        <bgColor rgb="FF999999"/>
      </patternFill>
    </fill>
    <fill>
      <patternFill patternType="solid">
        <fgColor rgb="FFEEEEEE"/>
        <bgColor rgb="FFFFFFCC"/>
      </patternFill>
    </fill>
    <fill>
      <patternFill patternType="solid">
        <fgColor rgb="FFFFBF00"/>
        <bgColor rgb="FFFF9900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 style="medium"/>
      <top style="thin"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medium"/>
      <top/>
      <bottom style="medium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1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3" xfId="2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3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1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2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4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6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5" fillId="4" borderId="0" xfId="0" applyFont="true" applyBorder="false" applyAlignment="true" applyProtection="false">
      <alignment horizontal="left" vertical="bottom" textRotation="0" wrapText="false" indent="1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3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7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70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3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7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3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Valor da tabela dinâmica" xfId="20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BF00"/>
      <rgbColor rgb="FFFF9900"/>
      <rgbColor rgb="FFFF40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externalLink" Target="externalLinks/externalLink1.xml"/><Relationship Id="rId7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ealth-care-resources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BR-Healthcare-professions"/>
      <sheetName val="BR-Demografia-Medica"/>
      <sheetName val="BR-Equipamentos"/>
      <sheetName val="FI-Healthcare-professions"/>
      <sheetName val="FR-Healthcare-professions"/>
      <sheetName val="WHO-Requirements"/>
      <sheetName val="Minimum-POP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K137"/>
  <sheetViews>
    <sheetView showFormulas="false" showGridLines="true" showRowColHeaders="true" showZeros="true" rightToLeft="false" tabSelected="false" showOutlineSymbols="true" defaultGridColor="true" view="normal" topLeftCell="A4" colorId="64" zoomScale="160" zoomScaleNormal="160" zoomScalePageLayoutView="100" workbookViewId="0">
      <selection pane="topLeft" activeCell="C11" activeCellId="0" sqref="C11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61.15"/>
    <col collapsed="false" customWidth="true" hidden="false" outlineLevel="0" max="3" min="3" style="0" width="12.23"/>
    <col collapsed="false" customWidth="true" hidden="false" outlineLevel="0" max="4" min="4" style="0" width="16.48"/>
    <col collapsed="false" customWidth="true" hidden="false" outlineLevel="0" max="5" min="5" style="0" width="18.66"/>
    <col collapsed="false" customWidth="true" hidden="false" outlineLevel="0" max="6" min="6" style="0" width="3.67"/>
    <col collapsed="false" customWidth="true" hidden="false" outlineLevel="0" max="7" min="7" style="0" width="12.9"/>
    <col collapsed="false" customWidth="true" hidden="false" outlineLevel="0" max="8" min="8" style="0" width="15.18"/>
    <col collapsed="false" customWidth="true" hidden="false" outlineLevel="0" max="9" min="9" style="0" width="14.81"/>
    <col collapsed="false" customWidth="true" hidden="false" outlineLevel="0" max="10" min="10" style="0" width="5.75"/>
    <col collapsed="false" customWidth="true" hidden="false" outlineLevel="0" max="11" min="11" style="0" width="13.69"/>
  </cols>
  <sheetData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K2" s="1" t="s">
        <v>4</v>
      </c>
    </row>
    <row r="3" customFormat="false" ht="12.8" hidden="false" customHeight="false" outlineLevel="0" collapsed="false">
      <c r="B3" s="0" t="s">
        <v>5</v>
      </c>
      <c r="C3" s="2" t="n">
        <f aca="false">1873081220000/1000000</f>
        <v>1873081.22</v>
      </c>
      <c r="D3" s="2" t="n">
        <f aca="false">271825240000/1000000</f>
        <v>271825.24</v>
      </c>
      <c r="E3" s="2" t="n">
        <f aca="false">2937472760000/1000000</f>
        <v>2937472.76</v>
      </c>
      <c r="K3" s="3" t="s">
        <v>6</v>
      </c>
    </row>
    <row r="4" customFormat="false" ht="12.8" hidden="false" customHeight="false" outlineLevel="0" collapsed="false">
      <c r="B4" s="4" t="s">
        <v>7</v>
      </c>
      <c r="C4" s="5" t="n">
        <v>2.28</v>
      </c>
      <c r="D4" s="6" t="n">
        <v>0.823</v>
      </c>
      <c r="E4" s="7" t="n">
        <v>0.719</v>
      </c>
      <c r="K4" s="3"/>
    </row>
    <row r="5" customFormat="false" ht="12.8" hidden="false" customHeight="false" outlineLevel="0" collapsed="false">
      <c r="B5" s="4" t="s">
        <v>8</v>
      </c>
      <c r="C5" s="8" t="n">
        <f aca="false">214000000/1000000</f>
        <v>214</v>
      </c>
      <c r="D5" s="8" t="n">
        <f aca="false">5542000/1000000</f>
        <v>5.542</v>
      </c>
      <c r="E5" s="8" t="n">
        <f aca="false">67500000/1000000</f>
        <v>67.5</v>
      </c>
      <c r="K5" s="9" t="s">
        <v>9</v>
      </c>
    </row>
    <row r="6" customFormat="false" ht="12.8" hidden="false" customHeight="false" outlineLevel="0" collapsed="false">
      <c r="B6" s="4" t="s">
        <v>10</v>
      </c>
      <c r="C6" s="8" t="n">
        <f aca="false">224868462/1000000</f>
        <v>224.868462</v>
      </c>
      <c r="D6" s="8" t="n">
        <f aca="false">5598821/1000000</f>
        <v>5.598821</v>
      </c>
      <c r="E6" s="8" t="n">
        <f aca="false">68554000/1000000</f>
        <v>68.554</v>
      </c>
      <c r="G6" s="0" t="s">
        <v>11</v>
      </c>
    </row>
    <row r="7" customFormat="false" ht="12.8" hidden="false" customHeight="false" outlineLevel="0" collapsed="false">
      <c r="B7" s="4" t="s">
        <v>12</v>
      </c>
      <c r="C7" s="10" t="n">
        <f aca="false">C3/C5</f>
        <v>8752.71598130841</v>
      </c>
      <c r="D7" s="10" t="n">
        <f aca="false">D3/D5</f>
        <v>49048.2208588957</v>
      </c>
      <c r="E7" s="10" t="n">
        <f aca="false">E3/E5</f>
        <v>43518.114962963</v>
      </c>
      <c r="G7" s="0" t="s">
        <v>13</v>
      </c>
    </row>
    <row r="8" customFormat="false" ht="12.8" hidden="false" customHeight="false" outlineLevel="0" collapsed="false">
      <c r="B8" s="4" t="s">
        <v>14</v>
      </c>
      <c r="C8" s="11" t="n">
        <v>85000000</v>
      </c>
      <c r="D8" s="11" t="n">
        <v>338440</v>
      </c>
      <c r="E8" s="11" t="n">
        <v>543940</v>
      </c>
      <c r="G8" s="0" t="s">
        <v>15</v>
      </c>
    </row>
    <row r="9" customFormat="false" ht="12.8" hidden="false" customHeight="false" outlineLevel="0" collapsed="false">
      <c r="B9" s="0" t="s">
        <v>16</v>
      </c>
      <c r="C9" s="12" t="n">
        <v>0.096</v>
      </c>
      <c r="D9" s="12" t="n">
        <v>0.096</v>
      </c>
      <c r="E9" s="12" t="n">
        <v>0.124</v>
      </c>
      <c r="G9" s="0" t="s">
        <v>17</v>
      </c>
    </row>
    <row r="10" customFormat="false" ht="12.8" hidden="false" customHeight="false" outlineLevel="0" collapsed="false">
      <c r="B10" s="0" t="s">
        <v>18</v>
      </c>
      <c r="C10" s="10" t="n">
        <f aca="false">C9*C3*C4</f>
        <v>409980.0174336</v>
      </c>
      <c r="D10" s="10" t="n">
        <f aca="false">D9*D3*D4</f>
        <v>21476.36856192</v>
      </c>
      <c r="E10" s="10" t="n">
        <f aca="false">E9*E3*E4</f>
        <v>261893.32139056</v>
      </c>
    </row>
    <row r="11" customFormat="false" ht="12.8" hidden="false" customHeight="false" outlineLevel="0" collapsed="false">
      <c r="B11" s="13" t="s">
        <v>19</v>
      </c>
      <c r="C11" s="12" t="n">
        <v>0.221</v>
      </c>
      <c r="D11" s="12" t="n">
        <v>0.216</v>
      </c>
      <c r="E11" s="12" t="n">
        <v>0.258</v>
      </c>
    </row>
    <row r="12" customFormat="false" ht="12.8" hidden="false" customHeight="false" outlineLevel="0" collapsed="false">
      <c r="B12" s="13" t="s">
        <v>20</v>
      </c>
      <c r="C12" s="10" t="n">
        <f aca="false">C11*$C$10</f>
        <v>90605.5838528256</v>
      </c>
      <c r="D12" s="10" t="n">
        <f aca="false">D11*$D$10</f>
        <v>4638.89560937472</v>
      </c>
      <c r="E12" s="10" t="n">
        <f aca="false">E11*$E$10</f>
        <v>67568.4769187645</v>
      </c>
    </row>
    <row r="13" customFormat="false" ht="12.8" hidden="false" customHeight="false" outlineLevel="0" collapsed="false">
      <c r="B13" s="14" t="s">
        <v>21</v>
      </c>
      <c r="C13" s="12" t="n">
        <v>0.28</v>
      </c>
      <c r="D13" s="12" t="n">
        <v>0.355</v>
      </c>
      <c r="E13" s="12" t="n">
        <v>0.183</v>
      </c>
      <c r="H13" s="3" t="s">
        <v>6</v>
      </c>
      <c r="I13" s="1" t="s">
        <v>4</v>
      </c>
    </row>
    <row r="14" customFormat="false" ht="12.8" hidden="false" customHeight="false" outlineLevel="0" collapsed="false">
      <c r="B14" s="14" t="s">
        <v>22</v>
      </c>
      <c r="C14" s="10" t="n">
        <f aca="false">C13*$C$10</f>
        <v>114794.404881408</v>
      </c>
      <c r="D14" s="10" t="n">
        <f aca="false">D13*$D$10</f>
        <v>7624.1108394816</v>
      </c>
      <c r="E14" s="10" t="n">
        <f aca="false">E13*$E$10</f>
        <v>47926.4778144725</v>
      </c>
      <c r="G14" s="15"/>
      <c r="H14" s="15" t="n">
        <v>0.95</v>
      </c>
      <c r="I14" s="15" t="n">
        <v>0.05</v>
      </c>
      <c r="J14" s="15" t="n">
        <f aca="false">SUM(G14:I14)</f>
        <v>1</v>
      </c>
      <c r="K14" s="0" t="s">
        <v>23</v>
      </c>
    </row>
    <row r="15" customFormat="false" ht="12.8" hidden="false" customHeight="false" outlineLevel="0" collapsed="false">
      <c r="B15" s="16" t="s">
        <v>24</v>
      </c>
      <c r="C15" s="12" t="n">
        <v>0.113</v>
      </c>
      <c r="D15" s="12" t="n">
        <v>0.029</v>
      </c>
      <c r="E15" s="12" t="n">
        <v>0.043</v>
      </c>
      <c r="H15" s="15" t="n">
        <v>0.6</v>
      </c>
      <c r="I15" s="15" t="n">
        <v>0.4</v>
      </c>
      <c r="K15" s="0" t="s">
        <v>25</v>
      </c>
    </row>
    <row r="16" customFormat="false" ht="12.8" hidden="false" customHeight="false" outlineLevel="0" collapsed="false">
      <c r="B16" s="16" t="s">
        <v>26</v>
      </c>
      <c r="C16" s="10" t="n">
        <f aca="false">C15*$C$10</f>
        <v>46327.7419699968</v>
      </c>
      <c r="D16" s="10" t="n">
        <f aca="false">D15*$D$10</f>
        <v>622.81468829568</v>
      </c>
      <c r="E16" s="10" t="n">
        <f aca="false">E15*$E$10</f>
        <v>11261.4128197941</v>
      </c>
      <c r="G16" s="9" t="s">
        <v>27</v>
      </c>
      <c r="H16" s="3" t="s">
        <v>6</v>
      </c>
      <c r="I16" s="1" t="s">
        <v>4</v>
      </c>
    </row>
    <row r="17" customFormat="false" ht="12.8" hidden="false" customHeight="false" outlineLevel="0" collapsed="false">
      <c r="B17" s="16" t="s">
        <v>28</v>
      </c>
      <c r="C17" s="12" t="n">
        <v>0.204</v>
      </c>
      <c r="D17" s="12" t="n">
        <v>0.143</v>
      </c>
      <c r="E17" s="12" t="n">
        <v>0.194</v>
      </c>
      <c r="G17" s="15" t="n">
        <v>0.2</v>
      </c>
      <c r="H17" s="15" t="n">
        <v>0.6</v>
      </c>
      <c r="I17" s="15" t="n">
        <v>0.2</v>
      </c>
      <c r="J17" s="15" t="n">
        <f aca="false">SUM(G17:I17)</f>
        <v>1</v>
      </c>
      <c r="K17" s="0" t="s">
        <v>29</v>
      </c>
    </row>
    <row r="18" customFormat="false" ht="12.8" hidden="false" customHeight="false" outlineLevel="0" collapsed="false">
      <c r="B18" s="16" t="s">
        <v>30</v>
      </c>
      <c r="C18" s="10" t="n">
        <f aca="false">C17*$C$10</f>
        <v>83635.9235564544</v>
      </c>
      <c r="D18" s="10" t="n">
        <f aca="false">D17*$D$10</f>
        <v>3071.12070435456</v>
      </c>
      <c r="E18" s="10" t="n">
        <f aca="false">E17*$E$10</f>
        <v>50807.3043497686</v>
      </c>
    </row>
    <row r="19" customFormat="false" ht="12.8" hidden="false" customHeight="false" outlineLevel="0" collapsed="false">
      <c r="B19" s="17" t="s">
        <v>31</v>
      </c>
      <c r="C19" s="12" t="n">
        <v>0.018</v>
      </c>
      <c r="D19" s="12" t="n">
        <v>0.171</v>
      </c>
      <c r="E19" s="12" t="n">
        <v>0.165</v>
      </c>
    </row>
    <row r="20" customFormat="false" ht="12.8" hidden="false" customHeight="false" outlineLevel="0" collapsed="false">
      <c r="B20" s="17" t="s">
        <v>32</v>
      </c>
      <c r="C20" s="10" t="n">
        <f aca="false">C19*$C$10</f>
        <v>7379.6403138048</v>
      </c>
      <c r="D20" s="10" t="n">
        <f aca="false">D19*$D$10</f>
        <v>3672.45902408832</v>
      </c>
      <c r="E20" s="10" t="n">
        <f aca="false">E19*$E$10</f>
        <v>43212.3980294424</v>
      </c>
    </row>
    <row r="21" customFormat="false" ht="12.8" hidden="false" customHeight="false" outlineLevel="0" collapsed="false">
      <c r="B21" s="17" t="s">
        <v>33</v>
      </c>
      <c r="C21" s="12" t="n">
        <v>0.043</v>
      </c>
      <c r="D21" s="12" t="n">
        <v>0.043</v>
      </c>
      <c r="E21" s="12" t="n">
        <v>0.028</v>
      </c>
    </row>
    <row r="22" customFormat="false" ht="12.8" hidden="false" customHeight="false" outlineLevel="0" collapsed="false">
      <c r="B22" s="17" t="s">
        <v>34</v>
      </c>
      <c r="C22" s="10" t="n">
        <f aca="false">C21*$C$10</f>
        <v>17629.1407496448</v>
      </c>
      <c r="D22" s="10" t="n">
        <f aca="false">D21*$D$10</f>
        <v>923.48384816256</v>
      </c>
      <c r="E22" s="10" t="n">
        <f aca="false">E21*$E$10</f>
        <v>7333.01299893568</v>
      </c>
    </row>
    <row r="23" customFormat="false" ht="12.8" hidden="false" customHeight="false" outlineLevel="0" collapsed="false">
      <c r="G23" s="9" t="s">
        <v>27</v>
      </c>
      <c r="H23" s="3" t="s">
        <v>6</v>
      </c>
      <c r="I23" s="1" t="s">
        <v>4</v>
      </c>
    </row>
    <row r="24" customFormat="false" ht="12.8" hidden="false" customHeight="false" outlineLevel="0" collapsed="false">
      <c r="B24" s="4" t="s">
        <v>35</v>
      </c>
      <c r="C24" s="12" t="n">
        <v>0.064</v>
      </c>
      <c r="D24" s="12" t="n">
        <v>0.008</v>
      </c>
      <c r="E24" s="12" t="n">
        <v>0.055</v>
      </c>
      <c r="G24" s="15" t="n">
        <v>0.4</v>
      </c>
      <c r="H24" s="15" t="n">
        <v>0.2</v>
      </c>
      <c r="I24" s="15" t="n">
        <v>0.4</v>
      </c>
      <c r="J24" s="15" t="n">
        <f aca="false">SUM(G24:I24)</f>
        <v>1</v>
      </c>
      <c r="K24" s="0" t="s">
        <v>36</v>
      </c>
    </row>
    <row r="25" customFormat="false" ht="12.8" hidden="false" customHeight="false" outlineLevel="0" collapsed="false">
      <c r="B25" s="4" t="s">
        <v>37</v>
      </c>
      <c r="C25" s="12" t="n">
        <v>0.044</v>
      </c>
      <c r="D25" s="12" t="n">
        <v>0.001</v>
      </c>
      <c r="E25" s="12" t="n">
        <v>0</v>
      </c>
    </row>
    <row r="26" customFormat="false" ht="12.8" hidden="false" customHeight="false" outlineLevel="0" collapsed="false">
      <c r="B26" s="4" t="s">
        <v>38</v>
      </c>
      <c r="C26" s="10" t="n">
        <f aca="false">(C24+C25)*$C$10</f>
        <v>44277.8418828288</v>
      </c>
      <c r="D26" s="10" t="n">
        <f aca="false">(D24+D25)*$D$10</f>
        <v>193.28731705728</v>
      </c>
      <c r="E26" s="10" t="n">
        <f aca="false">(E24+E25)*$E$10</f>
        <v>14404.1326764808</v>
      </c>
    </row>
    <row r="28" customFormat="false" ht="12.8" hidden="false" customHeight="false" outlineLevel="0" collapsed="false">
      <c r="B28" s="0" t="s">
        <v>39</v>
      </c>
      <c r="C28" s="12" t="n">
        <f aca="false">SUM(C11,C13,C15,C17,C19,C21,C24,C25)</f>
        <v>0.987</v>
      </c>
      <c r="D28" s="12" t="n">
        <f aca="false">SUM(D11,D13,D15,D17,D19,D21,D24,D25)</f>
        <v>0.966</v>
      </c>
      <c r="E28" s="12" t="n">
        <f aca="false">SUM(E11,E13,E15,E17,E19,E21,E24,E25)</f>
        <v>0.926</v>
      </c>
    </row>
    <row r="31" customFormat="false" ht="12.8" hidden="false" customHeight="false" outlineLevel="0" collapsed="false">
      <c r="B31" s="0" t="s">
        <v>40</v>
      </c>
      <c r="C31" s="3" t="s">
        <v>41</v>
      </c>
      <c r="G31" s="18" t="s">
        <v>42</v>
      </c>
      <c r="H31" s="18"/>
      <c r="I31" s="18"/>
    </row>
    <row r="32" customFormat="false" ht="12.8" hidden="false" customHeight="false" outlineLevel="0" collapsed="false">
      <c r="B32" s="4" t="s">
        <v>43</v>
      </c>
      <c r="C32" s="19" t="n">
        <f aca="false">(3402900/(C5*1000000))*1000</f>
        <v>15.9014018691589</v>
      </c>
      <c r="D32" s="20" t="n">
        <v>80</v>
      </c>
      <c r="E32" s="20" t="n">
        <v>59</v>
      </c>
      <c r="G32" s="9" t="s">
        <v>9</v>
      </c>
      <c r="H32" s="3" t="s">
        <v>6</v>
      </c>
      <c r="I32" s="1" t="s">
        <v>4</v>
      </c>
      <c r="K32" s="0" t="s">
        <v>44</v>
      </c>
    </row>
    <row r="33" customFormat="false" ht="12.8" hidden="false" customHeight="false" outlineLevel="0" collapsed="false">
      <c r="B33" s="4" t="s">
        <v>45</v>
      </c>
      <c r="C33" s="0" t="n">
        <v>2.15</v>
      </c>
      <c r="D33" s="0" t="n">
        <v>3.5</v>
      </c>
      <c r="E33" s="0" t="n">
        <v>3.2</v>
      </c>
      <c r="G33" s="15" t="n">
        <v>0.05</v>
      </c>
      <c r="H33" s="15" t="n">
        <v>0.3</v>
      </c>
      <c r="I33" s="15" t="n">
        <v>0.65</v>
      </c>
      <c r="J33" s="15" t="n">
        <f aca="false">SUM(G33:I33)</f>
        <v>1</v>
      </c>
    </row>
    <row r="34" customFormat="false" ht="12.8" hidden="false" customHeight="false" outlineLevel="0" collapsed="false">
      <c r="B34" s="4" t="s">
        <v>46</v>
      </c>
      <c r="C34" s="3"/>
      <c r="D34" s="0" t="n">
        <v>0.43</v>
      </c>
      <c r="E34" s="0" t="n">
        <v>0.35</v>
      </c>
    </row>
    <row r="35" customFormat="false" ht="12.8" hidden="false" customHeight="false" outlineLevel="0" collapsed="false">
      <c r="B35" s="4" t="s">
        <v>47</v>
      </c>
      <c r="C35" s="0" t="n">
        <v>1.5</v>
      </c>
      <c r="D35" s="0" t="n">
        <v>14</v>
      </c>
      <c r="E35" s="3"/>
    </row>
    <row r="36" customFormat="false" ht="12.8" hidden="false" customHeight="false" outlineLevel="0" collapsed="false">
      <c r="B36" s="4" t="s">
        <v>48</v>
      </c>
      <c r="C36" s="3"/>
      <c r="D36" s="0" t="n">
        <v>21.5</v>
      </c>
      <c r="E36" s="21" t="n">
        <f aca="false">'[1]WHO-Requirements'!I35</f>
        <v>0</v>
      </c>
    </row>
    <row r="37" customFormat="false" ht="12.8" hidden="false" customHeight="false" outlineLevel="0" collapsed="false">
      <c r="B37" s="4" t="s">
        <v>49</v>
      </c>
      <c r="C37" s="3"/>
      <c r="D37" s="0" t="n">
        <v>0.72</v>
      </c>
      <c r="E37" s="0" t="n">
        <v>0.63</v>
      </c>
    </row>
    <row r="38" customFormat="false" ht="12.8" hidden="false" customHeight="false" outlineLevel="0" collapsed="false">
      <c r="B38" s="4" t="s">
        <v>50</v>
      </c>
      <c r="C38" s="3"/>
      <c r="D38" s="0" t="n">
        <v>1.03</v>
      </c>
      <c r="E38" s="0" t="n">
        <v>1.02</v>
      </c>
    </row>
    <row r="39" customFormat="false" ht="12.8" hidden="false" customHeight="false" outlineLevel="0" collapsed="false">
      <c r="B39" s="4" t="s">
        <v>51</v>
      </c>
      <c r="C39" s="3"/>
      <c r="D39" s="0" t="n">
        <v>1.63</v>
      </c>
      <c r="E39" s="0" t="n">
        <v>1.35</v>
      </c>
    </row>
    <row r="41" customFormat="false" ht="12.8" hidden="false" customHeight="false" outlineLevel="0" collapsed="false">
      <c r="G41" s="9" t="s">
        <v>9</v>
      </c>
      <c r="H41" s="3" t="s">
        <v>6</v>
      </c>
      <c r="I41" s="1" t="s">
        <v>4</v>
      </c>
    </row>
    <row r="42" customFormat="false" ht="12.8" hidden="false" customHeight="false" outlineLevel="0" collapsed="false">
      <c r="B42" s="4" t="s">
        <v>52</v>
      </c>
      <c r="C42" s="22" t="n">
        <f aca="false">SUM(C43:C45)</f>
        <v>0</v>
      </c>
      <c r="D42" s="22" t="n">
        <f aca="false">SUM(D43:D45)</f>
        <v>45</v>
      </c>
      <c r="E42" s="22" t="n">
        <f aca="false">SUM(E43:E45)</f>
        <v>44</v>
      </c>
      <c r="G42" s="15" t="n">
        <v>0</v>
      </c>
      <c r="H42" s="15" t="n">
        <v>0.95</v>
      </c>
      <c r="I42" s="15" t="n">
        <v>0.05</v>
      </c>
      <c r="J42" s="15" t="n">
        <f aca="false">SUM(G42:I42)</f>
        <v>1</v>
      </c>
    </row>
    <row r="43" customFormat="false" ht="12.8" hidden="false" customHeight="false" outlineLevel="0" collapsed="false">
      <c r="B43" s="23" t="s">
        <v>53</v>
      </c>
      <c r="D43" s="0" t="n">
        <v>30</v>
      </c>
      <c r="E43" s="0" t="n">
        <v>20</v>
      </c>
    </row>
    <row r="44" customFormat="false" ht="12.8" hidden="false" customHeight="false" outlineLevel="0" collapsed="false">
      <c r="B44" s="23" t="s">
        <v>54</v>
      </c>
      <c r="D44" s="0" t="n">
        <v>0</v>
      </c>
      <c r="E44" s="0" t="n">
        <v>10</v>
      </c>
    </row>
    <row r="45" customFormat="false" ht="12.8" hidden="false" customHeight="false" outlineLevel="0" collapsed="false">
      <c r="B45" s="23" t="s">
        <v>55</v>
      </c>
      <c r="D45" s="0" t="n">
        <v>15</v>
      </c>
      <c r="E45" s="0" t="n">
        <v>14</v>
      </c>
    </row>
    <row r="46" customFormat="false" ht="12.8" hidden="false" customHeight="false" outlineLevel="0" collapsed="false">
      <c r="B46" s="4" t="s">
        <v>56</v>
      </c>
      <c r="D46" s="0" t="n">
        <v>24</v>
      </c>
      <c r="E46" s="0" t="n">
        <v>28</v>
      </c>
    </row>
    <row r="48" customFormat="false" ht="12.8" hidden="false" customHeight="false" outlineLevel="0" collapsed="false">
      <c r="B48" s="4" t="s">
        <v>57</v>
      </c>
      <c r="C48" s="22" t="n">
        <f aca="false">SUM(C49:C53)</f>
        <v>0</v>
      </c>
      <c r="D48" s="22" t="n">
        <f aca="false">SUM(D49:D53)</f>
        <v>0</v>
      </c>
      <c r="E48" s="22" t="n">
        <f aca="false">SUM(E49:E53)</f>
        <v>17.48</v>
      </c>
    </row>
    <row r="49" customFormat="false" ht="12.8" hidden="false" customHeight="false" outlineLevel="0" collapsed="false">
      <c r="B49" s="23" t="s">
        <v>58</v>
      </c>
      <c r="E49" s="0" t="n">
        <v>2</v>
      </c>
    </row>
    <row r="50" customFormat="false" ht="12.8" hidden="false" customHeight="false" outlineLevel="0" collapsed="false">
      <c r="B50" s="23" t="s">
        <v>59</v>
      </c>
      <c r="E50" s="0" t="n">
        <v>5.3</v>
      </c>
    </row>
    <row r="51" customFormat="false" ht="12.8" hidden="false" customHeight="false" outlineLevel="0" collapsed="false">
      <c r="B51" s="23" t="s">
        <v>60</v>
      </c>
      <c r="E51" s="0" t="n">
        <v>3.4</v>
      </c>
    </row>
    <row r="52" customFormat="false" ht="12.8" hidden="false" customHeight="false" outlineLevel="0" collapsed="false">
      <c r="B52" s="23" t="s">
        <v>61</v>
      </c>
      <c r="E52" s="0" t="n">
        <v>0.78</v>
      </c>
    </row>
    <row r="53" customFormat="false" ht="12.8" hidden="false" customHeight="false" outlineLevel="0" collapsed="false">
      <c r="B53" s="23" t="s">
        <v>62</v>
      </c>
      <c r="E53" s="0" t="n">
        <v>6</v>
      </c>
    </row>
    <row r="54" customFormat="false" ht="12.8" hidden="false" customHeight="false" outlineLevel="0" collapsed="false">
      <c r="B54" s="23"/>
    </row>
    <row r="55" customFormat="false" ht="12.8" hidden="false" customHeight="false" outlineLevel="0" collapsed="false">
      <c r="B55" s="4" t="s">
        <v>63</v>
      </c>
    </row>
    <row r="56" customFormat="false" ht="12.8" hidden="false" customHeight="false" outlineLevel="0" collapsed="false">
      <c r="B56" s="23" t="s">
        <v>64</v>
      </c>
      <c r="C56" s="24"/>
      <c r="D56" s="24" t="n">
        <v>132759.8</v>
      </c>
      <c r="E56" s="24" t="n">
        <v>93954.1</v>
      </c>
    </row>
    <row r="57" customFormat="false" ht="12.8" hidden="false" customHeight="false" outlineLevel="0" collapsed="false">
      <c r="B57" s="23" t="s">
        <v>65</v>
      </c>
      <c r="C57" s="24"/>
      <c r="D57" s="24" t="n">
        <v>90015.37</v>
      </c>
      <c r="E57" s="24"/>
    </row>
    <row r="58" customFormat="false" ht="12.8" hidden="false" customHeight="false" outlineLevel="0" collapsed="false">
      <c r="B58" s="23" t="s">
        <v>66</v>
      </c>
      <c r="C58" s="24"/>
      <c r="D58" s="24" t="n">
        <v>46021.39</v>
      </c>
      <c r="E58" s="24" t="n">
        <v>39776.36</v>
      </c>
    </row>
    <row r="59" customFormat="false" ht="12.8" hidden="false" customHeight="false" outlineLevel="0" collapsed="false">
      <c r="B59" s="23"/>
    </row>
    <row r="61" customFormat="false" ht="12.8" hidden="false" customHeight="false" outlineLevel="0" collapsed="false">
      <c r="B61" s="23"/>
    </row>
    <row r="62" customFormat="false" ht="12.8" hidden="false" customHeight="false" outlineLevel="0" collapsed="false">
      <c r="B62" s="4" t="s">
        <v>67</v>
      </c>
      <c r="C62" s="22" t="n">
        <f aca="false">SUM(C63:C64)</f>
        <v>0</v>
      </c>
      <c r="D62" s="22" t="n">
        <f aca="false">SUM(D63:D64)</f>
        <v>2.83</v>
      </c>
      <c r="E62" s="22" t="n">
        <f aca="false">SUM(E63:E64)</f>
        <v>5.72</v>
      </c>
    </row>
    <row r="63" customFormat="false" ht="12.8" hidden="false" customHeight="false" outlineLevel="0" collapsed="false">
      <c r="B63" s="23" t="s">
        <v>68</v>
      </c>
      <c r="C63" s="3"/>
      <c r="D63" s="0" t="n">
        <v>2.45</v>
      </c>
      <c r="E63" s="0" t="n">
        <v>4.92</v>
      </c>
    </row>
    <row r="64" customFormat="false" ht="12.8" hidden="false" customHeight="false" outlineLevel="0" collapsed="false">
      <c r="B64" s="23" t="s">
        <v>69</v>
      </c>
      <c r="C64" s="3"/>
      <c r="D64" s="0" t="n">
        <v>0.38</v>
      </c>
      <c r="E64" s="0" t="n">
        <v>0.8</v>
      </c>
    </row>
    <row r="65" customFormat="false" ht="12.8" hidden="false" customHeight="false" outlineLevel="0" collapsed="false">
      <c r="B65" s="23" t="s">
        <v>70</v>
      </c>
      <c r="C65" s="22" t="n">
        <f aca="false">SUM(C66:C67)</f>
        <v>0</v>
      </c>
      <c r="D65" s="22" t="n">
        <f aca="false">SUM(D66:D67)</f>
        <v>2.42</v>
      </c>
      <c r="E65" s="22" t="n">
        <f aca="false">SUM(E66:E67)</f>
        <v>2.93</v>
      </c>
    </row>
    <row r="66" customFormat="false" ht="12.8" hidden="false" customHeight="false" outlineLevel="0" collapsed="false">
      <c r="B66" s="25" t="s">
        <v>71</v>
      </c>
      <c r="C66" s="3"/>
      <c r="D66" s="0" t="n">
        <v>2.15</v>
      </c>
      <c r="E66" s="0" t="n">
        <v>2.93</v>
      </c>
    </row>
    <row r="67" customFormat="false" ht="12.8" hidden="false" customHeight="false" outlineLevel="0" collapsed="false">
      <c r="B67" s="25" t="s">
        <v>72</v>
      </c>
      <c r="C67" s="3"/>
      <c r="D67" s="0" t="n">
        <v>0.27</v>
      </c>
      <c r="E67" s="0" t="n">
        <v>0</v>
      </c>
    </row>
    <row r="68" customFormat="false" ht="12.8" hidden="false" customHeight="false" outlineLevel="0" collapsed="false">
      <c r="B68" s="23" t="s">
        <v>73</v>
      </c>
      <c r="C68" s="22" t="n">
        <f aca="false">SUM(C69:C70)</f>
        <v>0</v>
      </c>
      <c r="D68" s="22" t="n">
        <f aca="false">SUM(D69:D70)</f>
        <v>0.03</v>
      </c>
      <c r="E68" s="22" t="n">
        <f aca="false">SUM(E69:E70)</f>
        <v>1.57</v>
      </c>
    </row>
    <row r="69" customFormat="false" ht="12.8" hidden="false" customHeight="false" outlineLevel="0" collapsed="false">
      <c r="B69" s="25" t="s">
        <v>74</v>
      </c>
      <c r="C69" s="3"/>
      <c r="D69" s="0" t="n">
        <v>0.03</v>
      </c>
      <c r="E69" s="0" t="n">
        <v>1.57</v>
      </c>
    </row>
    <row r="70" customFormat="false" ht="12.8" hidden="false" customHeight="false" outlineLevel="0" collapsed="false">
      <c r="B70" s="25" t="s">
        <v>75</v>
      </c>
      <c r="C70" s="3"/>
      <c r="D70" s="0" t="n">
        <v>0</v>
      </c>
      <c r="E70" s="0" t="n">
        <v>0</v>
      </c>
    </row>
    <row r="71" customFormat="false" ht="12.8" hidden="false" customHeight="false" outlineLevel="0" collapsed="false">
      <c r="B71" s="23" t="s">
        <v>76</v>
      </c>
      <c r="C71" s="22" t="n">
        <f aca="false">SUM(C72:C73)</f>
        <v>0</v>
      </c>
      <c r="D71" s="22" t="n">
        <f aca="false">SUM(D72:D73)</f>
        <v>0.33</v>
      </c>
      <c r="E71" s="22" t="n">
        <f aca="false">SUM(E72:E73)</f>
        <v>0.45</v>
      </c>
    </row>
    <row r="72" customFormat="false" ht="12.8" hidden="false" customHeight="false" outlineLevel="0" collapsed="false">
      <c r="B72" s="25" t="s">
        <v>77</v>
      </c>
      <c r="C72" s="3"/>
      <c r="D72" s="0" t="n">
        <v>0.22</v>
      </c>
      <c r="E72" s="0" t="n">
        <v>0.45</v>
      </c>
    </row>
    <row r="73" customFormat="false" ht="12.8" hidden="false" customHeight="false" outlineLevel="0" collapsed="false">
      <c r="B73" s="25" t="s">
        <v>78</v>
      </c>
      <c r="C73" s="3"/>
      <c r="D73" s="0" t="n">
        <v>0.11</v>
      </c>
      <c r="E73" s="0" t="n">
        <v>0</v>
      </c>
    </row>
    <row r="74" customFormat="false" ht="12.8" hidden="false" customHeight="false" outlineLevel="0" collapsed="false">
      <c r="B74" s="23" t="s">
        <v>79</v>
      </c>
      <c r="C74" s="22" t="n">
        <f aca="false">SUM(C75:C76)</f>
        <v>0</v>
      </c>
      <c r="D74" s="22" t="n">
        <f aca="false">SUM(D75:D76)</f>
        <v>0.05</v>
      </c>
      <c r="E74" s="22" t="n">
        <f aca="false">SUM(E75:E76)</f>
        <v>0</v>
      </c>
    </row>
    <row r="75" customFormat="false" ht="12.8" hidden="false" customHeight="false" outlineLevel="0" collapsed="false">
      <c r="B75" s="25" t="s">
        <v>80</v>
      </c>
      <c r="C75" s="3"/>
      <c r="D75" s="0" t="n">
        <v>0.05</v>
      </c>
      <c r="E75" s="0" t="n">
        <v>0</v>
      </c>
    </row>
    <row r="76" customFormat="false" ht="12.8" hidden="false" customHeight="false" outlineLevel="0" collapsed="false">
      <c r="B76" s="25" t="s">
        <v>81</v>
      </c>
      <c r="C76" s="3"/>
      <c r="D76" s="0" t="n">
        <v>0</v>
      </c>
      <c r="E76" s="0" t="n">
        <v>0</v>
      </c>
    </row>
    <row r="78" customFormat="false" ht="12.8" hidden="false" customHeight="false" outlineLevel="0" collapsed="false">
      <c r="B78" s="4" t="s">
        <v>82</v>
      </c>
      <c r="C78" s="0" t="n">
        <v>28</v>
      </c>
      <c r="D78" s="0" t="n">
        <v>17</v>
      </c>
      <c r="E78" s="0" t="n">
        <v>19</v>
      </c>
      <c r="G78" s="0" t="s">
        <v>83</v>
      </c>
    </row>
    <row r="79" customFormat="false" ht="12.8" hidden="false" customHeight="false" outlineLevel="0" collapsed="false">
      <c r="B79" s="23" t="s">
        <v>84</v>
      </c>
      <c r="C79" s="3"/>
      <c r="D79" s="0" t="n">
        <v>17</v>
      </c>
      <c r="E79" s="0" t="n">
        <v>11</v>
      </c>
    </row>
    <row r="80" customFormat="false" ht="12.8" hidden="false" customHeight="false" outlineLevel="0" collapsed="false">
      <c r="B80" s="23" t="s">
        <v>85</v>
      </c>
      <c r="C80" s="3"/>
      <c r="D80" s="0" t="n">
        <v>0</v>
      </c>
      <c r="E80" s="0" t="n">
        <v>8</v>
      </c>
    </row>
    <row r="81" customFormat="false" ht="12.8" hidden="false" customHeight="false" outlineLevel="0" collapsed="false">
      <c r="B81" s="4" t="s">
        <v>86</v>
      </c>
      <c r="C81" s="26" t="n">
        <v>14.5</v>
      </c>
      <c r="D81" s="0" t="n">
        <v>31</v>
      </c>
      <c r="E81" s="0" t="n">
        <v>16</v>
      </c>
      <c r="G81" s="0" t="s">
        <v>87</v>
      </c>
    </row>
    <row r="82" customFormat="false" ht="12.8" hidden="false" customHeight="false" outlineLevel="0" collapsed="false">
      <c r="B82" s="23" t="s">
        <v>88</v>
      </c>
      <c r="C82" s="3"/>
      <c r="D82" s="0" t="n">
        <v>31</v>
      </c>
      <c r="E82" s="0" t="n">
        <v>7</v>
      </c>
    </row>
    <row r="83" customFormat="false" ht="12.8" hidden="false" customHeight="false" outlineLevel="0" collapsed="false">
      <c r="B83" s="23" t="s">
        <v>89</v>
      </c>
      <c r="C83" s="3"/>
      <c r="D83" s="0" t="n">
        <v>0</v>
      </c>
      <c r="E83" s="0" t="n">
        <v>9</v>
      </c>
    </row>
    <row r="84" customFormat="false" ht="12.8" hidden="false" customHeight="false" outlineLevel="0" collapsed="false">
      <c r="B84" s="4" t="s">
        <v>90</v>
      </c>
      <c r="C84" s="3"/>
      <c r="D84" s="0" t="n">
        <v>2.9</v>
      </c>
      <c r="E84" s="0" t="n">
        <v>2.7</v>
      </c>
    </row>
    <row r="85" customFormat="false" ht="12.8" hidden="false" customHeight="false" outlineLevel="0" collapsed="false">
      <c r="B85" s="23" t="s">
        <v>91</v>
      </c>
      <c r="C85" s="3"/>
      <c r="D85" s="0" t="n">
        <v>2.9</v>
      </c>
      <c r="E85" s="0" t="n">
        <v>1.8</v>
      </c>
    </row>
    <row r="86" customFormat="false" ht="12.8" hidden="false" customHeight="false" outlineLevel="0" collapsed="false">
      <c r="B86" s="23" t="s">
        <v>92</v>
      </c>
      <c r="C86" s="3"/>
      <c r="D86" s="0" t="n">
        <v>0</v>
      </c>
      <c r="E86" s="0" t="n">
        <v>0.9</v>
      </c>
    </row>
    <row r="87" customFormat="false" ht="12.8" hidden="false" customHeight="false" outlineLevel="0" collapsed="false">
      <c r="B87" s="4" t="s">
        <v>93</v>
      </c>
      <c r="C87" s="3"/>
      <c r="D87" s="0" t="n">
        <v>7</v>
      </c>
      <c r="E87" s="0" t="n">
        <v>6.9</v>
      </c>
    </row>
    <row r="88" customFormat="false" ht="12.8" hidden="false" customHeight="false" outlineLevel="0" collapsed="false">
      <c r="B88" s="23" t="s">
        <v>94</v>
      </c>
      <c r="C88" s="3"/>
      <c r="D88" s="0" t="n">
        <v>7</v>
      </c>
      <c r="E88" s="0" t="n">
        <v>4.4</v>
      </c>
    </row>
    <row r="89" customFormat="false" ht="12.8" hidden="false" customHeight="false" outlineLevel="0" collapsed="false">
      <c r="B89" s="23" t="s">
        <v>95</v>
      </c>
      <c r="C89" s="3"/>
      <c r="D89" s="0" t="n">
        <v>0</v>
      </c>
      <c r="E89" s="0" t="n">
        <v>2.5</v>
      </c>
    </row>
    <row r="90" customFormat="false" ht="12.8" hidden="false" customHeight="false" outlineLevel="0" collapsed="false">
      <c r="B90" s="4" t="s">
        <v>96</v>
      </c>
      <c r="C90" s="27" t="n">
        <f aca="false">((4475+980+1267)/(C5*1000000))*1000000</f>
        <v>31.411214953271</v>
      </c>
      <c r="D90" s="0" t="n">
        <v>31</v>
      </c>
      <c r="E90" s="28" t="n">
        <v>7</v>
      </c>
      <c r="G90" s="0" t="s">
        <v>97</v>
      </c>
    </row>
    <row r="91" customFormat="false" ht="12.8" hidden="false" customHeight="false" outlineLevel="0" collapsed="false">
      <c r="B91" s="23" t="s">
        <v>98</v>
      </c>
      <c r="C91" s="3"/>
      <c r="D91" s="0" t="n">
        <v>31</v>
      </c>
      <c r="E91" s="0" t="n">
        <v>7</v>
      </c>
      <c r="G91" s="0" t="s">
        <v>99</v>
      </c>
    </row>
    <row r="92" customFormat="false" ht="12.8" hidden="false" customHeight="false" outlineLevel="0" collapsed="false">
      <c r="B92" s="23" t="s">
        <v>100</v>
      </c>
      <c r="C92" s="3"/>
      <c r="D92" s="0" t="n">
        <v>0</v>
      </c>
      <c r="E92" s="3"/>
    </row>
    <row r="93" customFormat="false" ht="12.8" hidden="false" customHeight="false" outlineLevel="0" collapsed="false">
      <c r="B93" s="4" t="s">
        <v>101</v>
      </c>
      <c r="C93" s="3" t="n">
        <v>2</v>
      </c>
      <c r="D93" s="0" t="n">
        <v>10.3</v>
      </c>
      <c r="G93" s="0" t="s">
        <v>102</v>
      </c>
    </row>
    <row r="94" customFormat="false" ht="12.8" hidden="false" customHeight="false" outlineLevel="0" collapsed="false">
      <c r="B94" s="23" t="s">
        <v>103</v>
      </c>
      <c r="C94" s="3"/>
      <c r="D94" s="0" t="n">
        <v>10.3</v>
      </c>
      <c r="E94" s="0" t="n">
        <v>11.3</v>
      </c>
    </row>
    <row r="95" customFormat="false" ht="12.8" hidden="false" customHeight="false" outlineLevel="0" collapsed="false">
      <c r="B95" s="23" t="s">
        <v>104</v>
      </c>
      <c r="C95" s="3"/>
      <c r="D95" s="0" t="n">
        <v>0</v>
      </c>
      <c r="E95" s="3"/>
    </row>
    <row r="97" customFormat="false" ht="12.8" hidden="false" customHeight="false" outlineLevel="0" collapsed="false">
      <c r="B97" s="0" t="s">
        <v>105</v>
      </c>
    </row>
    <row r="98" customFormat="false" ht="12.8" hidden="false" customHeight="false" outlineLevel="0" collapsed="false">
      <c r="B98" s="4" t="s">
        <v>4</v>
      </c>
    </row>
    <row r="99" customFormat="false" ht="12.8" hidden="false" customHeight="false" outlineLevel="0" collapsed="false">
      <c r="B99" s="23" t="s">
        <v>106</v>
      </c>
      <c r="C99" s="0" t="n">
        <v>5017</v>
      </c>
      <c r="D99" s="0" t="n">
        <v>14341</v>
      </c>
      <c r="E99" s="0" t="n">
        <v>16151</v>
      </c>
    </row>
    <row r="100" customFormat="false" ht="12.8" hidden="false" customHeight="false" outlineLevel="0" collapsed="false">
      <c r="B100" s="23" t="s">
        <v>107</v>
      </c>
      <c r="D100" s="0" t="n">
        <v>13734</v>
      </c>
      <c r="E100" s="0" t="n">
        <v>14091</v>
      </c>
    </row>
    <row r="101" customFormat="false" ht="12.8" hidden="false" customHeight="false" outlineLevel="0" collapsed="false">
      <c r="B101" s="23" t="s">
        <v>108</v>
      </c>
      <c r="C101" s="15"/>
      <c r="D101" s="15"/>
      <c r="E101" s="15" t="n">
        <v>0.73</v>
      </c>
    </row>
    <row r="102" customFormat="false" ht="12.8" hidden="false" customHeight="false" outlineLevel="0" collapsed="false">
      <c r="B102" s="4" t="s">
        <v>6</v>
      </c>
    </row>
    <row r="103" customFormat="false" ht="12.8" hidden="false" customHeight="false" outlineLevel="0" collapsed="false">
      <c r="B103" s="23" t="s">
        <v>109</v>
      </c>
      <c r="C103" s="0" t="n">
        <v>1.4</v>
      </c>
      <c r="D103" s="0" t="n">
        <v>4.2</v>
      </c>
      <c r="E103" s="0" t="n">
        <v>5</v>
      </c>
    </row>
    <row r="104" customFormat="false" ht="12.8" hidden="false" customHeight="false" outlineLevel="0" collapsed="false">
      <c r="B104" s="23" t="s">
        <v>110</v>
      </c>
      <c r="D104" s="0" t="n">
        <v>0.9</v>
      </c>
      <c r="E104" s="0" t="n">
        <v>1.2</v>
      </c>
    </row>
    <row r="106" customFormat="false" ht="12.8" hidden="false" customHeight="false" outlineLevel="0" collapsed="false">
      <c r="B106" s="0" t="s">
        <v>111</v>
      </c>
    </row>
    <row r="107" customFormat="false" ht="12.8" hidden="false" customHeight="false" outlineLevel="0" collapsed="false">
      <c r="B107" s="4" t="s">
        <v>112</v>
      </c>
      <c r="D107" s="0" t="n">
        <v>3485</v>
      </c>
      <c r="E107" s="0" t="n">
        <v>10953</v>
      </c>
    </row>
    <row r="108" customFormat="false" ht="12.8" hidden="false" customHeight="false" outlineLevel="0" collapsed="false">
      <c r="B108" s="23" t="s">
        <v>113</v>
      </c>
      <c r="D108" s="0" t="n">
        <v>3453</v>
      </c>
      <c r="E108" s="0" t="n">
        <v>10027</v>
      </c>
    </row>
    <row r="109" customFormat="false" ht="12.8" hidden="false" customHeight="false" outlineLevel="0" collapsed="false">
      <c r="B109" s="23" t="s">
        <v>114</v>
      </c>
      <c r="E109" s="0" t="n">
        <v>10312</v>
      </c>
    </row>
    <row r="110" customFormat="false" ht="12.8" hidden="false" customHeight="false" outlineLevel="0" collapsed="false">
      <c r="B110" s="4" t="s">
        <v>115</v>
      </c>
      <c r="D110" s="0" t="n">
        <v>1809</v>
      </c>
      <c r="E110" s="0" t="n">
        <v>8095</v>
      </c>
    </row>
    <row r="111" customFormat="false" ht="12.8" hidden="false" customHeight="false" outlineLevel="0" collapsed="false">
      <c r="B111" s="23" t="s">
        <v>116</v>
      </c>
      <c r="D111" s="0" t="n">
        <v>1017</v>
      </c>
      <c r="E111" s="0" t="n">
        <v>5951</v>
      </c>
    </row>
    <row r="112" customFormat="false" ht="12.8" hidden="false" customHeight="false" outlineLevel="0" collapsed="false">
      <c r="B112" s="23" t="s">
        <v>117</v>
      </c>
      <c r="E112" s="0" t="n">
        <v>10905</v>
      </c>
    </row>
    <row r="113" customFormat="false" ht="12.8" hidden="false" customHeight="false" outlineLevel="0" collapsed="false">
      <c r="B113" s="4" t="s">
        <v>118</v>
      </c>
      <c r="D113" s="0" t="n">
        <v>334</v>
      </c>
      <c r="E113" s="0" t="n">
        <v>3890</v>
      </c>
    </row>
    <row r="114" customFormat="false" ht="12.8" hidden="false" customHeight="false" outlineLevel="0" collapsed="false">
      <c r="B114" s="23" t="s">
        <v>119</v>
      </c>
      <c r="D114" s="0" t="n">
        <v>311</v>
      </c>
      <c r="E114" s="0" t="n">
        <v>3385</v>
      </c>
    </row>
    <row r="115" customFormat="false" ht="12.8" hidden="false" customHeight="false" outlineLevel="0" collapsed="false">
      <c r="B115" s="23" t="s">
        <v>120</v>
      </c>
      <c r="E115" s="0" t="n">
        <v>5511</v>
      </c>
    </row>
    <row r="116" customFormat="false" ht="12.8" hidden="false" customHeight="false" outlineLevel="0" collapsed="false">
      <c r="B116" s="4" t="s">
        <v>121</v>
      </c>
    </row>
    <row r="117" customFormat="false" ht="12.8" hidden="false" customHeight="false" outlineLevel="0" collapsed="false">
      <c r="B117" s="23" t="s">
        <v>122</v>
      </c>
    </row>
    <row r="118" customFormat="false" ht="12.8" hidden="false" customHeight="false" outlineLevel="0" collapsed="false">
      <c r="B118" s="23" t="s">
        <v>123</v>
      </c>
    </row>
    <row r="119" customFormat="false" ht="12.8" hidden="false" customHeight="false" outlineLevel="0" collapsed="false">
      <c r="B119" s="4" t="s">
        <v>124</v>
      </c>
    </row>
    <row r="120" customFormat="false" ht="12.8" hidden="false" customHeight="false" outlineLevel="0" collapsed="false">
      <c r="B120" s="23" t="s">
        <v>125</v>
      </c>
    </row>
    <row r="121" customFormat="false" ht="12.8" hidden="false" customHeight="false" outlineLevel="0" collapsed="false">
      <c r="B121" s="23" t="s">
        <v>126</v>
      </c>
    </row>
    <row r="122" customFormat="false" ht="12.8" hidden="false" customHeight="false" outlineLevel="0" collapsed="false">
      <c r="B122" s="4" t="s">
        <v>127</v>
      </c>
    </row>
    <row r="123" customFormat="false" ht="12.8" hidden="false" customHeight="false" outlineLevel="0" collapsed="false">
      <c r="B123" s="23" t="s">
        <v>128</v>
      </c>
    </row>
    <row r="124" customFormat="false" ht="12.8" hidden="false" customHeight="false" outlineLevel="0" collapsed="false">
      <c r="B124" s="23" t="s">
        <v>129</v>
      </c>
    </row>
    <row r="126" customFormat="false" ht="12.8" hidden="false" customHeight="false" outlineLevel="0" collapsed="false">
      <c r="B126" s="0" t="s">
        <v>130</v>
      </c>
    </row>
    <row r="127" customFormat="false" ht="12.8" hidden="false" customHeight="false" outlineLevel="0" collapsed="false">
      <c r="B127" s="4" t="s">
        <v>131</v>
      </c>
      <c r="C127" s="15" t="n">
        <v>0.1</v>
      </c>
      <c r="D127" s="15" t="n">
        <v>0.23</v>
      </c>
      <c r="E127" s="15" t="n">
        <v>0.215</v>
      </c>
    </row>
    <row r="128" customFormat="false" ht="12.8" hidden="false" customHeight="false" outlineLevel="0" collapsed="false">
      <c r="B128" s="4" t="s">
        <v>132</v>
      </c>
      <c r="C128" s="15" t="n">
        <v>0.022</v>
      </c>
      <c r="D128" s="15" t="n">
        <v>0.057</v>
      </c>
      <c r="E128" s="15" t="n">
        <v>0.063</v>
      </c>
    </row>
    <row r="130" customFormat="false" ht="12.8" hidden="false" customHeight="false" outlineLevel="0" collapsed="false">
      <c r="B130" s="0" t="s">
        <v>133</v>
      </c>
      <c r="C130" s="12" t="s">
        <v>134</v>
      </c>
    </row>
    <row r="131" customFormat="false" ht="12.8" hidden="false" customHeight="false" outlineLevel="0" collapsed="false">
      <c r="B131" s="4" t="s">
        <v>135</v>
      </c>
      <c r="C131" s="29"/>
      <c r="D131" s="29" t="n">
        <f aca="false">8173000000/1000000</f>
        <v>8173</v>
      </c>
      <c r="E131" s="29" t="n">
        <f aca="false">210130321043/1000000</f>
        <v>210130.321043</v>
      </c>
    </row>
    <row r="132" customFormat="false" ht="12.8" hidden="false" customHeight="false" outlineLevel="0" collapsed="false">
      <c r="B132" s="4" t="s">
        <v>136</v>
      </c>
      <c r="C132" s="29"/>
      <c r="D132" s="29" t="n">
        <f aca="false">37804000000/1000000</f>
        <v>37804</v>
      </c>
      <c r="E132" s="29" t="n">
        <f aca="false">488878484132/1000000</f>
        <v>488878.484132</v>
      </c>
    </row>
    <row r="133" customFormat="false" ht="12.8" hidden="false" customHeight="false" outlineLevel="0" collapsed="false">
      <c r="B133" s="4" t="s">
        <v>137</v>
      </c>
      <c r="C133" s="29"/>
      <c r="D133" s="29"/>
      <c r="E133" s="29" t="n">
        <f aca="false">31171080000/1000000</f>
        <v>31171.08</v>
      </c>
    </row>
    <row r="134" customFormat="false" ht="12.8" hidden="false" customHeight="false" outlineLevel="0" collapsed="false">
      <c r="B134" s="4" t="s">
        <v>138</v>
      </c>
      <c r="C134" s="29"/>
      <c r="D134" s="29"/>
      <c r="E134" s="29" t="n">
        <f aca="false">7620343058/1000000</f>
        <v>7620.343058</v>
      </c>
    </row>
    <row r="135" customFormat="false" ht="12.8" hidden="false" customHeight="false" outlineLevel="0" collapsed="false">
      <c r="B135" s="4" t="s">
        <v>139</v>
      </c>
      <c r="C135" s="29"/>
      <c r="D135" s="29"/>
      <c r="E135" s="29" t="n">
        <f aca="false">11506819774/1000000</f>
        <v>11506.819774</v>
      </c>
    </row>
    <row r="137" customFormat="false" ht="12.8" hidden="false" customHeight="false" outlineLevel="0" collapsed="false">
      <c r="B137" s="0" t="s">
        <v>140</v>
      </c>
      <c r="C137" s="0" t="n">
        <v>56</v>
      </c>
      <c r="D137" s="0" t="n">
        <v>10</v>
      </c>
      <c r="E137" s="0" t="n">
        <v>16</v>
      </c>
    </row>
  </sheetData>
  <mergeCells count="1">
    <mergeCell ref="G31:I3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K14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C30" activeCellId="0" sqref="C30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5.28"/>
    <col collapsed="false" customWidth="true" hidden="false" outlineLevel="0" max="2" min="2" style="0" width="61.15"/>
    <col collapsed="false" customWidth="true" hidden="false" outlineLevel="0" max="3" min="3" style="0" width="12.23"/>
    <col collapsed="false" customWidth="true" hidden="false" outlineLevel="0" max="4" min="4" style="0" width="16.48"/>
    <col collapsed="false" customWidth="true" hidden="false" outlineLevel="0" max="5" min="5" style="0" width="17.66"/>
    <col collapsed="false" customWidth="true" hidden="false" outlineLevel="0" max="6" min="6" style="0" width="3.67"/>
    <col collapsed="false" customWidth="true" hidden="false" outlineLevel="0" max="7" min="7" style="0" width="16.67"/>
    <col collapsed="false" customWidth="true" hidden="false" outlineLevel="0" max="8" min="8" style="0" width="15.18"/>
    <col collapsed="false" customWidth="true" hidden="false" outlineLevel="0" max="9" min="9" style="0" width="14.81"/>
    <col collapsed="false" customWidth="true" hidden="false" outlineLevel="0" max="10" min="10" style="0" width="5.75"/>
    <col collapsed="false" customWidth="true" hidden="false" outlineLevel="0" max="11" min="11" style="0" width="13.69"/>
  </cols>
  <sheetData>
    <row r="1" customFormat="false" ht="12.8" hidden="false" customHeight="false" outlineLevel="0" collapsed="false">
      <c r="C1" s="0" t="n">
        <v>2019</v>
      </c>
      <c r="D1" s="0" t="n">
        <v>2020</v>
      </c>
      <c r="E1" s="0" t="n">
        <v>2021</v>
      </c>
    </row>
    <row r="2" customFormat="false" ht="12.8" hidden="false" customHeight="false" outlineLevel="0" collapsed="false">
      <c r="B2" s="0" t="s">
        <v>0</v>
      </c>
      <c r="C2" s="0" t="s">
        <v>1</v>
      </c>
      <c r="D2" s="0" t="s">
        <v>2</v>
      </c>
      <c r="E2" s="0" t="s">
        <v>3</v>
      </c>
      <c r="G2" s="30"/>
      <c r="K2" s="1" t="s">
        <v>4</v>
      </c>
    </row>
    <row r="3" customFormat="false" ht="12.8" hidden="false" customHeight="false" outlineLevel="0" collapsed="false">
      <c r="B3" s="0" t="s">
        <v>141</v>
      </c>
      <c r="C3" s="2" t="n">
        <f aca="false">1873081220000/1000000</f>
        <v>1873081.22</v>
      </c>
      <c r="D3" s="2" t="n">
        <f aca="false">271825240000/1000000</f>
        <v>271825.24</v>
      </c>
      <c r="E3" s="2" t="n">
        <f aca="false">2937472760000/1000000</f>
        <v>2937472.76</v>
      </c>
      <c r="G3" s="31"/>
      <c r="K3" s="3" t="s">
        <v>6</v>
      </c>
    </row>
    <row r="4" customFormat="false" ht="12.8" hidden="false" customHeight="false" outlineLevel="0" collapsed="false">
      <c r="B4" s="4" t="s">
        <v>142</v>
      </c>
      <c r="C4" s="5" t="n">
        <v>2.28</v>
      </c>
      <c r="D4" s="6" t="n">
        <v>0.823</v>
      </c>
      <c r="E4" s="7" t="n">
        <v>0.719</v>
      </c>
      <c r="G4" s="31"/>
      <c r="K4" s="3"/>
    </row>
    <row r="5" customFormat="false" ht="12.8" hidden="false" customHeight="false" outlineLevel="0" collapsed="false">
      <c r="B5" s="4" t="s">
        <v>8</v>
      </c>
      <c r="C5" s="8" t="n">
        <f aca="false">214000000/1000000</f>
        <v>214</v>
      </c>
      <c r="D5" s="8" t="n">
        <f aca="false">5542000/1000000</f>
        <v>5.542</v>
      </c>
      <c r="E5" s="8" t="n">
        <f aca="false">67500000/1000000</f>
        <v>67.5</v>
      </c>
      <c r="K5" s="9" t="s">
        <v>9</v>
      </c>
    </row>
    <row r="6" customFormat="false" ht="12.8" hidden="false" customHeight="false" outlineLevel="0" collapsed="false">
      <c r="B6" s="4" t="s">
        <v>143</v>
      </c>
      <c r="C6" s="10" t="n">
        <f aca="false">C3/C5</f>
        <v>8752.71598130841</v>
      </c>
      <c r="D6" s="10" t="n">
        <f aca="false">D3/D5</f>
        <v>49048.2208588957</v>
      </c>
      <c r="E6" s="10" t="n">
        <f aca="false">E3/E5</f>
        <v>43518.114962963</v>
      </c>
    </row>
    <row r="7" customFormat="false" ht="12.8" hidden="false" customHeight="false" outlineLevel="0" collapsed="false">
      <c r="B7" s="4" t="s">
        <v>14</v>
      </c>
      <c r="C7" s="11" t="n">
        <v>85000000</v>
      </c>
      <c r="D7" s="11" t="n">
        <v>338440</v>
      </c>
      <c r="E7" s="11" t="n">
        <v>543940</v>
      </c>
      <c r="G7" s="12"/>
    </row>
    <row r="8" customFormat="false" ht="12.8" hidden="false" customHeight="false" outlineLevel="0" collapsed="false">
      <c r="B8" s="0" t="s">
        <v>16</v>
      </c>
      <c r="C8" s="12" t="n">
        <v>0.096</v>
      </c>
      <c r="D8" s="12" t="n">
        <v>0.096</v>
      </c>
      <c r="E8" s="12" t="n">
        <v>0.124</v>
      </c>
      <c r="G8" s="0" t="s">
        <v>17</v>
      </c>
    </row>
    <row r="9" customFormat="false" ht="12.8" hidden="false" customHeight="false" outlineLevel="0" collapsed="false">
      <c r="B9" s="0" t="s">
        <v>18</v>
      </c>
      <c r="C9" s="10" t="n">
        <f aca="false">C8*C3*C4</f>
        <v>409980.0174336</v>
      </c>
      <c r="D9" s="10" t="n">
        <f aca="false">D8*D3*D4</f>
        <v>21476.36856192</v>
      </c>
      <c r="E9" s="10" t="n">
        <f aca="false">E8*E3*E4</f>
        <v>261893.32139056</v>
      </c>
      <c r="G9" s="31"/>
      <c r="H9" s="30"/>
    </row>
    <row r="10" customFormat="false" ht="12.8" hidden="false" customHeight="false" outlineLevel="0" collapsed="false">
      <c r="B10" s="13" t="s">
        <v>144</v>
      </c>
      <c r="C10" s="12" t="n">
        <f aca="false">C11/C9</f>
        <v>0.3389</v>
      </c>
      <c r="D10" s="12" t="n">
        <f aca="false">D11/D9</f>
        <v>0.283216829766824</v>
      </c>
      <c r="E10" s="12" t="n">
        <f aca="false">E11/E9</f>
        <v>0.383489121279555</v>
      </c>
    </row>
    <row r="11" customFormat="false" ht="12.8" hidden="false" customHeight="false" outlineLevel="0" collapsed="false">
      <c r="B11" s="13" t="s">
        <v>145</v>
      </c>
      <c r="C11" s="10" t="n">
        <f aca="false">base!$C$12+$I$15*base!C16+I17*base!C18+I25*base!C26+I28*C28</f>
        <v>138942.227908247</v>
      </c>
      <c r="D11" s="10" t="n">
        <f aca="false">base!$D$12+I15*base!D16+I17*base!D18+I25*base!D26+I28*D28</f>
        <v>6082.46901901086</v>
      </c>
      <c r="E11" s="10" t="n">
        <f aca="false">base!$E$12+I15*base!E16+I17*base!E18+I25*base!E26+I28*E28</f>
        <v>100433.23968905</v>
      </c>
      <c r="G11" s="31"/>
      <c r="H11" s="30"/>
      <c r="K11" s="0" t="s">
        <v>146</v>
      </c>
    </row>
    <row r="12" customFormat="false" ht="12.8" hidden="false" customHeight="false" outlineLevel="0" collapsed="false">
      <c r="B12" s="14" t="s">
        <v>147</v>
      </c>
      <c r="C12" s="12" t="n">
        <f aca="false">C13/C9</f>
        <v>0.5031</v>
      </c>
      <c r="D12" s="12" t="n">
        <f aca="false">D13/D9</f>
        <v>0.470419094219092</v>
      </c>
      <c r="E12" s="12" t="n">
        <f aca="false">E13/E9</f>
        <v>0.355296891794158</v>
      </c>
      <c r="K12" s="0" t="s">
        <v>148</v>
      </c>
    </row>
    <row r="13" customFormat="false" ht="12.8" hidden="false" customHeight="false" outlineLevel="0" collapsed="false">
      <c r="B13" s="14" t="s">
        <v>149</v>
      </c>
      <c r="C13" s="10" t="n">
        <f aca="false">base!$C$14+$H$15*base!C16+H17*base!C18+H25*base!C26+H28*C28</f>
        <v>206260.946770844</v>
      </c>
      <c r="D13" s="10" t="n">
        <f aca="false">base!$D$14+H15*base!D16+H17*base!D18+H25*base!D26+H28*D28</f>
        <v>10102.8938460138</v>
      </c>
      <c r="E13" s="10" t="n">
        <f aca="false">base!$E$14+H15*base!E16+H17*base!E18+H25*base!E26+H28*E28</f>
        <v>93049.8830717146</v>
      </c>
      <c r="K13" s="0" t="s">
        <v>150</v>
      </c>
    </row>
    <row r="14" customFormat="false" ht="12.8" hidden="false" customHeight="false" outlineLevel="0" collapsed="false">
      <c r="B14" s="32" t="s">
        <v>24</v>
      </c>
      <c r="C14" s="12"/>
      <c r="D14" s="12"/>
      <c r="E14" s="12"/>
      <c r="G14" s="15"/>
      <c r="H14" s="3" t="s">
        <v>6</v>
      </c>
      <c r="I14" s="1" t="s">
        <v>4</v>
      </c>
      <c r="K14" s="0" t="s">
        <v>23</v>
      </c>
    </row>
    <row r="15" customFormat="false" ht="12.8" hidden="false" customHeight="false" outlineLevel="0" collapsed="false">
      <c r="B15" s="33" t="s">
        <v>151</v>
      </c>
      <c r="C15" s="10"/>
      <c r="D15" s="10"/>
      <c r="E15" s="10"/>
      <c r="H15" s="15" t="n">
        <v>0.7</v>
      </c>
      <c r="I15" s="15" t="n">
        <v>0.3</v>
      </c>
      <c r="J15" s="15" t="n">
        <f aca="false">SUM(G14:I14)</f>
        <v>0</v>
      </c>
      <c r="K15" s="0" t="s">
        <v>25</v>
      </c>
    </row>
    <row r="16" customFormat="false" ht="12.8" hidden="false" customHeight="false" outlineLevel="0" collapsed="false">
      <c r="B16" s="32" t="s">
        <v>28</v>
      </c>
      <c r="C16" s="12"/>
      <c r="D16" s="12"/>
      <c r="E16" s="12"/>
      <c r="G16" s="9" t="s">
        <v>27</v>
      </c>
      <c r="H16" s="3" t="s">
        <v>6</v>
      </c>
      <c r="I16" s="1" t="s">
        <v>4</v>
      </c>
    </row>
    <row r="17" customFormat="false" ht="12.8" hidden="false" customHeight="false" outlineLevel="0" collapsed="false">
      <c r="B17" s="33" t="s">
        <v>152</v>
      </c>
      <c r="C17" s="10"/>
      <c r="D17" s="10"/>
      <c r="E17" s="10"/>
      <c r="G17" s="15" t="n">
        <v>0.2</v>
      </c>
      <c r="H17" s="15" t="n">
        <v>0.6</v>
      </c>
      <c r="I17" s="15" t="n">
        <v>0.2</v>
      </c>
      <c r="J17" s="15" t="n">
        <f aca="false">SUM(G17:I17)</f>
        <v>1</v>
      </c>
      <c r="K17" s="0" t="s">
        <v>29</v>
      </c>
    </row>
    <row r="18" customFormat="false" ht="12.8" hidden="false" customHeight="false" outlineLevel="0" collapsed="false">
      <c r="B18" s="17" t="s">
        <v>153</v>
      </c>
      <c r="C18" s="12" t="n">
        <f aca="false">C19/C9</f>
        <v>0.145</v>
      </c>
      <c r="D18" s="12" t="n">
        <f aca="false">D19/D9</f>
        <v>0.249959547109546</v>
      </c>
      <c r="E18" s="12" t="n">
        <f aca="false">E19/E9</f>
        <v>0.261198445897079</v>
      </c>
    </row>
    <row r="19" customFormat="false" ht="12.8" hidden="false" customHeight="false" outlineLevel="0" collapsed="false">
      <c r="B19" s="17" t="s">
        <v>154</v>
      </c>
      <c r="C19" s="10" t="n">
        <f aca="false">base!$C$22+G20*base!C20+G17*base!C18+G25*base!C26+G28*C28</f>
        <v>59447.102527872</v>
      </c>
      <c r="D19" s="10" t="n">
        <f aca="false">base!$D$22+G20*base!D20+G17*base!D18+G25*base!D26+G28*D28</f>
        <v>5368.22335929522</v>
      </c>
      <c r="E19" s="10" t="n">
        <f aca="false">base!$E$22+G20*base!E20+G17*base!E18+G25*base!E26+G28*E28</f>
        <v>68406.1285380386</v>
      </c>
      <c r="G19" s="9" t="s">
        <v>27</v>
      </c>
    </row>
    <row r="20" customFormat="false" ht="12.8" hidden="false" customHeight="false" outlineLevel="0" collapsed="false">
      <c r="B20" s="34" t="s">
        <v>155</v>
      </c>
      <c r="C20" s="12"/>
      <c r="D20" s="12"/>
      <c r="E20" s="12"/>
      <c r="G20" s="15" t="n">
        <v>1</v>
      </c>
    </row>
    <row r="21" customFormat="false" ht="12.8" hidden="false" customHeight="false" outlineLevel="0" collapsed="false">
      <c r="B21" s="34" t="s">
        <v>156</v>
      </c>
      <c r="C21" s="10"/>
      <c r="D21" s="10"/>
      <c r="E21" s="10"/>
    </row>
    <row r="23" customFormat="false" ht="12.8" hidden="false" customHeight="false" outlineLevel="0" collapsed="false">
      <c r="B23" s="4" t="s">
        <v>35</v>
      </c>
      <c r="C23" s="12"/>
      <c r="D23" s="12"/>
      <c r="E23" s="12"/>
    </row>
    <row r="24" customFormat="false" ht="12.8" hidden="false" customHeight="false" outlineLevel="0" collapsed="false">
      <c r="B24" s="4" t="s">
        <v>37</v>
      </c>
      <c r="C24" s="12"/>
      <c r="D24" s="12"/>
      <c r="E24" s="12"/>
      <c r="G24" s="9" t="s">
        <v>27</v>
      </c>
      <c r="H24" s="3" t="s">
        <v>6</v>
      </c>
      <c r="I24" s="1" t="s">
        <v>4</v>
      </c>
    </row>
    <row r="25" customFormat="false" ht="12.8" hidden="false" customHeight="false" outlineLevel="0" collapsed="false">
      <c r="B25" s="4" t="s">
        <v>38</v>
      </c>
      <c r="C25" s="10"/>
      <c r="D25" s="10"/>
      <c r="E25" s="10"/>
      <c r="G25" s="15" t="n">
        <v>0.4</v>
      </c>
      <c r="H25" s="15" t="n">
        <v>0.2</v>
      </c>
      <c r="I25" s="15" t="n">
        <v>0.4</v>
      </c>
      <c r="J25" s="15" t="n">
        <f aca="false">SUM(G25:I25)</f>
        <v>1</v>
      </c>
      <c r="K25" s="0" t="s">
        <v>36</v>
      </c>
    </row>
    <row r="26" customFormat="false" ht="12.8" hidden="false" customHeight="false" outlineLevel="0" collapsed="false">
      <c r="B26" s="4"/>
    </row>
    <row r="27" customFormat="false" ht="12.8" hidden="false" customHeight="false" outlineLevel="0" collapsed="false">
      <c r="B27" s="35" t="s">
        <v>157</v>
      </c>
      <c r="C27" s="12" t="n">
        <f aca="false">1-C36</f>
        <v>0.013</v>
      </c>
      <c r="D27" s="12" t="n">
        <f aca="false">1-D36</f>
        <v>-0.00359547109546221</v>
      </c>
      <c r="E27" s="12" t="n">
        <f aca="false">1-E36</f>
        <v>1.55410292074221E-005</v>
      </c>
      <c r="G27" s="9" t="s">
        <v>27</v>
      </c>
      <c r="H27" s="3" t="s">
        <v>6</v>
      </c>
      <c r="I27" s="1" t="s">
        <v>4</v>
      </c>
    </row>
    <row r="28" customFormat="false" ht="12.8" hidden="false" customHeight="false" outlineLevel="0" collapsed="false">
      <c r="B28" s="35"/>
      <c r="C28" s="10"/>
      <c r="D28" s="10" t="n">
        <v>807.414193505157</v>
      </c>
      <c r="E28" s="10" t="n">
        <v>19376.0356911445</v>
      </c>
      <c r="G28" s="15" t="n">
        <v>0.1</v>
      </c>
      <c r="H28" s="15" t="n">
        <v>0.2</v>
      </c>
      <c r="I28" s="15" t="n">
        <v>0.7</v>
      </c>
    </row>
    <row r="30" customFormat="false" ht="12.8" hidden="false" customHeight="false" outlineLevel="0" collapsed="false">
      <c r="B30" s="9" t="s">
        <v>158</v>
      </c>
      <c r="C30" s="36" t="n">
        <f aca="false">C19/C5</f>
        <v>277.790198728374</v>
      </c>
      <c r="D30" s="36" t="n">
        <f aca="false">D19/D5</f>
        <v>968.643695289646</v>
      </c>
      <c r="E30" s="36" t="n">
        <f aca="false">E19/E5</f>
        <v>1013.42412648946</v>
      </c>
    </row>
    <row r="31" customFormat="false" ht="12.8" hidden="false" customHeight="false" outlineLevel="0" collapsed="false">
      <c r="B31" s="3" t="s">
        <v>159</v>
      </c>
      <c r="C31" s="10" t="n">
        <f aca="false">C13/C5</f>
        <v>963.836199863758</v>
      </c>
      <c r="D31" s="10" t="n">
        <f aca="false">D13/D5</f>
        <v>1822.96893648751</v>
      </c>
      <c r="E31" s="10" t="n">
        <f aca="false">E13/E5</f>
        <v>1378.51678624762</v>
      </c>
    </row>
    <row r="32" customFormat="false" ht="12.8" hidden="false" customHeight="false" outlineLevel="0" collapsed="false">
      <c r="B32" s="1" t="s">
        <v>160</v>
      </c>
      <c r="C32" s="37" t="n">
        <f aca="false">C11/C5</f>
        <v>649.262747234799</v>
      </c>
      <c r="D32" s="37" t="n">
        <f aca="false">D11/D5</f>
        <v>1097.52237802433</v>
      </c>
      <c r="E32" s="37" t="n">
        <f aca="false">E11/E5</f>
        <v>1487.89984724518</v>
      </c>
    </row>
    <row r="33" customFormat="false" ht="12.8" hidden="false" customHeight="false" outlineLevel="0" collapsed="false">
      <c r="C33" s="10" t="n">
        <f aca="false">SUM(C30:C32)</f>
        <v>1890.88914582693</v>
      </c>
      <c r="D33" s="10" t="n">
        <f aca="false">SUM(D30:D32)</f>
        <v>3889.13500980149</v>
      </c>
      <c r="E33" s="10" t="n">
        <f aca="false">SUM(E30:E32)</f>
        <v>3879.84075998227</v>
      </c>
      <c r="G33" s="0" t="s">
        <v>161</v>
      </c>
      <c r="H33" s="38"/>
    </row>
    <row r="34" customFormat="false" ht="12.8" hidden="false" customHeight="false" outlineLevel="0" collapsed="false">
      <c r="B34" s="0" t="s">
        <v>162</v>
      </c>
      <c r="C34" s="39" t="n">
        <v>1497.7</v>
      </c>
      <c r="D34" s="39" t="n">
        <v>4605</v>
      </c>
      <c r="E34" s="39" t="n">
        <v>6115</v>
      </c>
      <c r="G34" s="20" t="n">
        <f aca="false">C33*C5*1000000</f>
        <v>404650277206.963</v>
      </c>
      <c r="H34" s="40" t="s">
        <v>163</v>
      </c>
    </row>
    <row r="35" customFormat="false" ht="12.8" hidden="false" customHeight="false" outlineLevel="0" collapsed="false">
      <c r="B35" s="12" t="n">
        <v>0.105</v>
      </c>
      <c r="C35" s="2" t="n">
        <f aca="false">C9/C5</f>
        <v>1915.79447398878</v>
      </c>
      <c r="D35" s="2"/>
      <c r="E35" s="2"/>
      <c r="G35" s="20" t="n">
        <f aca="false">C34*C5*1000000</f>
        <v>320507800000</v>
      </c>
      <c r="H35" s="41" t="n">
        <v>2.25</v>
      </c>
      <c r="I35" s="2" t="n">
        <v>1497.7</v>
      </c>
    </row>
    <row r="36" customFormat="false" ht="12.8" hidden="false" customHeight="false" outlineLevel="0" collapsed="false">
      <c r="B36" s="0" t="s">
        <v>39</v>
      </c>
      <c r="C36" s="12" t="n">
        <f aca="false">SUM(C10,C12,C18)</f>
        <v>0.987</v>
      </c>
      <c r="D36" s="12" t="n">
        <f aca="false">SUM(D10,D12,D18)</f>
        <v>1.00359547109546</v>
      </c>
      <c r="E36" s="12" t="n">
        <f aca="false">SUM(E10,E12,E18)</f>
        <v>0.999984458970792</v>
      </c>
    </row>
    <row r="39" customFormat="false" ht="12.8" hidden="false" customHeight="false" outlineLevel="0" collapsed="false">
      <c r="B39" s="0" t="s">
        <v>40</v>
      </c>
      <c r="C39" s="3" t="s">
        <v>41</v>
      </c>
      <c r="G39" s="18" t="s">
        <v>42</v>
      </c>
      <c r="H39" s="18"/>
      <c r="I39" s="18"/>
    </row>
    <row r="40" customFormat="false" ht="12.8" hidden="false" customHeight="false" outlineLevel="0" collapsed="false">
      <c r="B40" s="4" t="s">
        <v>43</v>
      </c>
      <c r="C40" s="19" t="n">
        <f aca="false">(3402900/(C5*1000000))*1000</f>
        <v>15.9014018691589</v>
      </c>
      <c r="D40" s="0" t="n">
        <v>80</v>
      </c>
      <c r="E40" s="0" t="n">
        <v>59</v>
      </c>
      <c r="G40" s="9" t="s">
        <v>9</v>
      </c>
      <c r="H40" s="3" t="s">
        <v>6</v>
      </c>
      <c r="I40" s="1" t="s">
        <v>4</v>
      </c>
    </row>
    <row r="41" customFormat="false" ht="12.8" hidden="false" customHeight="false" outlineLevel="0" collapsed="false">
      <c r="B41" s="4" t="s">
        <v>45</v>
      </c>
      <c r="C41" s="0" t="n">
        <v>2.15</v>
      </c>
      <c r="D41" s="0" t="n">
        <v>3.5</v>
      </c>
      <c r="E41" s="0" t="n">
        <v>3.2</v>
      </c>
      <c r="G41" s="15" t="n">
        <v>0.05</v>
      </c>
      <c r="H41" s="15" t="n">
        <v>0.3</v>
      </c>
      <c r="I41" s="15" t="n">
        <v>0.65</v>
      </c>
      <c r="J41" s="15" t="n">
        <f aca="false">SUM(G41:I41)</f>
        <v>1</v>
      </c>
    </row>
    <row r="42" customFormat="false" ht="12.8" hidden="false" customHeight="false" outlineLevel="0" collapsed="false">
      <c r="B42" s="4" t="s">
        <v>46</v>
      </c>
      <c r="C42" s="3"/>
      <c r="D42" s="0" t="n">
        <v>0.43</v>
      </c>
      <c r="E42" s="0" t="n">
        <v>0.35</v>
      </c>
    </row>
    <row r="43" customFormat="false" ht="12.8" hidden="false" customHeight="false" outlineLevel="0" collapsed="false">
      <c r="B43" s="4" t="s">
        <v>47</v>
      </c>
      <c r="C43" s="0" t="n">
        <v>1.5</v>
      </c>
      <c r="D43" s="0" t="n">
        <v>14</v>
      </c>
      <c r="E43" s="3"/>
    </row>
    <row r="44" customFormat="false" ht="12.8" hidden="false" customHeight="false" outlineLevel="0" collapsed="false">
      <c r="B44" s="4" t="s">
        <v>48</v>
      </c>
      <c r="C44" s="3"/>
      <c r="D44" s="0" t="n">
        <v>21.5</v>
      </c>
      <c r="E44" s="21" t="n">
        <f aca="false">base!E36</f>
        <v>0</v>
      </c>
    </row>
    <row r="45" customFormat="false" ht="12.8" hidden="false" customHeight="false" outlineLevel="0" collapsed="false">
      <c r="B45" s="4" t="s">
        <v>49</v>
      </c>
      <c r="C45" s="3"/>
      <c r="D45" s="0" t="n">
        <v>0.72</v>
      </c>
      <c r="E45" s="0" t="n">
        <v>0.63</v>
      </c>
    </row>
    <row r="46" customFormat="false" ht="12.8" hidden="false" customHeight="false" outlineLevel="0" collapsed="false">
      <c r="B46" s="4" t="s">
        <v>50</v>
      </c>
      <c r="C46" s="3"/>
      <c r="D46" s="0" t="n">
        <v>1.03</v>
      </c>
      <c r="E46" s="0" t="n">
        <v>1.02</v>
      </c>
    </row>
    <row r="47" customFormat="false" ht="12.8" hidden="false" customHeight="false" outlineLevel="0" collapsed="false">
      <c r="B47" s="4" t="s">
        <v>51</v>
      </c>
      <c r="C47" s="3"/>
      <c r="D47" s="0" t="n">
        <v>1.63</v>
      </c>
      <c r="E47" s="0" t="n">
        <v>1.35</v>
      </c>
    </row>
    <row r="49" customFormat="false" ht="12.8" hidden="false" customHeight="false" outlineLevel="0" collapsed="false">
      <c r="G49" s="9" t="s">
        <v>9</v>
      </c>
      <c r="H49" s="3" t="s">
        <v>6</v>
      </c>
      <c r="I49" s="1" t="s">
        <v>4</v>
      </c>
    </row>
    <row r="50" customFormat="false" ht="12.8" hidden="false" customHeight="false" outlineLevel="0" collapsed="false">
      <c r="B50" s="4" t="s">
        <v>52</v>
      </c>
      <c r="C50" s="22" t="n">
        <f aca="false">SUM(C51:C53)</f>
        <v>0</v>
      </c>
      <c r="D50" s="22" t="n">
        <f aca="false">SUM(D51:D53)</f>
        <v>45</v>
      </c>
      <c r="E50" s="22" t="n">
        <f aca="false">SUM(E51:E53)</f>
        <v>44</v>
      </c>
      <c r="G50" s="15" t="n">
        <v>0</v>
      </c>
      <c r="H50" s="15" t="n">
        <v>0.95</v>
      </c>
      <c r="I50" s="15" t="n">
        <v>0.05</v>
      </c>
      <c r="J50" s="15" t="n">
        <f aca="false">SUM(G50:I50)</f>
        <v>1</v>
      </c>
    </row>
    <row r="51" customFormat="false" ht="12.8" hidden="false" customHeight="false" outlineLevel="0" collapsed="false">
      <c r="B51" s="23" t="s">
        <v>53</v>
      </c>
      <c r="D51" s="0" t="n">
        <v>30</v>
      </c>
      <c r="E51" s="0" t="n">
        <v>20</v>
      </c>
    </row>
    <row r="52" customFormat="false" ht="12.8" hidden="false" customHeight="false" outlineLevel="0" collapsed="false">
      <c r="B52" s="23" t="s">
        <v>54</v>
      </c>
      <c r="D52" s="0" t="n">
        <v>0</v>
      </c>
      <c r="E52" s="0" t="n">
        <v>10</v>
      </c>
    </row>
    <row r="53" customFormat="false" ht="12.8" hidden="false" customHeight="false" outlineLevel="0" collapsed="false">
      <c r="B53" s="23" t="s">
        <v>55</v>
      </c>
      <c r="D53" s="0" t="n">
        <v>15</v>
      </c>
      <c r="E53" s="0" t="n">
        <v>14</v>
      </c>
    </row>
    <row r="54" customFormat="false" ht="12.8" hidden="false" customHeight="false" outlineLevel="0" collapsed="false">
      <c r="B54" s="4" t="s">
        <v>56</v>
      </c>
      <c r="D54" s="0" t="n">
        <v>24</v>
      </c>
      <c r="E54" s="0" t="n">
        <v>28</v>
      </c>
    </row>
    <row r="56" customFormat="false" ht="12.8" hidden="false" customHeight="false" outlineLevel="0" collapsed="false">
      <c r="B56" s="4" t="s">
        <v>57</v>
      </c>
      <c r="C56" s="22" t="n">
        <f aca="false">SUM(C57:C61)</f>
        <v>0</v>
      </c>
      <c r="D56" s="22" t="n">
        <f aca="false">SUM(D57:D61)</f>
        <v>0</v>
      </c>
      <c r="E56" s="22" t="n">
        <f aca="false">SUM(E57:E61)</f>
        <v>17.48</v>
      </c>
    </row>
    <row r="57" customFormat="false" ht="12.8" hidden="false" customHeight="false" outlineLevel="0" collapsed="false">
      <c r="B57" s="23" t="s">
        <v>58</v>
      </c>
      <c r="E57" s="0" t="n">
        <v>2</v>
      </c>
    </row>
    <row r="58" customFormat="false" ht="12.8" hidden="false" customHeight="false" outlineLevel="0" collapsed="false">
      <c r="B58" s="23" t="s">
        <v>59</v>
      </c>
      <c r="E58" s="0" t="n">
        <v>5.3</v>
      </c>
    </row>
    <row r="59" customFormat="false" ht="12.8" hidden="false" customHeight="false" outlineLevel="0" collapsed="false">
      <c r="B59" s="23" t="s">
        <v>60</v>
      </c>
      <c r="E59" s="0" t="n">
        <v>3.4</v>
      </c>
    </row>
    <row r="60" customFormat="false" ht="12.8" hidden="false" customHeight="false" outlineLevel="0" collapsed="false">
      <c r="B60" s="23" t="s">
        <v>61</v>
      </c>
      <c r="E60" s="0" t="n">
        <v>0.78</v>
      </c>
    </row>
    <row r="61" customFormat="false" ht="12.8" hidden="false" customHeight="false" outlineLevel="0" collapsed="false">
      <c r="B61" s="23" t="s">
        <v>62</v>
      </c>
      <c r="E61" s="0" t="n">
        <v>6</v>
      </c>
    </row>
    <row r="62" customFormat="false" ht="12.8" hidden="false" customHeight="false" outlineLevel="0" collapsed="false">
      <c r="B62" s="23"/>
    </row>
    <row r="63" customFormat="false" ht="12.8" hidden="false" customHeight="false" outlineLevel="0" collapsed="false">
      <c r="B63" s="4" t="s">
        <v>63</v>
      </c>
    </row>
    <row r="64" customFormat="false" ht="12.8" hidden="false" customHeight="false" outlineLevel="0" collapsed="false">
      <c r="B64" s="23" t="s">
        <v>64</v>
      </c>
      <c r="C64" s="24"/>
      <c r="D64" s="24" t="n">
        <v>132759.8</v>
      </c>
      <c r="E64" s="24" t="n">
        <v>93954.1</v>
      </c>
    </row>
    <row r="65" customFormat="false" ht="12.8" hidden="false" customHeight="false" outlineLevel="0" collapsed="false">
      <c r="B65" s="23" t="s">
        <v>65</v>
      </c>
      <c r="C65" s="24"/>
      <c r="D65" s="24" t="n">
        <v>90015.37</v>
      </c>
      <c r="E65" s="24"/>
    </row>
    <row r="66" customFormat="false" ht="12.8" hidden="false" customHeight="false" outlineLevel="0" collapsed="false">
      <c r="B66" s="23" t="s">
        <v>66</v>
      </c>
      <c r="C66" s="24"/>
      <c r="D66" s="24" t="n">
        <v>46021.39</v>
      </c>
      <c r="E66" s="24" t="n">
        <v>39776.36</v>
      </c>
    </row>
    <row r="67" customFormat="false" ht="12.8" hidden="false" customHeight="false" outlineLevel="0" collapsed="false">
      <c r="B67" s="23"/>
    </row>
    <row r="69" customFormat="false" ht="12.8" hidden="false" customHeight="false" outlineLevel="0" collapsed="false">
      <c r="B69" s="23"/>
    </row>
    <row r="70" customFormat="false" ht="12.8" hidden="false" customHeight="false" outlineLevel="0" collapsed="false">
      <c r="H70" s="3" t="s">
        <v>6</v>
      </c>
      <c r="I70" s="1" t="s">
        <v>4</v>
      </c>
    </row>
    <row r="71" customFormat="false" ht="12.8" hidden="false" customHeight="false" outlineLevel="0" collapsed="false">
      <c r="B71" s="4" t="s">
        <v>67</v>
      </c>
      <c r="C71" s="42" t="n">
        <f aca="false">SUM(C72:C73)</f>
        <v>2.44986448598131</v>
      </c>
      <c r="D71" s="22" t="n">
        <f aca="false">SUM(D72:D73)</f>
        <v>2.83</v>
      </c>
      <c r="E71" s="22" t="n">
        <f aca="false">SUM(E72:E73)</f>
        <v>5.72</v>
      </c>
      <c r="G71" s="0" t="s">
        <v>2</v>
      </c>
      <c r="H71" s="15" t="n">
        <f aca="false">SUM(D76,D77,D80,D83)/D71</f>
        <v>0.240282685512367</v>
      </c>
      <c r="I71" s="15" t="n">
        <f aca="false">D75/D71</f>
        <v>0.759717314487632</v>
      </c>
      <c r="J71" s="15" t="n">
        <f aca="false">SUM(G71:I71)</f>
        <v>1</v>
      </c>
    </row>
    <row r="72" customFormat="false" ht="12.8" hidden="false" customHeight="false" outlineLevel="0" collapsed="false">
      <c r="B72" s="23" t="s">
        <v>68</v>
      </c>
      <c r="C72" s="3" t="n">
        <f aca="false">SUM(C75,C78,C81,C84)</f>
        <v>2.07</v>
      </c>
      <c r="D72" s="0" t="n">
        <v>2.45</v>
      </c>
      <c r="E72" s="0" t="n">
        <v>4.92</v>
      </c>
      <c r="G72" s="0" t="s">
        <v>3</v>
      </c>
      <c r="H72" s="15" t="n">
        <f aca="false">1-I72</f>
        <v>0.487762237762238</v>
      </c>
      <c r="I72" s="15" t="n">
        <f aca="false">E75/E71</f>
        <v>0.512237762237762</v>
      </c>
      <c r="J72" s="15" t="n">
        <f aca="false">SUM(G72:I72)</f>
        <v>1</v>
      </c>
    </row>
    <row r="73" customFormat="false" ht="12.8" hidden="false" customHeight="false" outlineLevel="0" collapsed="false">
      <c r="B73" s="23" t="s">
        <v>69</v>
      </c>
      <c r="C73" s="27" t="n">
        <f aca="false">(46847/(C5*1000000))*1000+C76+C79+C82+C85</f>
        <v>0.379864485981308</v>
      </c>
      <c r="D73" s="0" t="n">
        <v>0.38</v>
      </c>
      <c r="E73" s="0" t="n">
        <v>0.8</v>
      </c>
    </row>
    <row r="74" customFormat="false" ht="12.8" hidden="false" customHeight="false" outlineLevel="0" collapsed="false">
      <c r="B74" s="23" t="s">
        <v>70</v>
      </c>
      <c r="C74" s="42" t="n">
        <f aca="false">SUM(C75:C76)</f>
        <v>0.62</v>
      </c>
      <c r="D74" s="22" t="n">
        <f aca="false">SUM(D75:D76)</f>
        <v>2.42</v>
      </c>
      <c r="E74" s="22" t="n">
        <f aca="false">SUM(E75:E76)</f>
        <v>2.93</v>
      </c>
    </row>
    <row r="75" customFormat="false" ht="12.8" hidden="false" customHeight="false" outlineLevel="0" collapsed="false">
      <c r="B75" s="25" t="s">
        <v>71</v>
      </c>
      <c r="C75" s="43" t="n">
        <f aca="false">1-0.38</f>
        <v>0.62</v>
      </c>
      <c r="D75" s="0" t="n">
        <v>2.15</v>
      </c>
      <c r="E75" s="0" t="n">
        <v>2.93</v>
      </c>
    </row>
    <row r="76" customFormat="false" ht="12.8" hidden="false" customHeight="false" outlineLevel="0" collapsed="false">
      <c r="B76" s="25" t="s">
        <v>72</v>
      </c>
      <c r="C76" s="27" t="n">
        <v>0</v>
      </c>
      <c r="D76" s="0" t="n">
        <v>0.27</v>
      </c>
      <c r="E76" s="0" t="n">
        <v>0</v>
      </c>
    </row>
    <row r="77" customFormat="false" ht="12.8" hidden="false" customHeight="false" outlineLevel="0" collapsed="false">
      <c r="B77" s="23" t="s">
        <v>73</v>
      </c>
      <c r="C77" s="42" t="n">
        <f aca="false">C78-C79</f>
        <v>0.955336448598131</v>
      </c>
      <c r="D77" s="22" t="n">
        <f aca="false">SUM(D78:D79)</f>
        <v>0.03</v>
      </c>
      <c r="E77" s="22" t="n">
        <f aca="false">SUM(E78:E79)</f>
        <v>1.57</v>
      </c>
    </row>
    <row r="78" customFormat="false" ht="12.8" hidden="false" customHeight="false" outlineLevel="0" collapsed="false">
      <c r="B78" s="25" t="s">
        <v>74</v>
      </c>
      <c r="C78" s="43" t="n">
        <f aca="false">1.45-C81-C84</f>
        <v>1.11628971962617</v>
      </c>
      <c r="D78" s="0" t="n">
        <v>0.03</v>
      </c>
      <c r="E78" s="0" t="n">
        <v>1.57</v>
      </c>
    </row>
    <row r="79" customFormat="false" ht="12.8" hidden="false" customHeight="false" outlineLevel="0" collapsed="false">
      <c r="B79" s="25" t="s">
        <v>75</v>
      </c>
      <c r="C79" s="27" t="n">
        <f aca="false">(34444/(C5*1000000))*1000</f>
        <v>0.160953271028037</v>
      </c>
      <c r="D79" s="0" t="n">
        <v>0</v>
      </c>
      <c r="E79" s="0" t="n">
        <v>0</v>
      </c>
    </row>
    <row r="80" customFormat="false" ht="12.8" hidden="false" customHeight="false" outlineLevel="0" collapsed="false">
      <c r="B80" s="23" t="s">
        <v>76</v>
      </c>
      <c r="C80" s="42" t="n">
        <f aca="false">SUM(C81:C82)</f>
        <v>0.00047196261682243</v>
      </c>
      <c r="D80" s="22" t="n">
        <f aca="false">SUM(D81:D82)</f>
        <v>0.33</v>
      </c>
      <c r="E80" s="22" t="n">
        <f aca="false">SUM(E81:E82)</f>
        <v>0.45</v>
      </c>
    </row>
    <row r="81" customFormat="false" ht="12.8" hidden="false" customHeight="false" outlineLevel="0" collapsed="false">
      <c r="B81" s="25" t="s">
        <v>77</v>
      </c>
      <c r="C81" s="44" t="n">
        <f aca="false">(101/(C5*1000000))*1000</f>
        <v>0.00047196261682243</v>
      </c>
      <c r="D81" s="0" t="n">
        <v>0.22</v>
      </c>
      <c r="E81" s="0" t="n">
        <v>0.45</v>
      </c>
    </row>
    <row r="82" customFormat="false" ht="12.8" hidden="false" customHeight="false" outlineLevel="0" collapsed="false">
      <c r="B82" s="25" t="s">
        <v>78</v>
      </c>
      <c r="C82" s="44" t="n">
        <v>0</v>
      </c>
      <c r="D82" s="0" t="n">
        <v>0.11</v>
      </c>
      <c r="E82" s="0" t="n">
        <v>0</v>
      </c>
    </row>
    <row r="83" customFormat="false" ht="12.8" hidden="false" customHeight="false" outlineLevel="0" collapsed="false">
      <c r="B83" s="23" t="s">
        <v>79</v>
      </c>
      <c r="C83" s="42" t="n">
        <f aca="false">SUM(C84:C85)</f>
        <v>0.333238317757009</v>
      </c>
      <c r="D83" s="22" t="n">
        <f aca="false">SUM(D84:D85)</f>
        <v>0.05</v>
      </c>
      <c r="E83" s="22" t="n">
        <f aca="false">SUM(E84:E85)</f>
        <v>0</v>
      </c>
    </row>
    <row r="84" customFormat="false" ht="12.8" hidden="false" customHeight="false" outlineLevel="0" collapsed="false">
      <c r="B84" s="25" t="s">
        <v>80</v>
      </c>
      <c r="C84" s="44" t="n">
        <f aca="false">(71313/(C5*1000000))*1000</f>
        <v>0.333238317757009</v>
      </c>
      <c r="D84" s="0" t="n">
        <v>0.05</v>
      </c>
      <c r="E84" s="0" t="n">
        <v>0</v>
      </c>
    </row>
    <row r="85" customFormat="false" ht="12.8" hidden="false" customHeight="false" outlineLevel="0" collapsed="false">
      <c r="B85" s="25" t="s">
        <v>81</v>
      </c>
      <c r="C85" s="44" t="n">
        <v>0</v>
      </c>
      <c r="D85" s="0" t="n">
        <v>0</v>
      </c>
      <c r="E85" s="0" t="n">
        <v>0</v>
      </c>
    </row>
    <row r="87" customFormat="false" ht="12.8" hidden="false" customHeight="false" outlineLevel="0" collapsed="false">
      <c r="B87" s="4" t="s">
        <v>82</v>
      </c>
      <c r="C87" s="0" t="n">
        <v>28</v>
      </c>
      <c r="D87" s="0" t="n">
        <v>17</v>
      </c>
      <c r="E87" s="0" t="n">
        <v>19</v>
      </c>
    </row>
    <row r="88" customFormat="false" ht="12.8" hidden="false" customHeight="false" outlineLevel="0" collapsed="false">
      <c r="B88" s="23" t="s">
        <v>84</v>
      </c>
      <c r="C88" s="3"/>
      <c r="D88" s="0" t="n">
        <v>17</v>
      </c>
      <c r="E88" s="0" t="n">
        <v>11</v>
      </c>
    </row>
    <row r="89" customFormat="false" ht="12.8" hidden="false" customHeight="false" outlineLevel="0" collapsed="false">
      <c r="B89" s="23" t="s">
        <v>85</v>
      </c>
      <c r="C89" s="3"/>
      <c r="D89" s="0" t="n">
        <v>0</v>
      </c>
      <c r="E89" s="0" t="n">
        <v>8</v>
      </c>
    </row>
    <row r="90" customFormat="false" ht="12.8" hidden="false" customHeight="false" outlineLevel="0" collapsed="false">
      <c r="B90" s="4" t="s">
        <v>86</v>
      </c>
      <c r="C90" s="3"/>
      <c r="D90" s="0" t="n">
        <v>31</v>
      </c>
      <c r="E90" s="0" t="n">
        <v>16</v>
      </c>
    </row>
    <row r="91" customFormat="false" ht="12.8" hidden="false" customHeight="false" outlineLevel="0" collapsed="false">
      <c r="B91" s="23" t="s">
        <v>88</v>
      </c>
      <c r="C91" s="3"/>
      <c r="D91" s="0" t="n">
        <v>31</v>
      </c>
      <c r="E91" s="0" t="n">
        <v>7</v>
      </c>
    </row>
    <row r="92" customFormat="false" ht="12.8" hidden="false" customHeight="false" outlineLevel="0" collapsed="false">
      <c r="B92" s="23" t="s">
        <v>89</v>
      </c>
      <c r="C92" s="3"/>
      <c r="D92" s="0" t="n">
        <v>0</v>
      </c>
      <c r="E92" s="0" t="n">
        <v>9</v>
      </c>
    </row>
    <row r="93" customFormat="false" ht="12.8" hidden="false" customHeight="false" outlineLevel="0" collapsed="false">
      <c r="B93" s="4" t="s">
        <v>90</v>
      </c>
      <c r="C93" s="3"/>
      <c r="D93" s="0" t="n">
        <v>2.9</v>
      </c>
      <c r="E93" s="0" t="n">
        <v>2.7</v>
      </c>
    </row>
    <row r="94" customFormat="false" ht="12.8" hidden="false" customHeight="false" outlineLevel="0" collapsed="false">
      <c r="B94" s="23" t="s">
        <v>91</v>
      </c>
      <c r="C94" s="3"/>
      <c r="D94" s="0" t="n">
        <v>2.9</v>
      </c>
      <c r="E94" s="0" t="n">
        <v>1.8</v>
      </c>
    </row>
    <row r="95" customFormat="false" ht="12.8" hidden="false" customHeight="false" outlineLevel="0" collapsed="false">
      <c r="B95" s="23" t="s">
        <v>92</v>
      </c>
      <c r="C95" s="3"/>
      <c r="D95" s="0" t="n">
        <v>0</v>
      </c>
      <c r="E95" s="0" t="n">
        <v>0.9</v>
      </c>
    </row>
    <row r="96" customFormat="false" ht="12.8" hidden="false" customHeight="false" outlineLevel="0" collapsed="false">
      <c r="B96" s="4" t="s">
        <v>93</v>
      </c>
      <c r="C96" s="3"/>
      <c r="D96" s="0" t="n">
        <v>7</v>
      </c>
      <c r="E96" s="0" t="n">
        <v>6.9</v>
      </c>
    </row>
    <row r="97" customFormat="false" ht="12.8" hidden="false" customHeight="false" outlineLevel="0" collapsed="false">
      <c r="B97" s="23" t="s">
        <v>94</v>
      </c>
      <c r="C97" s="3"/>
      <c r="D97" s="0" t="n">
        <v>7</v>
      </c>
      <c r="E97" s="0" t="n">
        <v>4.4</v>
      </c>
    </row>
    <row r="98" customFormat="false" ht="12.8" hidden="false" customHeight="false" outlineLevel="0" collapsed="false">
      <c r="B98" s="23" t="s">
        <v>95</v>
      </c>
      <c r="C98" s="3"/>
      <c r="D98" s="0" t="n">
        <v>0</v>
      </c>
      <c r="E98" s="0" t="n">
        <v>2.5</v>
      </c>
    </row>
    <row r="99" customFormat="false" ht="12.8" hidden="false" customHeight="false" outlineLevel="0" collapsed="false">
      <c r="B99" s="4" t="s">
        <v>96</v>
      </c>
      <c r="C99" s="3"/>
      <c r="D99" s="0" t="n">
        <v>31</v>
      </c>
      <c r="E99" s="3"/>
    </row>
    <row r="100" customFormat="false" ht="12.8" hidden="false" customHeight="false" outlineLevel="0" collapsed="false">
      <c r="B100" s="23" t="s">
        <v>98</v>
      </c>
      <c r="C100" s="3"/>
      <c r="D100" s="0" t="n">
        <v>31</v>
      </c>
      <c r="E100" s="0" t="n">
        <v>7</v>
      </c>
    </row>
    <row r="101" customFormat="false" ht="12.8" hidden="false" customHeight="false" outlineLevel="0" collapsed="false">
      <c r="B101" s="23" t="s">
        <v>100</v>
      </c>
      <c r="C101" s="3"/>
      <c r="D101" s="0" t="n">
        <v>0</v>
      </c>
      <c r="E101" s="3"/>
    </row>
    <row r="102" customFormat="false" ht="12.8" hidden="false" customHeight="false" outlineLevel="0" collapsed="false">
      <c r="B102" s="4" t="s">
        <v>101</v>
      </c>
      <c r="C102" s="3"/>
      <c r="D102" s="0" t="n">
        <v>10.3</v>
      </c>
    </row>
    <row r="103" customFormat="false" ht="12.8" hidden="false" customHeight="false" outlineLevel="0" collapsed="false">
      <c r="B103" s="23" t="s">
        <v>103</v>
      </c>
      <c r="C103" s="3"/>
      <c r="D103" s="0" t="n">
        <v>10.3</v>
      </c>
      <c r="E103" s="0" t="n">
        <v>11.3</v>
      </c>
    </row>
    <row r="104" customFormat="false" ht="12.8" hidden="false" customHeight="false" outlineLevel="0" collapsed="false">
      <c r="B104" s="23" t="s">
        <v>104</v>
      </c>
      <c r="C104" s="3"/>
      <c r="D104" s="0" t="n">
        <v>0</v>
      </c>
      <c r="E104" s="3"/>
    </row>
    <row r="106" customFormat="false" ht="12.8" hidden="false" customHeight="false" outlineLevel="0" collapsed="false">
      <c r="B106" s="0" t="s">
        <v>105</v>
      </c>
    </row>
    <row r="107" customFormat="false" ht="12.8" hidden="false" customHeight="false" outlineLevel="0" collapsed="false">
      <c r="B107" s="4" t="s">
        <v>4</v>
      </c>
    </row>
    <row r="108" customFormat="false" ht="12.8" hidden="false" customHeight="false" outlineLevel="0" collapsed="false">
      <c r="B108" s="23" t="s">
        <v>106</v>
      </c>
      <c r="C108" s="20" t="n">
        <v>5017</v>
      </c>
      <c r="D108" s="20" t="n">
        <v>14341</v>
      </c>
      <c r="E108" s="20" t="n">
        <v>16151</v>
      </c>
    </row>
    <row r="109" customFormat="false" ht="12.8" hidden="false" customHeight="false" outlineLevel="0" collapsed="false">
      <c r="B109" s="23" t="s">
        <v>107</v>
      </c>
      <c r="C109" s="20"/>
      <c r="D109" s="20" t="n">
        <v>13734</v>
      </c>
      <c r="E109" s="20" t="n">
        <v>14091</v>
      </c>
    </row>
    <row r="110" customFormat="false" ht="12.8" hidden="false" customHeight="false" outlineLevel="0" collapsed="false">
      <c r="B110" s="23" t="s">
        <v>108</v>
      </c>
      <c r="C110" s="15"/>
      <c r="D110" s="15"/>
      <c r="E110" s="15" t="n">
        <v>0.73</v>
      </c>
    </row>
    <row r="111" customFormat="false" ht="12.8" hidden="false" customHeight="false" outlineLevel="0" collapsed="false">
      <c r="B111" s="4" t="s">
        <v>6</v>
      </c>
    </row>
    <row r="112" customFormat="false" ht="12.8" hidden="false" customHeight="false" outlineLevel="0" collapsed="false">
      <c r="B112" s="23" t="s">
        <v>164</v>
      </c>
      <c r="C112" s="20" t="n">
        <f aca="false">1.4*100000</f>
        <v>140000</v>
      </c>
      <c r="D112" s="20" t="n">
        <f aca="false">4.2*100000</f>
        <v>420000</v>
      </c>
      <c r="E112" s="20" t="n">
        <f aca="false">5*100000</f>
        <v>500000</v>
      </c>
    </row>
    <row r="113" customFormat="false" ht="12.8" hidden="false" customHeight="false" outlineLevel="0" collapsed="false">
      <c r="B113" s="4" t="s">
        <v>9</v>
      </c>
      <c r="C113" s="20"/>
      <c r="D113" s="20"/>
      <c r="E113" s="20"/>
    </row>
    <row r="114" customFormat="false" ht="12.8" hidden="false" customHeight="false" outlineLevel="0" collapsed="false">
      <c r="B114" s="23" t="s">
        <v>165</v>
      </c>
      <c r="D114" s="20" t="n">
        <f aca="false">0.9*100000</f>
        <v>90000</v>
      </c>
      <c r="E114" s="20" t="n">
        <f aca="false">1.2*100000</f>
        <v>120000</v>
      </c>
    </row>
    <row r="116" customFormat="false" ht="12.8" hidden="false" customHeight="false" outlineLevel="0" collapsed="false">
      <c r="B116" s="0" t="s">
        <v>111</v>
      </c>
    </row>
    <row r="117" customFormat="false" ht="12.8" hidden="false" customHeight="false" outlineLevel="0" collapsed="false">
      <c r="B117" s="4" t="s">
        <v>112</v>
      </c>
      <c r="D117" s="0" t="n">
        <v>3485</v>
      </c>
      <c r="E117" s="0" t="n">
        <v>10953</v>
      </c>
    </row>
    <row r="118" customFormat="false" ht="12.8" hidden="false" customHeight="false" outlineLevel="0" collapsed="false">
      <c r="B118" s="23" t="s">
        <v>113</v>
      </c>
      <c r="D118" s="0" t="n">
        <v>3453</v>
      </c>
      <c r="E118" s="0" t="n">
        <v>10027</v>
      </c>
    </row>
    <row r="119" customFormat="false" ht="12.8" hidden="false" customHeight="false" outlineLevel="0" collapsed="false">
      <c r="B119" s="23" t="s">
        <v>114</v>
      </c>
      <c r="E119" s="0" t="n">
        <v>10312</v>
      </c>
    </row>
    <row r="120" customFormat="false" ht="12.8" hidden="false" customHeight="false" outlineLevel="0" collapsed="false">
      <c r="B120" s="4" t="s">
        <v>115</v>
      </c>
      <c r="D120" s="0" t="n">
        <v>1809</v>
      </c>
      <c r="E120" s="0" t="n">
        <v>8095</v>
      </c>
    </row>
    <row r="121" customFormat="false" ht="12.8" hidden="false" customHeight="false" outlineLevel="0" collapsed="false">
      <c r="B121" s="23" t="s">
        <v>116</v>
      </c>
      <c r="D121" s="0" t="n">
        <v>1017</v>
      </c>
      <c r="E121" s="0" t="n">
        <v>5951</v>
      </c>
    </row>
    <row r="122" customFormat="false" ht="12.8" hidden="false" customHeight="false" outlineLevel="0" collapsed="false">
      <c r="B122" s="23" t="s">
        <v>117</v>
      </c>
      <c r="E122" s="0" t="n">
        <v>10905</v>
      </c>
    </row>
    <row r="123" customFormat="false" ht="12.8" hidden="false" customHeight="false" outlineLevel="0" collapsed="false">
      <c r="B123" s="4" t="s">
        <v>118</v>
      </c>
      <c r="D123" s="0" t="n">
        <v>334</v>
      </c>
      <c r="E123" s="0" t="n">
        <v>3890</v>
      </c>
    </row>
    <row r="124" customFormat="false" ht="12.8" hidden="false" customHeight="false" outlineLevel="0" collapsed="false">
      <c r="B124" s="23" t="s">
        <v>119</v>
      </c>
      <c r="D124" s="0" t="n">
        <v>311</v>
      </c>
      <c r="E124" s="0" t="n">
        <v>3385</v>
      </c>
    </row>
    <row r="125" customFormat="false" ht="12.8" hidden="false" customHeight="false" outlineLevel="0" collapsed="false">
      <c r="B125" s="23" t="s">
        <v>120</v>
      </c>
      <c r="E125" s="0" t="n">
        <v>5511</v>
      </c>
    </row>
    <row r="126" customFormat="false" ht="12.8" hidden="false" customHeight="false" outlineLevel="0" collapsed="false">
      <c r="B126" s="4" t="s">
        <v>121</v>
      </c>
    </row>
    <row r="127" customFormat="false" ht="12.8" hidden="false" customHeight="false" outlineLevel="0" collapsed="false">
      <c r="B127" s="23" t="s">
        <v>122</v>
      </c>
    </row>
    <row r="128" customFormat="false" ht="12.8" hidden="false" customHeight="false" outlineLevel="0" collapsed="false">
      <c r="B128" s="23" t="s">
        <v>123</v>
      </c>
    </row>
    <row r="129" customFormat="false" ht="12.8" hidden="false" customHeight="false" outlineLevel="0" collapsed="false">
      <c r="B129" s="4" t="s">
        <v>124</v>
      </c>
    </row>
    <row r="130" customFormat="false" ht="12.8" hidden="false" customHeight="false" outlineLevel="0" collapsed="false">
      <c r="B130" s="23" t="s">
        <v>125</v>
      </c>
    </row>
    <row r="131" customFormat="false" ht="12.8" hidden="false" customHeight="false" outlineLevel="0" collapsed="false">
      <c r="B131" s="23" t="s">
        <v>126</v>
      </c>
    </row>
    <row r="132" customFormat="false" ht="12.8" hidden="false" customHeight="false" outlineLevel="0" collapsed="false">
      <c r="B132" s="4" t="s">
        <v>127</v>
      </c>
    </row>
    <row r="133" customFormat="false" ht="12.8" hidden="false" customHeight="false" outlineLevel="0" collapsed="false">
      <c r="B133" s="23" t="s">
        <v>128</v>
      </c>
    </row>
    <row r="134" customFormat="false" ht="12.8" hidden="false" customHeight="false" outlineLevel="0" collapsed="false">
      <c r="B134" s="23" t="s">
        <v>129</v>
      </c>
    </row>
    <row r="136" customFormat="false" ht="12.8" hidden="false" customHeight="false" outlineLevel="0" collapsed="false">
      <c r="B136" s="0" t="s">
        <v>130</v>
      </c>
    </row>
    <row r="137" customFormat="false" ht="12.8" hidden="false" customHeight="false" outlineLevel="0" collapsed="false">
      <c r="B137" s="4" t="s">
        <v>131</v>
      </c>
      <c r="C137" s="15" t="n">
        <v>0.1</v>
      </c>
      <c r="D137" s="15" t="n">
        <v>0.23</v>
      </c>
      <c r="E137" s="15" t="n">
        <v>0.215</v>
      </c>
    </row>
    <row r="138" customFormat="false" ht="12.8" hidden="false" customHeight="false" outlineLevel="0" collapsed="false">
      <c r="B138" s="4" t="s">
        <v>132</v>
      </c>
      <c r="C138" s="15" t="n">
        <v>0.022</v>
      </c>
      <c r="D138" s="15" t="n">
        <v>0.057</v>
      </c>
      <c r="E138" s="15" t="n">
        <v>0.063</v>
      </c>
    </row>
    <row r="140" customFormat="false" ht="12.8" hidden="false" customHeight="false" outlineLevel="0" collapsed="false">
      <c r="B140" s="0" t="s">
        <v>133</v>
      </c>
    </row>
    <row r="141" customFormat="false" ht="12.8" hidden="false" customHeight="false" outlineLevel="0" collapsed="false">
      <c r="B141" s="4" t="s">
        <v>135</v>
      </c>
      <c r="C141" s="29"/>
      <c r="D141" s="29" t="n">
        <f aca="false">8173000000/1000000</f>
        <v>8173</v>
      </c>
      <c r="E141" s="29" t="n">
        <f aca="false">210130321043/1000000</f>
        <v>210130.321043</v>
      </c>
    </row>
    <row r="142" customFormat="false" ht="12.8" hidden="false" customHeight="false" outlineLevel="0" collapsed="false">
      <c r="B142" s="4" t="s">
        <v>136</v>
      </c>
      <c r="C142" s="29"/>
      <c r="D142" s="29" t="n">
        <f aca="false">37804000000/1000000</f>
        <v>37804</v>
      </c>
      <c r="E142" s="29" t="n">
        <f aca="false">488878484132/1000000</f>
        <v>488878.484132</v>
      </c>
    </row>
    <row r="143" customFormat="false" ht="12.8" hidden="false" customHeight="false" outlineLevel="0" collapsed="false">
      <c r="B143" s="4" t="s">
        <v>137</v>
      </c>
      <c r="C143" s="29"/>
      <c r="D143" s="29"/>
      <c r="E143" s="29" t="n">
        <f aca="false">31171080000/1000000</f>
        <v>31171.08</v>
      </c>
    </row>
    <row r="144" customFormat="false" ht="12.8" hidden="false" customHeight="false" outlineLevel="0" collapsed="false">
      <c r="B144" s="4" t="s">
        <v>138</v>
      </c>
      <c r="C144" s="29"/>
      <c r="D144" s="29"/>
      <c r="E144" s="29" t="n">
        <f aca="false">7620343058/1000000</f>
        <v>7620.343058</v>
      </c>
    </row>
    <row r="145" customFormat="false" ht="12.8" hidden="false" customHeight="false" outlineLevel="0" collapsed="false">
      <c r="B145" s="4" t="s">
        <v>139</v>
      </c>
      <c r="C145" s="29"/>
      <c r="D145" s="29"/>
      <c r="E145" s="29" t="n">
        <f aca="false">11506819774/1000000</f>
        <v>11506.819774</v>
      </c>
    </row>
  </sheetData>
  <mergeCells count="1">
    <mergeCell ref="G39:I3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2:N44"/>
  <sheetViews>
    <sheetView showFormulas="false" showGridLines="true" showRowColHeaders="true" showZeros="true" rightToLeft="false" tabSelected="true" showOutlineSymbols="true" defaultGridColor="true" view="normal" topLeftCell="A17" colorId="64" zoomScale="160" zoomScaleNormal="160" zoomScalePageLayoutView="100" workbookViewId="0">
      <selection pane="topLeft" activeCell="D20" activeCellId="0" sqref="D20"/>
    </sheetView>
  </sheetViews>
  <sheetFormatPr defaultColWidth="11.640625" defaultRowHeight="12.8" zeroHeight="false" outlineLevelRow="0" outlineLevelCol="0"/>
  <cols>
    <col collapsed="false" customWidth="true" hidden="false" outlineLevel="0" max="14" min="3" style="0" width="21.1"/>
  </cols>
  <sheetData>
    <row r="2" customFormat="false" ht="12.8" hidden="false" customHeight="false" outlineLevel="0" collapsed="false">
      <c r="B2" s="28" t="s">
        <v>166</v>
      </c>
      <c r="C2" s="0" t="s">
        <v>167</v>
      </c>
      <c r="G2" s="0" t="s">
        <v>168</v>
      </c>
      <c r="K2" s="0" t="s">
        <v>169</v>
      </c>
    </row>
    <row r="3" customFormat="false" ht="12.8" hidden="false" customHeight="false" outlineLevel="0" collapsed="false">
      <c r="C3" s="45" t="n">
        <v>2015</v>
      </c>
      <c r="D3" s="45" t="n">
        <v>2030</v>
      </c>
      <c r="E3" s="45" t="n">
        <v>2030</v>
      </c>
      <c r="F3" s="45" t="n">
        <v>2030</v>
      </c>
      <c r="G3" s="45" t="n">
        <v>2015</v>
      </c>
      <c r="H3" s="45" t="n">
        <v>2030</v>
      </c>
      <c r="I3" s="45" t="n">
        <v>2030</v>
      </c>
      <c r="J3" s="45" t="n">
        <v>2030</v>
      </c>
      <c r="K3" s="45" t="n">
        <v>2015</v>
      </c>
      <c r="L3" s="45" t="n">
        <v>2030</v>
      </c>
      <c r="M3" s="45" t="n">
        <v>2030</v>
      </c>
      <c r="N3" s="45" t="n">
        <v>2030</v>
      </c>
    </row>
    <row r="4" customFormat="false" ht="12.8" hidden="false" customHeight="false" outlineLevel="0" collapsed="false">
      <c r="C4" s="45" t="s">
        <v>170</v>
      </c>
      <c r="D4" s="45" t="s">
        <v>171</v>
      </c>
      <c r="E4" s="45" t="s">
        <v>172</v>
      </c>
      <c r="F4" s="45" t="s">
        <v>173</v>
      </c>
      <c r="G4" s="45" t="s">
        <v>170</v>
      </c>
      <c r="H4" s="45" t="s">
        <v>171</v>
      </c>
      <c r="I4" s="45" t="s">
        <v>172</v>
      </c>
      <c r="J4" s="45" t="s">
        <v>173</v>
      </c>
      <c r="K4" s="45" t="s">
        <v>170</v>
      </c>
      <c r="L4" s="45" t="s">
        <v>171</v>
      </c>
      <c r="M4" s="45" t="s">
        <v>172</v>
      </c>
      <c r="N4" s="45" t="s">
        <v>173</v>
      </c>
    </row>
    <row r="6" customFormat="false" ht="12.85" hidden="false" customHeight="false" outlineLevel="0" collapsed="false">
      <c r="B6" s="28" t="s">
        <v>1</v>
      </c>
      <c r="C6" s="46" t="s">
        <v>174</v>
      </c>
      <c r="D6" s="46" t="s">
        <v>175</v>
      </c>
      <c r="E6" s="46" t="s">
        <v>176</v>
      </c>
      <c r="F6" s="46" t="s">
        <v>177</v>
      </c>
      <c r="G6" s="46" t="s">
        <v>178</v>
      </c>
      <c r="H6" s="46" t="s">
        <v>179</v>
      </c>
      <c r="I6" s="46" t="s">
        <v>180</v>
      </c>
      <c r="J6" s="46" t="s">
        <v>181</v>
      </c>
      <c r="K6" s="46" t="s">
        <v>182</v>
      </c>
      <c r="L6" s="46" t="s">
        <v>183</v>
      </c>
      <c r="M6" s="46" t="s">
        <v>184</v>
      </c>
      <c r="N6" s="46" t="s">
        <v>185</v>
      </c>
    </row>
    <row r="7" customFormat="false" ht="12.8" hidden="false" customHeight="false" outlineLevel="0" collapsed="false">
      <c r="B7" s="0" t="s">
        <v>2</v>
      </c>
      <c r="C7" s="47" t="s">
        <v>186</v>
      </c>
      <c r="D7" s="0" t="s">
        <v>187</v>
      </c>
      <c r="E7" s="0" t="s">
        <v>188</v>
      </c>
      <c r="F7" s="0" t="s">
        <v>189</v>
      </c>
      <c r="G7" s="0" t="s">
        <v>190</v>
      </c>
      <c r="H7" s="0" t="s">
        <v>191</v>
      </c>
      <c r="I7" s="0" t="s">
        <v>192</v>
      </c>
      <c r="J7" s="0" t="s">
        <v>193</v>
      </c>
      <c r="K7" s="0" t="s">
        <v>194</v>
      </c>
      <c r="L7" s="0" t="s">
        <v>195</v>
      </c>
      <c r="M7" s="0" t="s">
        <v>196</v>
      </c>
      <c r="N7" s="0" t="s">
        <v>197</v>
      </c>
    </row>
    <row r="8" customFormat="false" ht="12.8" hidden="false" customHeight="false" outlineLevel="0" collapsed="false">
      <c r="B8" s="0" t="s">
        <v>3</v>
      </c>
      <c r="C8" s="47" t="s">
        <v>198</v>
      </c>
      <c r="D8" s="0" t="s">
        <v>199</v>
      </c>
      <c r="E8" s="0" t="s">
        <v>200</v>
      </c>
      <c r="F8" s="0" t="s">
        <v>201</v>
      </c>
      <c r="G8" s="0" t="s">
        <v>202</v>
      </c>
      <c r="H8" s="0" t="s">
        <v>203</v>
      </c>
      <c r="I8" s="0" t="s">
        <v>204</v>
      </c>
      <c r="J8" s="0" t="s">
        <v>205</v>
      </c>
      <c r="K8" s="0" t="s">
        <v>206</v>
      </c>
      <c r="L8" s="0" t="s">
        <v>207</v>
      </c>
      <c r="M8" s="0" t="s">
        <v>208</v>
      </c>
      <c r="N8" s="0" t="s">
        <v>209</v>
      </c>
    </row>
    <row r="9" customFormat="false" ht="12.8" hidden="false" customHeight="false" outlineLevel="0" collapsed="false">
      <c r="C9" s="47"/>
    </row>
    <row r="10" customFormat="false" ht="12.8" hidden="false" customHeight="false" outlineLevel="0" collapsed="false">
      <c r="C10" s="47"/>
    </row>
    <row r="11" customFormat="false" ht="12.8" hidden="false" customHeight="false" outlineLevel="0" collapsed="false">
      <c r="C11" s="47"/>
    </row>
    <row r="12" customFormat="false" ht="12.8" hidden="false" customHeight="false" outlineLevel="0" collapsed="false">
      <c r="B12" s="0" t="s">
        <v>210</v>
      </c>
      <c r="C12" s="47"/>
    </row>
    <row r="13" customFormat="false" ht="23.85" hidden="false" customHeight="false" outlineLevel="0" collapsed="false">
      <c r="C13" s="48" t="s">
        <v>211</v>
      </c>
      <c r="D13" s="49" t="s">
        <v>212</v>
      </c>
      <c r="E13" s="48" t="s">
        <v>213</v>
      </c>
      <c r="F13" s="48" t="s">
        <v>214</v>
      </c>
      <c r="G13" s="48" t="s">
        <v>215</v>
      </c>
    </row>
    <row r="14" customFormat="false" ht="12.8" hidden="false" customHeight="false" outlineLevel="0" collapsed="false">
      <c r="C14" s="47"/>
    </row>
    <row r="15" customFormat="false" ht="12.8" hidden="false" customHeight="false" outlineLevel="0" collapsed="false">
      <c r="A15" s="50" t="n">
        <f aca="false">ajuste!$B$35/ajuste!C8</f>
        <v>1.09375</v>
      </c>
      <c r="B15" s="0" t="s">
        <v>1</v>
      </c>
      <c r="C15" s="47" t="s">
        <v>216</v>
      </c>
      <c r="D15" s="0" t="s">
        <v>217</v>
      </c>
      <c r="E15" s="0" t="s">
        <v>218</v>
      </c>
      <c r="F15" s="0" t="s">
        <v>219</v>
      </c>
      <c r="G15" s="0" t="s">
        <v>220</v>
      </c>
    </row>
    <row r="16" customFormat="false" ht="12.8" hidden="false" customHeight="false" outlineLevel="0" collapsed="false">
      <c r="A16" s="50" t="n">
        <f aca="false">ajuste!B35/ajuste!D8</f>
        <v>1.09375</v>
      </c>
      <c r="B16" s="0" t="s">
        <v>2</v>
      </c>
      <c r="C16" s="47" t="s">
        <v>221</v>
      </c>
      <c r="D16" s="0" t="s">
        <v>222</v>
      </c>
      <c r="E16" s="0" t="s">
        <v>223</v>
      </c>
      <c r="F16" s="0" t="s">
        <v>224</v>
      </c>
      <c r="G16" s="0" t="s">
        <v>225</v>
      </c>
    </row>
    <row r="17" customFormat="false" ht="12.8" hidden="false" customHeight="false" outlineLevel="0" collapsed="false">
      <c r="A17" s="50" t="n">
        <f aca="false">ajuste!B35/ajuste!E8</f>
        <v>0.846774193548387</v>
      </c>
      <c r="B17" s="0" t="s">
        <v>3</v>
      </c>
      <c r="C17" s="47" t="s">
        <v>226</v>
      </c>
      <c r="D17" s="0" t="s">
        <v>227</v>
      </c>
      <c r="E17" s="0" t="s">
        <v>228</v>
      </c>
      <c r="F17" s="0" t="s">
        <v>229</v>
      </c>
      <c r="G17" s="0" t="s">
        <v>230</v>
      </c>
    </row>
    <row r="18" customFormat="false" ht="12.8" hidden="false" customHeight="false" outlineLevel="0" collapsed="false">
      <c r="C18" s="47"/>
    </row>
    <row r="19" customFormat="false" ht="12.8" hidden="false" customHeight="false" outlineLevel="0" collapsed="false">
      <c r="C19" s="47"/>
      <c r="D19" s="38" t="s">
        <v>231</v>
      </c>
      <c r="E19" s="51" t="s">
        <v>163</v>
      </c>
    </row>
    <row r="20" customFormat="false" ht="12.8" hidden="false" customHeight="false" outlineLevel="0" collapsed="false">
      <c r="B20" s="0" t="s">
        <v>1</v>
      </c>
      <c r="C20" s="47" t="s">
        <v>232</v>
      </c>
      <c r="D20" s="20" t="n">
        <f aca="false">1638*A15</f>
        <v>1791.5625</v>
      </c>
      <c r="F20" s="0" t="s">
        <v>233</v>
      </c>
      <c r="G20" s="0" t="s">
        <v>1</v>
      </c>
      <c r="H20" s="0" t="s">
        <v>2</v>
      </c>
      <c r="I20" s="0" t="s">
        <v>3</v>
      </c>
    </row>
    <row r="21" customFormat="false" ht="12.8" hidden="false" customHeight="false" outlineLevel="0" collapsed="false">
      <c r="B21" s="47" t="s">
        <v>234</v>
      </c>
      <c r="C21" s="12" t="n">
        <f aca="false">ajuste!C30/ajuste!$C$33</f>
        <v>0.146909827760892</v>
      </c>
      <c r="D21" s="52" t="n">
        <f aca="false">$D$20*C21</f>
        <v>263.198138297872</v>
      </c>
      <c r="E21" s="20" t="n">
        <f aca="false">D21/ajuste!$C$4</f>
        <v>115.437779955207</v>
      </c>
      <c r="F21" s="0" t="n">
        <v>1</v>
      </c>
      <c r="G21" s="20" t="n">
        <v>239.636890299854</v>
      </c>
      <c r="H21" s="20" t="n">
        <v>1317.91162568841</v>
      </c>
      <c r="I21" s="20" t="n">
        <v>1414.91518611876</v>
      </c>
    </row>
    <row r="22" customFormat="false" ht="12.8" hidden="false" customHeight="false" outlineLevel="0" collapsed="false">
      <c r="B22" s="47" t="s">
        <v>235</v>
      </c>
      <c r="C22" s="12" t="n">
        <f aca="false">ajuste!C31/ajuste!$C$33</f>
        <v>0.509726443768997</v>
      </c>
      <c r="D22" s="52" t="n">
        <f aca="false">$D$20*C22</f>
        <v>913.206781914894</v>
      </c>
      <c r="E22" s="20" t="n">
        <f aca="false">D22/ajuste!$C$4</f>
        <v>400.52929031355</v>
      </c>
      <c r="F22" s="0" t="n">
        <v>2</v>
      </c>
      <c r="G22" s="20" t="n">
        <v>828.333703843312</v>
      </c>
      <c r="H22" s="20" t="n">
        <v>2479.9799106703</v>
      </c>
      <c r="I22" s="20" t="n">
        <v>1924.65994925296</v>
      </c>
    </row>
    <row r="23" customFormat="false" ht="12.8" hidden="false" customHeight="false" outlineLevel="0" collapsed="false">
      <c r="B23" s="47" t="s">
        <v>236</v>
      </c>
      <c r="C23" s="12" t="n">
        <f aca="false">ajuste!C32/ajuste!$C$33</f>
        <v>0.343363728470111</v>
      </c>
      <c r="D23" s="52" t="n">
        <f aca="false">$D$20*C23</f>
        <v>615.157579787234</v>
      </c>
      <c r="E23" s="20" t="n">
        <f aca="false">D23/ajuste!$C$4</f>
        <v>269.805956047032</v>
      </c>
      <c r="F23" s="0" t="n">
        <v>3</v>
      </c>
      <c r="G23" s="20" t="n">
        <v>570.029405856833</v>
      </c>
      <c r="H23" s="20" t="n">
        <v>1482.10846364129</v>
      </c>
      <c r="I23" s="20" t="n">
        <v>2077.42486462828</v>
      </c>
    </row>
    <row r="24" customFormat="false" ht="12.8" hidden="false" customHeight="false" outlineLevel="0" collapsed="false">
      <c r="C24" s="53"/>
      <c r="D24" s="20"/>
    </row>
    <row r="25" customFormat="false" ht="12.8" hidden="false" customHeight="false" outlineLevel="0" collapsed="false">
      <c r="B25" s="0" t="s">
        <v>2</v>
      </c>
      <c r="C25" s="47" t="s">
        <v>232</v>
      </c>
      <c r="D25" s="20" t="n">
        <f aca="false">5280*A16</f>
        <v>5775</v>
      </c>
      <c r="F25" s="0" t="s">
        <v>233</v>
      </c>
      <c r="G25" s="40" t="s">
        <v>1</v>
      </c>
      <c r="H25" s="40" t="s">
        <v>2</v>
      </c>
      <c r="I25" s="40" t="s">
        <v>3</v>
      </c>
    </row>
    <row r="26" customFormat="false" ht="12.8" hidden="false" customHeight="false" outlineLevel="0" collapsed="false">
      <c r="B26" s="47" t="s">
        <v>234</v>
      </c>
      <c r="C26" s="53" t="n">
        <f aca="false">ajuste!D30/ajuste!$D$33</f>
        <v>0.249064044536496</v>
      </c>
      <c r="D26" s="52" t="n">
        <f aca="false">$D$25*C26</f>
        <v>1438.34485719827</v>
      </c>
      <c r="E26" s="20" t="n">
        <f aca="false">D26/ajuste!$D$4</f>
        <v>1747.68512417772</v>
      </c>
      <c r="F26" s="0" t="n">
        <v>1</v>
      </c>
      <c r="G26" s="54" t="n">
        <f aca="false">E21</f>
        <v>115.437779955207</v>
      </c>
      <c r="H26" s="54" t="n">
        <f aca="false">E26</f>
        <v>1747.68512417772</v>
      </c>
      <c r="I26" s="54" t="n">
        <f aca="false">E31</f>
        <v>1666.38327145944</v>
      </c>
    </row>
    <row r="27" customFormat="false" ht="12.8" hidden="false" customHeight="false" outlineLevel="0" collapsed="false">
      <c r="B27" s="47" t="s">
        <v>235</v>
      </c>
      <c r="C27" s="53" t="n">
        <f aca="false">ajuste!D31/ajuste!$D$33</f>
        <v>0.468733775477895</v>
      </c>
      <c r="D27" s="52" t="n">
        <f aca="false">$D$25*C27</f>
        <v>2706.93755338484</v>
      </c>
      <c r="E27" s="20" t="n">
        <f aca="false">D27/ajuste!$D$4</f>
        <v>3289.11002841415</v>
      </c>
      <c r="F27" s="0" t="n">
        <v>2</v>
      </c>
      <c r="G27" s="54" t="n">
        <f aca="false">E22</f>
        <v>400.52929031355</v>
      </c>
      <c r="H27" s="54" t="n">
        <f aca="false">E27</f>
        <v>3289.11002841415</v>
      </c>
      <c r="I27" s="54" t="n">
        <f aca="false">E32</f>
        <v>2266.70872735825</v>
      </c>
    </row>
    <row r="28" customFormat="false" ht="12.8" hidden="false" customHeight="false" outlineLevel="0" collapsed="false">
      <c r="B28" s="47" t="s">
        <v>236</v>
      </c>
      <c r="C28" s="53" t="n">
        <f aca="false">ajuste!D32/ajuste!$D$33</f>
        <v>0.282202179985609</v>
      </c>
      <c r="D28" s="52" t="n">
        <f aca="false">$D$25*C28</f>
        <v>1629.71758941689</v>
      </c>
      <c r="E28" s="20" t="n">
        <f aca="false">D28/ajuste!$D$4</f>
        <v>1980.21578300959</v>
      </c>
      <c r="F28" s="0" t="n">
        <v>3</v>
      </c>
      <c r="G28" s="54" t="n">
        <f aca="false">E23</f>
        <v>269.805956047032</v>
      </c>
      <c r="H28" s="54" t="n">
        <f aca="false">E28</f>
        <v>1980.21578300959</v>
      </c>
      <c r="I28" s="54" t="n">
        <f aca="false">E33</f>
        <v>2446.56837176869</v>
      </c>
    </row>
    <row r="29" customFormat="false" ht="12.8" hidden="false" customHeight="false" outlineLevel="0" collapsed="false">
      <c r="C29" s="53"/>
      <c r="D29" s="20"/>
    </row>
    <row r="30" customFormat="false" ht="12.8" hidden="false" customHeight="false" outlineLevel="0" collapsed="false">
      <c r="B30" s="0" t="s">
        <v>3</v>
      </c>
      <c r="C30" s="47" t="s">
        <v>232</v>
      </c>
      <c r="D30" s="20" t="n">
        <f aca="false">5417*A17</f>
        <v>4586.97580645161</v>
      </c>
      <c r="F30" s="0" t="s">
        <v>233</v>
      </c>
      <c r="G30" s="40" t="s">
        <v>1</v>
      </c>
      <c r="H30" s="40" t="s">
        <v>2</v>
      </c>
      <c r="I30" s="40" t="s">
        <v>3</v>
      </c>
    </row>
    <row r="31" customFormat="false" ht="12.8" hidden="false" customHeight="false" outlineLevel="0" collapsed="false">
      <c r="B31" s="47" t="s">
        <v>234</v>
      </c>
      <c r="C31" s="53" t="n">
        <f aca="false">ajuste!E30/ajuste!$E$33</f>
        <v>0.261202505252842</v>
      </c>
      <c r="D31" s="52" t="n">
        <f aca="false">$D$30*C31</f>
        <v>1198.12957217934</v>
      </c>
      <c r="E31" s="20" t="n">
        <f aca="false">D31/ajuste!$E$4</f>
        <v>1666.38327145944</v>
      </c>
      <c r="F31" s="0" t="n">
        <v>1</v>
      </c>
      <c r="G31" s="54" t="n">
        <f aca="false">D21</f>
        <v>263.198138297872</v>
      </c>
      <c r="H31" s="54" t="n">
        <f aca="false">D26</f>
        <v>1438.34485719827</v>
      </c>
      <c r="I31" s="54" t="n">
        <f aca="false">D31</f>
        <v>1198.12957217934</v>
      </c>
    </row>
    <row r="32" customFormat="false" ht="12.8" hidden="false" customHeight="false" outlineLevel="0" collapsed="false">
      <c r="B32" s="47" t="s">
        <v>235</v>
      </c>
      <c r="C32" s="53" t="n">
        <f aca="false">ajuste!E31/ajuste!$E$33</f>
        <v>0.355302413559345</v>
      </c>
      <c r="D32" s="52" t="n">
        <f aca="false">$D$30*C32</f>
        <v>1629.76357497058</v>
      </c>
      <c r="E32" s="20" t="n">
        <f aca="false">D32/ajuste!$E$4</f>
        <v>2266.70872735825</v>
      </c>
      <c r="F32" s="0" t="n">
        <v>2</v>
      </c>
      <c r="G32" s="54" t="n">
        <f aca="false">D22</f>
        <v>913.206781914894</v>
      </c>
      <c r="H32" s="54" t="n">
        <f aca="false">D27</f>
        <v>2706.93755338484</v>
      </c>
      <c r="I32" s="54" t="n">
        <f aca="false">D32</f>
        <v>1629.76357497058</v>
      </c>
    </row>
    <row r="33" customFormat="false" ht="12.8" hidden="false" customHeight="false" outlineLevel="0" collapsed="false">
      <c r="B33" s="47" t="s">
        <v>236</v>
      </c>
      <c r="C33" s="53" t="n">
        <f aca="false">ajuste!E32/ajuste!$E$33</f>
        <v>0.383495081187812</v>
      </c>
      <c r="D33" s="52" t="n">
        <f aca="false">$D$30*C33</f>
        <v>1759.08265930169</v>
      </c>
      <c r="E33" s="20" t="n">
        <f aca="false">D33/ajuste!$E$4</f>
        <v>2446.56837176869</v>
      </c>
      <c r="F33" s="0" t="n">
        <v>3</v>
      </c>
      <c r="G33" s="54" t="n">
        <f aca="false">D23</f>
        <v>615.157579787234</v>
      </c>
      <c r="H33" s="54" t="n">
        <f aca="false">D28</f>
        <v>1629.71758941689</v>
      </c>
      <c r="I33" s="54" t="n">
        <f aca="false">D33</f>
        <v>1759.08265930169</v>
      </c>
    </row>
    <row r="36" customFormat="false" ht="12.8" hidden="false" customHeight="false" outlineLevel="0" collapsed="false">
      <c r="C36" s="0" t="s">
        <v>237</v>
      </c>
      <c r="D36" s="0" t="s">
        <v>238</v>
      </c>
      <c r="E36" s="0" t="s">
        <v>239</v>
      </c>
    </row>
    <row r="37" customFormat="false" ht="12.8" hidden="false" customHeight="false" outlineLevel="0" collapsed="false">
      <c r="B37" s="0" t="s">
        <v>1</v>
      </c>
      <c r="C37" s="55" t="n">
        <v>223852116</v>
      </c>
      <c r="D37" s="20" t="n">
        <f aca="false">D20*C37</f>
        <v>401045056571.25</v>
      </c>
      <c r="E37" s="20" t="n">
        <f aca="false">D37/0.105</f>
        <v>3819476729250</v>
      </c>
    </row>
    <row r="38" customFormat="false" ht="12.8" hidden="false" customHeight="false" outlineLevel="0" collapsed="false">
      <c r="B38" s="0" t="s">
        <v>2</v>
      </c>
      <c r="C38" s="55" t="n">
        <v>5580530</v>
      </c>
      <c r="D38" s="20" t="n">
        <f aca="false">D25*C38</f>
        <v>32227560750</v>
      </c>
      <c r="E38" s="20" t="n">
        <f aca="false">D38/0.105</f>
        <v>306929150000</v>
      </c>
    </row>
    <row r="39" customFormat="false" ht="12.8" hidden="false" customHeight="false" outlineLevel="0" collapsed="false">
      <c r="B39" s="0" t="s">
        <v>3</v>
      </c>
      <c r="C39" s="55" t="n">
        <v>66695705</v>
      </c>
      <c r="D39" s="20" t="n">
        <f aca="false">D30*C39</f>
        <v>305931585229.234</v>
      </c>
      <c r="E39" s="20" t="n">
        <f aca="false">D39/0.105</f>
        <v>2913634145040.32</v>
      </c>
    </row>
    <row r="41" customFormat="false" ht="12.8" hidden="false" customHeight="false" outlineLevel="0" collapsed="false">
      <c r="C41" s="0" t="s">
        <v>240</v>
      </c>
      <c r="D41" s="0" t="s">
        <v>241</v>
      </c>
      <c r="E41" s="0" t="s">
        <v>242</v>
      </c>
    </row>
    <row r="42" customFormat="false" ht="12.8" hidden="false" customHeight="false" outlineLevel="0" collapsed="false">
      <c r="B42" s="0" t="s">
        <v>1</v>
      </c>
      <c r="C42" s="56" t="n">
        <f aca="false">C37/1000000</f>
        <v>223.852116</v>
      </c>
      <c r="D42" s="20" t="n">
        <f aca="false">D37/1000000000</f>
        <v>401.04505657125</v>
      </c>
      <c r="E42" s="20" t="n">
        <f aca="false">E37/1000000000</f>
        <v>3819.47672925</v>
      </c>
    </row>
    <row r="43" customFormat="false" ht="12.8" hidden="false" customHeight="false" outlineLevel="0" collapsed="false">
      <c r="B43" s="0" t="s">
        <v>2</v>
      </c>
      <c r="C43" s="56" t="n">
        <f aca="false">C38/1000000</f>
        <v>5.58053</v>
      </c>
      <c r="D43" s="20" t="n">
        <f aca="false">D38/1000000000</f>
        <v>32.22756075</v>
      </c>
      <c r="E43" s="57" t="n">
        <f aca="false">E38/1000000000</f>
        <v>306.92915</v>
      </c>
    </row>
    <row r="44" customFormat="false" ht="12.8" hidden="false" customHeight="false" outlineLevel="0" collapsed="false">
      <c r="B44" s="0" t="s">
        <v>3</v>
      </c>
      <c r="C44" s="56" t="n">
        <f aca="false">C39/1000000</f>
        <v>66.695705</v>
      </c>
      <c r="D44" s="20" t="n">
        <f aca="false">D39/1000000000</f>
        <v>305.931585229234</v>
      </c>
      <c r="E44" s="20" t="n">
        <f aca="false">E39/1000000000</f>
        <v>2913.63414504032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2:H19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E10" activeCellId="0" sqref="E10"/>
    </sheetView>
  </sheetViews>
  <sheetFormatPr defaultColWidth="11.640625" defaultRowHeight="12.8" zeroHeight="false" outlineLevelRow="0" outlineLevelCol="0"/>
  <cols>
    <col collapsed="false" customWidth="true" hidden="false" outlineLevel="0" max="4" min="4" style="0" width="21.6"/>
    <col collapsed="false" customWidth="true" hidden="false" outlineLevel="0" max="5" min="5" style="0" width="15.54"/>
    <col collapsed="false" customWidth="true" hidden="false" outlineLevel="0" max="6" min="6" style="0" width="21.6"/>
  </cols>
  <sheetData>
    <row r="2" customFormat="false" ht="12.8" hidden="false" customHeight="false" outlineLevel="0" collapsed="false">
      <c r="C2" s="0" t="s">
        <v>243</v>
      </c>
      <c r="D2" s="0" t="s">
        <v>244</v>
      </c>
      <c r="E2" s="0" t="s">
        <v>245</v>
      </c>
      <c r="F2" s="0" t="s">
        <v>244</v>
      </c>
    </row>
    <row r="3" customFormat="false" ht="12.8" hidden="false" customHeight="false" outlineLevel="0" collapsed="false">
      <c r="B3" s="0" t="s">
        <v>246</v>
      </c>
      <c r="D3" s="0" t="n">
        <v>2</v>
      </c>
      <c r="H3" s="0" t="s">
        <v>247</v>
      </c>
    </row>
    <row r="4" customFormat="false" ht="12.8" hidden="false" customHeight="false" outlineLevel="0" collapsed="false">
      <c r="B4" s="0" t="s">
        <v>248</v>
      </c>
      <c r="C4" s="0" t="n">
        <v>2.8</v>
      </c>
      <c r="H4" s="0" t="s">
        <v>249</v>
      </c>
    </row>
    <row r="5" customFormat="false" ht="12.8" hidden="false" customHeight="false" outlineLevel="0" collapsed="false">
      <c r="B5" s="0" t="s">
        <v>250</v>
      </c>
      <c r="C5" s="0" t="n">
        <v>2.5</v>
      </c>
      <c r="H5" s="0" t="s">
        <v>249</v>
      </c>
    </row>
    <row r="6" customFormat="false" ht="12.8" hidden="false" customHeight="false" outlineLevel="0" collapsed="false">
      <c r="B6" s="0" t="s">
        <v>251</v>
      </c>
      <c r="C6" s="0" t="n">
        <v>2.5</v>
      </c>
      <c r="H6" s="0" t="s">
        <v>249</v>
      </c>
    </row>
    <row r="9" customFormat="false" ht="12.8" hidden="false" customHeight="false" outlineLevel="0" collapsed="false">
      <c r="B9" s="0" t="s">
        <v>1</v>
      </c>
      <c r="C9" s="42" t="n">
        <f aca="false">(313836+71313)/(base!C5*1000)</f>
        <v>1.79976168224299</v>
      </c>
      <c r="E9" s="42" t="n">
        <f aca="false">(453825+71313)/(base!C5*1000)</f>
        <v>2.45391588785047</v>
      </c>
      <c r="F9" s="40" t="n">
        <v>2</v>
      </c>
      <c r="H9" s="0" t="s">
        <v>252</v>
      </c>
    </row>
    <row r="10" customFormat="false" ht="12.8" hidden="false" customHeight="false" outlineLevel="0" collapsed="false">
      <c r="B10" s="0" t="s">
        <v>2</v>
      </c>
      <c r="E10" s="0" t="n">
        <v>2.83</v>
      </c>
      <c r="H10" s="0" t="s">
        <v>253</v>
      </c>
    </row>
    <row r="11" customFormat="false" ht="12.8" hidden="false" customHeight="false" outlineLevel="0" collapsed="false">
      <c r="B11" s="0" t="s">
        <v>3</v>
      </c>
      <c r="E11" s="0" t="n">
        <v>5.72</v>
      </c>
      <c r="H11" s="0" t="s">
        <v>254</v>
      </c>
    </row>
    <row r="13" customFormat="false" ht="12.8" hidden="false" customHeight="false" outlineLevel="0" collapsed="false">
      <c r="D13" s="47" t="s">
        <v>235</v>
      </c>
      <c r="E13" s="12" t="n">
        <f aca="false">F13/SUM($F$13:$F$14)</f>
        <v>0.593713713713714</v>
      </c>
      <c r="F13" s="0" t="n">
        <v>296560</v>
      </c>
      <c r="G13" s="58" t="n">
        <f aca="false">$F$9*E13</f>
        <v>1.18742742742743</v>
      </c>
      <c r="H13" s="0" t="s">
        <v>253</v>
      </c>
    </row>
    <row r="14" customFormat="false" ht="12.8" hidden="false" customHeight="false" outlineLevel="0" collapsed="false">
      <c r="D14" s="47" t="s">
        <v>236</v>
      </c>
      <c r="E14" s="12" t="n">
        <f aca="false">F14/SUM($F$13:$F$14)</f>
        <v>0.406286286286286</v>
      </c>
      <c r="F14" s="0" t="n">
        <v>202940</v>
      </c>
      <c r="G14" s="58" t="n">
        <f aca="false">$F$9*E14</f>
        <v>0.812572572572572</v>
      </c>
    </row>
    <row r="17" customFormat="false" ht="12.8" hidden="false" customHeight="false" outlineLevel="0" collapsed="false">
      <c r="D17" s="0" t="s">
        <v>255</v>
      </c>
    </row>
    <row r="18" customFormat="false" ht="12.8" hidden="false" customHeight="false" outlineLevel="0" collapsed="false">
      <c r="D18" s="0" t="n">
        <v>1</v>
      </c>
      <c r="E18" s="44" t="n">
        <v>1.78114114114114</v>
      </c>
    </row>
    <row r="19" customFormat="false" ht="12.8" hidden="false" customHeight="false" outlineLevel="0" collapsed="false">
      <c r="D19" s="0" t="n">
        <v>2</v>
      </c>
      <c r="E19" s="44" t="n">
        <v>1.21885885885886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18884</TotalTime>
  <Application>LibreOffice/7.3.1.3$Windows_X86_64 LibreOffice_project/a69ca51ded25f3eefd52d7bf9a5fad8c90b87951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2022-11-09T14:44:04Z</dcterms:created>
  <dc:creator/>
  <dc:description/>
  <dc:language>en-US</dc:language>
  <cp:lastModifiedBy/>
  <dcterms:modified xsi:type="dcterms:W3CDTF">2023-01-06T17:45:16Z</dcterms:modified>
  <cp:revision>83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