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ias\Documents\rcomp-19-20-na-g2\doc\sprint1\1171865\"/>
    </mc:Choice>
  </mc:AlternateContent>
  <xr:revisionPtr revIDLastSave="0" documentId="13_ncr:1_{C9A6429D-02BD-47DA-A44A-A47CD9853301}" xr6:coauthVersionLast="45" xr6:coauthVersionMax="45" xr10:uidLastSave="{00000000-0000-0000-0000-000000000000}"/>
  <bookViews>
    <workbookView xWindow="-108" yWindow="-108" windowWidth="15576" windowHeight="9816" xr2:uid="{D6BE2DC6-3303-B94B-86CC-5D601A4D0909}"/>
  </bookViews>
  <sheets>
    <sheet name="Contabilizacao TOTAL" sheetId="4" r:id="rId1"/>
    <sheet name="campus" sheetId="3" r:id="rId2"/>
    <sheet name="Piso 0" sheetId="1" r:id="rId3"/>
    <sheet name="Piso 1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3" i="4"/>
  <c r="B37" i="1"/>
  <c r="B36" i="1"/>
  <c r="C20" i="2" l="1"/>
  <c r="F5" i="4" l="1"/>
  <c r="F6" i="4"/>
  <c r="B19" i="3" l="1"/>
  <c r="B17" i="3"/>
  <c r="B15" i="3"/>
  <c r="B14" i="3"/>
  <c r="B18" i="3" s="1"/>
  <c r="B6" i="3"/>
  <c r="B16" i="3" l="1"/>
  <c r="C9" i="2"/>
  <c r="B27" i="3"/>
  <c r="C70" i="2"/>
  <c r="C69" i="2"/>
  <c r="B56" i="2"/>
  <c r="C10" i="2"/>
  <c r="B27" i="2"/>
  <c r="B36" i="2" s="1"/>
  <c r="G38" i="2" s="1"/>
  <c r="C19" i="2"/>
  <c r="C50" i="1"/>
  <c r="C51" i="1"/>
  <c r="C29" i="1"/>
  <c r="B28" i="1"/>
  <c r="B16" i="1"/>
  <c r="C21" i="1" s="1"/>
  <c r="B15" i="1"/>
  <c r="I17" i="1" s="1"/>
  <c r="G17" i="1" s="1"/>
  <c r="E17" i="1" s="1"/>
  <c r="C17" i="1" s="1"/>
  <c r="B5" i="1"/>
  <c r="C6" i="1" s="1"/>
  <c r="E6" i="1" s="1"/>
  <c r="G6" i="1" s="1"/>
  <c r="B3" i="1"/>
  <c r="E38" i="2" l="1"/>
  <c r="C28" i="2"/>
  <c r="B37" i="2"/>
  <c r="C30" i="1"/>
  <c r="I18" i="1"/>
  <c r="C7" i="1"/>
  <c r="E28" i="2" l="1"/>
  <c r="I29" i="2" s="1"/>
  <c r="B47" i="2"/>
  <c r="G40" i="2"/>
  <c r="C29" i="2"/>
  <c r="C30" i="2" s="1"/>
  <c r="C38" i="2"/>
  <c r="E29" i="2"/>
  <c r="E30" i="2" s="1"/>
  <c r="G28" i="2"/>
  <c r="I19" i="1"/>
  <c r="G18" i="1"/>
  <c r="E18" i="1" s="1"/>
  <c r="E7" i="1"/>
  <c r="C8" i="1"/>
  <c r="E8" i="1" s="1"/>
  <c r="G8" i="1" s="1"/>
  <c r="D6" i="3"/>
  <c r="D4" i="3"/>
  <c r="B48" i="2" l="1"/>
  <c r="I52" i="2" s="1"/>
  <c r="I49" i="2"/>
  <c r="B20" i="3"/>
  <c r="E40" i="2"/>
  <c r="G39" i="2"/>
  <c r="G41" i="2" s="1"/>
  <c r="G29" i="2"/>
  <c r="G30" i="2" s="1"/>
  <c r="H30" i="2" s="1"/>
  <c r="I30" i="2" s="1"/>
  <c r="C9" i="1"/>
  <c r="I20" i="1"/>
  <c r="G20" i="1" s="1"/>
  <c r="E20" i="1" s="1"/>
  <c r="C20" i="1" s="1"/>
  <c r="G19" i="1"/>
  <c r="E19" i="1" s="1"/>
  <c r="C19" i="1" s="1"/>
  <c r="C18" i="1"/>
  <c r="K21" i="1" s="1"/>
  <c r="G7" i="1"/>
  <c r="G9" i="1" s="1"/>
  <c r="E9" i="1"/>
  <c r="B25" i="2"/>
  <c r="B45" i="2"/>
  <c r="B34" i="2"/>
  <c r="G49" i="2" l="1"/>
  <c r="I50" i="2"/>
  <c r="I53" i="2" s="1"/>
  <c r="G52" i="2"/>
  <c r="I51" i="2"/>
  <c r="E39" i="2"/>
  <c r="E41" i="2" s="1"/>
  <c r="C40" i="2"/>
  <c r="C39" i="2" s="1"/>
  <c r="C41" i="2" s="1"/>
  <c r="C22" i="1"/>
  <c r="E22" i="1"/>
  <c r="H9" i="1"/>
  <c r="I9" i="1" s="1"/>
  <c r="C31" i="1"/>
  <c r="B26" i="1"/>
  <c r="B13" i="1"/>
  <c r="G51" i="2" l="1"/>
  <c r="E52" i="2"/>
  <c r="G50" i="2"/>
  <c r="G53" i="2" s="1"/>
  <c r="E49" i="2"/>
  <c r="H41" i="2"/>
  <c r="I41" i="2" s="1"/>
  <c r="C32" i="1"/>
  <c r="C33" i="1" s="1"/>
  <c r="C34" i="1" s="1"/>
  <c r="E50" i="2" l="1"/>
  <c r="E53" i="2" s="1"/>
  <c r="C49" i="2"/>
  <c r="C52" i="2"/>
  <c r="C51" i="2" s="1"/>
  <c r="E51" i="2"/>
  <c r="G22" i="1"/>
  <c r="C50" i="2" l="1"/>
  <c r="C53" i="2"/>
  <c r="J53" i="2" s="1"/>
  <c r="K52" i="2"/>
  <c r="I22" i="1"/>
  <c r="J22" i="1" s="1"/>
  <c r="K22" i="1" s="1"/>
  <c r="K53" i="2" l="1"/>
  <c r="B55" i="2" s="1"/>
</calcChain>
</file>

<file path=xl/sharedStrings.xml><?xml version="1.0" encoding="utf-8"?>
<sst xmlns="http://schemas.openxmlformats.org/spreadsheetml/2006/main" count="242" uniqueCount="110">
  <si>
    <t>A0.1</t>
  </si>
  <si>
    <t>A0.2</t>
  </si>
  <si>
    <t>A0.3</t>
  </si>
  <si>
    <t>nr outlets</t>
  </si>
  <si>
    <t>dimensão</t>
  </si>
  <si>
    <t>11.5 x 7.5</t>
  </si>
  <si>
    <t>área</t>
  </si>
  <si>
    <t>11.5 x 11</t>
  </si>
  <si>
    <t>1.7 x 8</t>
  </si>
  <si>
    <t>balcão da entrada</t>
  </si>
  <si>
    <t>total outlets</t>
  </si>
  <si>
    <t>U</t>
  </si>
  <si>
    <t>patch panel</t>
  </si>
  <si>
    <t>switch</t>
  </si>
  <si>
    <t>cat6a</t>
  </si>
  <si>
    <t>UPS</t>
  </si>
  <si>
    <t>Iluminação</t>
  </si>
  <si>
    <t>Total=</t>
  </si>
  <si>
    <t>sobredimensionado=</t>
  </si>
  <si>
    <t>RACK=</t>
  </si>
  <si>
    <t>A1.2</t>
  </si>
  <si>
    <t>A1.3</t>
  </si>
  <si>
    <t>A1.4</t>
  </si>
  <si>
    <t>5.6 x 8</t>
  </si>
  <si>
    <t>HC</t>
  </si>
  <si>
    <t>11.8 x 7.3</t>
  </si>
  <si>
    <t>11.8 x 11.2</t>
  </si>
  <si>
    <t>A1.1</t>
  </si>
  <si>
    <t>MC</t>
  </si>
  <si>
    <t>IC</t>
  </si>
  <si>
    <t>switch (fibra SFP)</t>
  </si>
  <si>
    <t>router (fibra SFP)</t>
  </si>
  <si>
    <t>patch panel (fibra SFP)</t>
  </si>
  <si>
    <t>4 edf x 2 conectores x 2 cabos</t>
  </si>
  <si>
    <t>m</t>
  </si>
  <si>
    <t>cabo:</t>
  </si>
  <si>
    <t>fibra ótica monomodo full-duplex</t>
  </si>
  <si>
    <t>nome:</t>
  </si>
  <si>
    <t>100GbaseLR10</t>
  </si>
  <si>
    <t>nº fibras:</t>
  </si>
  <si>
    <t>comprimeto max:</t>
  </si>
  <si>
    <t>10GbaseLR</t>
  </si>
  <si>
    <t>cabo necessário:</t>
  </si>
  <si>
    <t>Perímetro do ditch do campus:</t>
  </si>
  <si>
    <t>P/ edf A:</t>
  </si>
  <si>
    <t>P/ edf B:</t>
  </si>
  <si>
    <t>do fornecedor à entrada do edf A</t>
  </si>
  <si>
    <t>da entrada do edf A ao MC</t>
  </si>
  <si>
    <t>P/ edf C:</t>
  </si>
  <si>
    <t>P/ edf D:</t>
  </si>
  <si>
    <t>Backbone do campus (MC-&gt;IC)</t>
  </si>
  <si>
    <t>fornecedor telecomunicações (ligação ao -&gt;MC)</t>
  </si>
  <si>
    <t>P/ edf E:</t>
  </si>
  <si>
    <t>(s/ contabilizar dentro do edifício)</t>
  </si>
  <si>
    <r>
      <t>m</t>
    </r>
    <r>
      <rPr>
        <vertAlign val="superscript"/>
        <sz val="12"/>
        <color theme="1"/>
        <rFont val="Calibri"/>
        <family val="2"/>
        <scheme val="minor"/>
      </rPr>
      <t>2</t>
    </r>
  </si>
  <si>
    <t>do HC ao ditch da sala</t>
  </si>
  <si>
    <t>do HC ao ditch da direita</t>
  </si>
  <si>
    <t>do HC ao ditch da esquerda (baixo)</t>
  </si>
  <si>
    <t>Contabilização cabo cobre</t>
  </si>
  <si>
    <t>do HC ao ditch do balcão</t>
  </si>
  <si>
    <t>48+24</t>
  </si>
  <si>
    <t>24 cat6a + 4 conectores fibra SFP</t>
  </si>
  <si>
    <t>fibra SFP (12 ocupados)</t>
  </si>
  <si>
    <t>do HC ao ditch da sala (cima)</t>
  </si>
  <si>
    <t>do HC ao ditch da sala (baixo)</t>
  </si>
  <si>
    <t>Backbone do Edifício A (IC-&gt;HC)</t>
  </si>
  <si>
    <t>fibra ótica multimodo full-duplex</t>
  </si>
  <si>
    <t>10GbaseSR</t>
  </si>
  <si>
    <t>25 a 400</t>
  </si>
  <si>
    <t>Nota:</t>
  </si>
  <si>
    <t>IC-&gt;HC piso 0 = 4 m</t>
  </si>
  <si>
    <t>IC-&gt;HC piso 1 = 1m</t>
  </si>
  <si>
    <t>total cabo cobre CAT6A</t>
  </si>
  <si>
    <t>48 cat6a + 4 conectores fibra SFP</t>
  </si>
  <si>
    <t>Material</t>
  </si>
  <si>
    <t>Unidade</t>
  </si>
  <si>
    <t>Quantidade</t>
  </si>
  <si>
    <t>Rack (U)</t>
  </si>
  <si>
    <t>Unitário</t>
  </si>
  <si>
    <t>-</t>
  </si>
  <si>
    <t>Pactch Panel 48 portas</t>
  </si>
  <si>
    <t>Cabo fibra ótica monomodo full-duplex 100GbaseLR10</t>
  </si>
  <si>
    <t>Metro</t>
  </si>
  <si>
    <t>Cabo fibra ótica monomodo full-duplex 10GbaseLR</t>
  </si>
  <si>
    <t>Cabo fibra ótica multimodo full-duplex 10GbaseSR</t>
  </si>
  <si>
    <t>Cabo UTP cat 6a</t>
  </si>
  <si>
    <t>Outlets</t>
  </si>
  <si>
    <t>Bastidor 19'' 18U</t>
  </si>
  <si>
    <t>Bastidor 19'' 12U</t>
  </si>
  <si>
    <t>EDF B</t>
  </si>
  <si>
    <t>EDF C</t>
  </si>
  <si>
    <t>EDF D</t>
  </si>
  <si>
    <t>Router</t>
  </si>
  <si>
    <t>Pactch Panel 24 portas</t>
  </si>
  <si>
    <t>Switch 48 portas</t>
  </si>
  <si>
    <t>Switch 24 portas</t>
  </si>
  <si>
    <t>Switch 24 portas (fibra)</t>
  </si>
  <si>
    <t>Pactch Panel 24 portas (fibra)</t>
  </si>
  <si>
    <t>unitário</t>
  </si>
  <si>
    <t>Pactch Panel 72 portas</t>
  </si>
  <si>
    <t>Pactch Panel 12 portas (fibra)</t>
  </si>
  <si>
    <t>Bastidor 19'' 6U</t>
  </si>
  <si>
    <t>Switch 72 portas</t>
  </si>
  <si>
    <t>Bastidor 19'' 36U</t>
  </si>
  <si>
    <t>Bastidor 19'' 24U</t>
  </si>
  <si>
    <t>Access Point</t>
  </si>
  <si>
    <t>(2 ICpp-ICsw x 2) + 2*(2 piso x 2 conectores x 2 cabos)</t>
  </si>
  <si>
    <t>(2 MC-IC x 2) + 2*(2 piso x 2 conectores x 2 cabos)</t>
  </si>
  <si>
    <t>EDF A</t>
  </si>
  <si>
    <t>Cabelagem e Equipamentos (TOTAL)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</si>
</sst>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1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8CBAD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7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164" fontId="2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right"/>
    </xf>
    <xf numFmtId="0" fontId="7" fillId="3" borderId="0" xfId="0" applyFont="1" applyFill="1" applyAlignment="1">
      <alignment horizontal="right"/>
    </xf>
    <xf numFmtId="0" fontId="1" fillId="3" borderId="0" xfId="0" applyFont="1" applyFill="1"/>
    <xf numFmtId="0" fontId="0" fillId="3" borderId="0" xfId="0" applyFill="1"/>
    <xf numFmtId="164" fontId="0" fillId="0" borderId="0" xfId="0" applyNumberFormat="1"/>
    <xf numFmtId="1" fontId="0" fillId="0" borderId="0" xfId="0" applyNumberFormat="1"/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164" fontId="5" fillId="0" borderId="0" xfId="0" applyNumberFormat="1" applyFont="1" applyAlignment="1">
      <alignment horizontal="center"/>
    </xf>
    <xf numFmtId="164" fontId="4" fillId="2" borderId="0" xfId="0" applyNumberFormat="1" applyFont="1" applyFill="1" applyAlignment="1">
      <alignment horizont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2" fontId="0" fillId="0" borderId="0" xfId="0" applyNumberFormat="1"/>
    <xf numFmtId="0" fontId="0" fillId="0" borderId="0" xfId="1" applyNumberFormat="1" applyFont="1"/>
    <xf numFmtId="1" fontId="0" fillId="0" borderId="0" xfId="1" applyNumberFormat="1" applyFont="1"/>
    <xf numFmtId="0" fontId="0" fillId="0" borderId="0" xfId="0" applyAlignment="1">
      <alignment horizontal="right"/>
    </xf>
    <xf numFmtId="1" fontId="0" fillId="2" borderId="0" xfId="0" applyNumberFormat="1" applyFill="1" applyAlignment="1">
      <alignment horizontal="center"/>
    </xf>
    <xf numFmtId="0" fontId="0" fillId="4" borderId="0" xfId="0" applyFill="1"/>
    <xf numFmtId="0" fontId="0" fillId="0" borderId="0" xfId="0" applyFont="1"/>
    <xf numFmtId="164" fontId="0" fillId="5" borderId="0" xfId="0" applyNumberFormat="1" applyFill="1" applyAlignment="1">
      <alignment horizontal="center"/>
    </xf>
    <xf numFmtId="164" fontId="3" fillId="5" borderId="0" xfId="0" applyNumberFormat="1" applyFont="1" applyFill="1" applyAlignment="1">
      <alignment horizontal="center"/>
    </xf>
    <xf numFmtId="164" fontId="10" fillId="5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64" fontId="10" fillId="7" borderId="0" xfId="0" applyNumberFormat="1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1" applyNumberFormat="1" applyFont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left"/>
    </xf>
    <xf numFmtId="0" fontId="0" fillId="0" borderId="0" xfId="0" applyBorder="1"/>
    <xf numFmtId="164" fontId="11" fillId="2" borderId="0" xfId="0" applyNumberFormat="1" applyFont="1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164" fontId="0" fillId="5" borderId="0" xfId="0" applyNumberFormat="1" applyFill="1"/>
    <xf numFmtId="164" fontId="4" fillId="2" borderId="0" xfId="0" applyNumberFormat="1" applyFont="1" applyFill="1"/>
    <xf numFmtId="0" fontId="0" fillId="7" borderId="0" xfId="0" applyFill="1"/>
    <xf numFmtId="0" fontId="0" fillId="7" borderId="0" xfId="0" applyFill="1" applyAlignment="1">
      <alignment horizont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4" fillId="0" borderId="0" xfId="0" applyFont="1"/>
    <xf numFmtId="0" fontId="12" fillId="9" borderId="4" xfId="0" applyFont="1" applyFill="1" applyBorder="1" applyAlignment="1">
      <alignment horizontal="center" vertical="center"/>
    </xf>
    <xf numFmtId="0" fontId="12" fillId="9" borderId="5" xfId="0" applyFont="1" applyFill="1" applyBorder="1" applyAlignment="1">
      <alignment horizontal="center" vertical="center"/>
    </xf>
    <xf numFmtId="0" fontId="0" fillId="8" borderId="0" xfId="0" applyFill="1" applyAlignment="1">
      <alignment horizontal="center"/>
    </xf>
    <xf numFmtId="0" fontId="12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164" fontId="13" fillId="0" borderId="11" xfId="0" applyNumberFormat="1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1" fontId="13" fillId="0" borderId="7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1" fontId="13" fillId="0" borderId="8" xfId="0" applyNumberFormat="1" applyFont="1" applyBorder="1" applyAlignment="1">
      <alignment horizontal="center" vertical="center"/>
    </xf>
    <xf numFmtId="0" fontId="15" fillId="0" borderId="11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4A349-B9A4-48B2-8397-7F258879FD02}">
  <dimension ref="A1:I25"/>
  <sheetViews>
    <sheetView tabSelected="1" zoomScale="80" zoomScaleNormal="80" workbookViewId="0">
      <selection activeCell="A25" sqref="A1:D25"/>
    </sheetView>
  </sheetViews>
  <sheetFormatPr defaultColWidth="8.8984375" defaultRowHeight="15.6" x14ac:dyDescent="0.3"/>
  <cols>
    <col min="1" max="1" width="37.8984375" bestFit="1" customWidth="1"/>
    <col min="2" max="2" width="9.3984375" bestFit="1" customWidth="1"/>
    <col min="3" max="3" width="8" bestFit="1" customWidth="1"/>
    <col min="4" max="4" width="5.8984375" bestFit="1" customWidth="1"/>
  </cols>
  <sheetData>
    <row r="1" spans="1:9" ht="16.2" thickBot="1" x14ac:dyDescent="0.35">
      <c r="A1" s="57" t="s">
        <v>109</v>
      </c>
      <c r="B1" s="58"/>
      <c r="C1" s="58"/>
      <c r="D1" s="58"/>
    </row>
    <row r="2" spans="1:9" ht="16.2" thickBot="1" x14ac:dyDescent="0.35">
      <c r="A2" s="52" t="s">
        <v>74</v>
      </c>
      <c r="B2" s="53" t="s">
        <v>75</v>
      </c>
      <c r="C2" s="53" t="s">
        <v>76</v>
      </c>
      <c r="D2" s="60" t="s">
        <v>77</v>
      </c>
      <c r="E2" s="71" t="s">
        <v>108</v>
      </c>
      <c r="F2" s="73" t="s">
        <v>89</v>
      </c>
      <c r="G2" s="72" t="s">
        <v>90</v>
      </c>
      <c r="H2" s="73" t="s">
        <v>91</v>
      </c>
    </row>
    <row r="3" spans="1:9" ht="16.2" thickBot="1" x14ac:dyDescent="0.35">
      <c r="A3" s="54" t="s">
        <v>81</v>
      </c>
      <c r="B3" s="55" t="s">
        <v>82</v>
      </c>
      <c r="C3" s="55">
        <f>SUM(E3:H3)</f>
        <v>93</v>
      </c>
      <c r="D3" s="61" t="s">
        <v>79</v>
      </c>
      <c r="E3" s="62">
        <v>93</v>
      </c>
      <c r="F3" s="74"/>
      <c r="G3" s="66"/>
      <c r="H3" s="74"/>
    </row>
    <row r="4" spans="1:9" ht="16.2" thickBot="1" x14ac:dyDescent="0.35">
      <c r="A4" s="54" t="s">
        <v>83</v>
      </c>
      <c r="B4" s="55" t="s">
        <v>82</v>
      </c>
      <c r="C4" s="55">
        <f t="shared" ref="C4:C25" si="0">SUM(E4:H4)</f>
        <v>3461</v>
      </c>
      <c r="D4" s="61" t="s">
        <v>79</v>
      </c>
      <c r="E4" s="62">
        <v>3341</v>
      </c>
      <c r="F4" s="75"/>
      <c r="G4" s="67"/>
      <c r="H4" s="75">
        <v>120</v>
      </c>
    </row>
    <row r="5" spans="1:9" ht="16.2" thickBot="1" x14ac:dyDescent="0.35">
      <c r="A5" s="54" t="s">
        <v>84</v>
      </c>
      <c r="B5" s="55" t="s">
        <v>82</v>
      </c>
      <c r="C5" s="65">
        <f t="shared" si="0"/>
        <v>590.9</v>
      </c>
      <c r="D5" s="68"/>
      <c r="E5" s="62">
        <v>10</v>
      </c>
      <c r="F5" s="75">
        <f>80</f>
        <v>80</v>
      </c>
      <c r="G5" s="67">
        <v>164</v>
      </c>
      <c r="H5" s="75">
        <v>336.9</v>
      </c>
    </row>
    <row r="6" spans="1:9" ht="16.2" thickBot="1" x14ac:dyDescent="0.35">
      <c r="A6" s="54" t="s">
        <v>85</v>
      </c>
      <c r="B6" s="55" t="s">
        <v>82</v>
      </c>
      <c r="C6" s="65">
        <f t="shared" si="0"/>
        <v>36381.800000000003</v>
      </c>
      <c r="D6" s="68" t="s">
        <v>79</v>
      </c>
      <c r="E6" s="63">
        <v>2938.2</v>
      </c>
      <c r="F6" s="75">
        <f>4489.6+5642</f>
        <v>10131.6</v>
      </c>
      <c r="G6" s="67">
        <v>14122</v>
      </c>
      <c r="H6" s="75">
        <v>9190</v>
      </c>
    </row>
    <row r="7" spans="1:9" ht="16.2" thickBot="1" x14ac:dyDescent="0.35">
      <c r="A7" s="54" t="s">
        <v>86</v>
      </c>
      <c r="B7" s="55" t="s">
        <v>78</v>
      </c>
      <c r="C7" s="55">
        <f t="shared" si="0"/>
        <v>1205</v>
      </c>
      <c r="D7" s="61" t="s">
        <v>79</v>
      </c>
      <c r="E7" s="62">
        <v>105</v>
      </c>
      <c r="F7" s="75">
        <v>204</v>
      </c>
      <c r="G7" s="67">
        <v>449</v>
      </c>
      <c r="H7" s="75">
        <v>447</v>
      </c>
    </row>
    <row r="8" spans="1:9" ht="16.2" thickBot="1" x14ac:dyDescent="0.35">
      <c r="A8" s="54" t="s">
        <v>101</v>
      </c>
      <c r="B8" s="55" t="s">
        <v>78</v>
      </c>
      <c r="C8" s="55">
        <f t="shared" si="0"/>
        <v>3</v>
      </c>
      <c r="D8" s="61">
        <v>6</v>
      </c>
      <c r="E8" s="62"/>
      <c r="F8" s="75">
        <v>1</v>
      </c>
      <c r="G8" s="67">
        <v>1</v>
      </c>
      <c r="H8" s="75">
        <v>1</v>
      </c>
    </row>
    <row r="9" spans="1:9" ht="16.2" thickBot="1" x14ac:dyDescent="0.35">
      <c r="A9" s="54" t="s">
        <v>88</v>
      </c>
      <c r="B9" s="55" t="s">
        <v>78</v>
      </c>
      <c r="C9" s="55">
        <f t="shared" si="0"/>
        <v>5</v>
      </c>
      <c r="D9" s="61">
        <v>12</v>
      </c>
      <c r="E9" s="62">
        <v>2</v>
      </c>
      <c r="F9" s="75"/>
      <c r="G9" s="67">
        <v>1</v>
      </c>
      <c r="H9" s="75">
        <v>2</v>
      </c>
    </row>
    <row r="10" spans="1:9" ht="16.2" thickBot="1" x14ac:dyDescent="0.35">
      <c r="A10" s="54" t="s">
        <v>87</v>
      </c>
      <c r="B10" s="55" t="s">
        <v>78</v>
      </c>
      <c r="C10" s="55">
        <f t="shared" si="0"/>
        <v>2</v>
      </c>
      <c r="D10" s="61">
        <v>18</v>
      </c>
      <c r="E10" s="62">
        <v>2</v>
      </c>
      <c r="F10" s="75"/>
      <c r="G10" s="67"/>
      <c r="H10" s="75"/>
      <c r="I10" s="56"/>
    </row>
    <row r="11" spans="1:9" ht="16.2" thickBot="1" x14ac:dyDescent="0.35">
      <c r="A11" s="54" t="s">
        <v>104</v>
      </c>
      <c r="B11" s="55" t="s">
        <v>78</v>
      </c>
      <c r="C11" s="55">
        <f t="shared" si="0"/>
        <v>5</v>
      </c>
      <c r="D11" s="61">
        <v>24</v>
      </c>
      <c r="E11" s="62"/>
      <c r="F11" s="75">
        <v>1</v>
      </c>
      <c r="G11" s="67">
        <v>3</v>
      </c>
      <c r="H11" s="75">
        <v>1</v>
      </c>
    </row>
    <row r="12" spans="1:9" ht="16.2" thickBot="1" x14ac:dyDescent="0.35">
      <c r="A12" s="54" t="s">
        <v>103</v>
      </c>
      <c r="B12" s="55" t="s">
        <v>78</v>
      </c>
      <c r="C12" s="55">
        <f t="shared" si="0"/>
        <v>2</v>
      </c>
      <c r="D12" s="61">
        <v>36</v>
      </c>
      <c r="E12" s="62"/>
      <c r="F12" s="75">
        <v>1</v>
      </c>
      <c r="G12" s="67"/>
      <c r="H12" s="75">
        <v>1</v>
      </c>
    </row>
    <row r="13" spans="1:9" ht="16.2" thickBot="1" x14ac:dyDescent="0.35">
      <c r="A13" s="54" t="s">
        <v>102</v>
      </c>
      <c r="B13" s="55" t="s">
        <v>78</v>
      </c>
      <c r="C13" s="55">
        <f t="shared" si="0"/>
        <v>10</v>
      </c>
      <c r="D13" s="61">
        <v>2</v>
      </c>
      <c r="E13" s="62"/>
      <c r="F13" s="75"/>
      <c r="G13" s="67">
        <v>3</v>
      </c>
      <c r="H13" s="75">
        <v>7</v>
      </c>
    </row>
    <row r="14" spans="1:9" ht="16.2" thickBot="1" x14ac:dyDescent="0.35">
      <c r="A14" s="54" t="s">
        <v>94</v>
      </c>
      <c r="B14" s="55" t="s">
        <v>78</v>
      </c>
      <c r="C14" s="55">
        <f t="shared" si="0"/>
        <v>9</v>
      </c>
      <c r="D14" s="61">
        <v>2</v>
      </c>
      <c r="E14" s="62">
        <v>2</v>
      </c>
      <c r="F14" s="75">
        <v>5</v>
      </c>
      <c r="G14" s="67">
        <v>1</v>
      </c>
      <c r="H14" s="75">
        <v>1</v>
      </c>
    </row>
    <row r="15" spans="1:9" ht="16.2" thickBot="1" x14ac:dyDescent="0.35">
      <c r="A15" s="54" t="s">
        <v>95</v>
      </c>
      <c r="B15" s="55" t="s">
        <v>78</v>
      </c>
      <c r="C15" s="55">
        <f t="shared" si="0"/>
        <v>2</v>
      </c>
      <c r="D15" s="61">
        <v>1</v>
      </c>
      <c r="E15" s="62">
        <v>2</v>
      </c>
      <c r="F15" s="75"/>
      <c r="G15" s="67"/>
      <c r="H15" s="75"/>
    </row>
    <row r="16" spans="1:9" ht="16.2" thickBot="1" x14ac:dyDescent="0.35">
      <c r="A16" s="54" t="s">
        <v>93</v>
      </c>
      <c r="B16" s="55" t="s">
        <v>78</v>
      </c>
      <c r="C16" s="55">
        <f t="shared" si="0"/>
        <v>2</v>
      </c>
      <c r="D16" s="61">
        <v>1</v>
      </c>
      <c r="E16" s="62">
        <v>2</v>
      </c>
      <c r="F16" s="75"/>
      <c r="G16" s="67"/>
      <c r="H16" s="75"/>
    </row>
    <row r="17" spans="1:8" ht="16.2" thickBot="1" x14ac:dyDescent="0.35">
      <c r="A17" s="54" t="s">
        <v>80</v>
      </c>
      <c r="B17" s="55" t="s">
        <v>78</v>
      </c>
      <c r="C17" s="55">
        <f t="shared" si="0"/>
        <v>9</v>
      </c>
      <c r="D17" s="61">
        <v>2</v>
      </c>
      <c r="E17" s="62">
        <v>2</v>
      </c>
      <c r="F17" s="75">
        <v>5</v>
      </c>
      <c r="G17" s="67">
        <v>1</v>
      </c>
      <c r="H17" s="75">
        <v>1</v>
      </c>
    </row>
    <row r="18" spans="1:8" ht="16.2" thickBot="1" x14ac:dyDescent="0.35">
      <c r="A18" s="54" t="s">
        <v>99</v>
      </c>
      <c r="B18" s="55" t="s">
        <v>98</v>
      </c>
      <c r="C18" s="55">
        <f t="shared" si="0"/>
        <v>10</v>
      </c>
      <c r="D18" s="61">
        <v>2</v>
      </c>
      <c r="E18" s="69"/>
      <c r="F18" s="75"/>
      <c r="G18" s="67">
        <v>3</v>
      </c>
      <c r="H18" s="75">
        <v>7</v>
      </c>
    </row>
    <row r="19" spans="1:8" ht="16.2" thickBot="1" x14ac:dyDescent="0.35">
      <c r="A19" s="54" t="s">
        <v>15</v>
      </c>
      <c r="B19" s="55" t="s">
        <v>78</v>
      </c>
      <c r="C19" s="55">
        <f t="shared" si="0"/>
        <v>16</v>
      </c>
      <c r="D19" s="61">
        <v>1</v>
      </c>
      <c r="E19" s="62">
        <v>4</v>
      </c>
      <c r="F19" s="75">
        <v>3</v>
      </c>
      <c r="G19" s="67">
        <v>4</v>
      </c>
      <c r="H19" s="75">
        <v>5</v>
      </c>
    </row>
    <row r="20" spans="1:8" ht="16.2" thickBot="1" x14ac:dyDescent="0.35">
      <c r="A20" s="54" t="s">
        <v>16</v>
      </c>
      <c r="B20" s="55" t="s">
        <v>78</v>
      </c>
      <c r="C20" s="55">
        <f t="shared" si="0"/>
        <v>4</v>
      </c>
      <c r="D20" s="61">
        <v>1</v>
      </c>
      <c r="E20" s="62">
        <v>4</v>
      </c>
      <c r="F20" s="75"/>
      <c r="G20" s="67"/>
      <c r="H20" s="75"/>
    </row>
    <row r="21" spans="1:8" ht="16.2" thickBot="1" x14ac:dyDescent="0.35">
      <c r="A21" s="54" t="s">
        <v>96</v>
      </c>
      <c r="B21" s="55" t="s">
        <v>78</v>
      </c>
      <c r="C21" s="55">
        <f t="shared" si="0"/>
        <v>5</v>
      </c>
      <c r="D21" s="61">
        <v>1</v>
      </c>
      <c r="E21" s="62">
        <v>2</v>
      </c>
      <c r="F21" s="75">
        <v>1</v>
      </c>
      <c r="G21" s="67">
        <v>1</v>
      </c>
      <c r="H21" s="75">
        <v>1</v>
      </c>
    </row>
    <row r="22" spans="1:8" ht="16.2" thickBot="1" x14ac:dyDescent="0.35">
      <c r="A22" s="54" t="s">
        <v>100</v>
      </c>
      <c r="B22" s="55" t="s">
        <v>78</v>
      </c>
      <c r="C22" s="55">
        <f t="shared" si="0"/>
        <v>13</v>
      </c>
      <c r="D22" s="61">
        <v>1</v>
      </c>
      <c r="E22" s="62">
        <v>2</v>
      </c>
      <c r="F22" s="75">
        <v>3</v>
      </c>
      <c r="G22" s="67">
        <v>4</v>
      </c>
      <c r="H22" s="75">
        <v>4</v>
      </c>
    </row>
    <row r="23" spans="1:8" ht="16.2" thickBot="1" x14ac:dyDescent="0.35">
      <c r="A23" s="54" t="s">
        <v>97</v>
      </c>
      <c r="B23" s="55" t="s">
        <v>78</v>
      </c>
      <c r="C23" s="55">
        <f t="shared" si="0"/>
        <v>4</v>
      </c>
      <c r="D23" s="61">
        <v>1</v>
      </c>
      <c r="E23" s="62">
        <v>2</v>
      </c>
      <c r="F23" s="75"/>
      <c r="G23" s="67">
        <v>1</v>
      </c>
      <c r="H23" s="75">
        <v>1</v>
      </c>
    </row>
    <row r="24" spans="1:8" ht="16.2" thickBot="1" x14ac:dyDescent="0.35">
      <c r="A24" s="54" t="s">
        <v>92</v>
      </c>
      <c r="B24" s="55" t="s">
        <v>78</v>
      </c>
      <c r="C24" s="55">
        <f t="shared" si="0"/>
        <v>1</v>
      </c>
      <c r="D24" s="61">
        <v>1</v>
      </c>
      <c r="E24" s="62">
        <v>1</v>
      </c>
      <c r="F24" s="75"/>
      <c r="G24" s="67"/>
      <c r="H24" s="75"/>
    </row>
    <row r="25" spans="1:8" ht="16.2" thickBot="1" x14ac:dyDescent="0.35">
      <c r="A25" s="54" t="s">
        <v>105</v>
      </c>
      <c r="B25" s="55" t="s">
        <v>78</v>
      </c>
      <c r="C25" s="55">
        <f t="shared" si="0"/>
        <v>11</v>
      </c>
      <c r="D25" s="61" t="s">
        <v>79</v>
      </c>
      <c r="E25" s="64">
        <v>2</v>
      </c>
      <c r="F25" s="76">
        <v>3</v>
      </c>
      <c r="G25" s="70">
        <v>3</v>
      </c>
      <c r="H25" s="76">
        <v>3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FC02B-FB02-4718-A828-3621C8FD7E2E}">
  <dimension ref="A1:F27"/>
  <sheetViews>
    <sheetView topLeftCell="A15" workbookViewId="0">
      <selection activeCell="D26" sqref="D26"/>
    </sheetView>
  </sheetViews>
  <sheetFormatPr defaultColWidth="8.8984375" defaultRowHeight="15.6" x14ac:dyDescent="0.3"/>
  <cols>
    <col min="1" max="1" width="27.09765625" bestFit="1" customWidth="1"/>
    <col min="2" max="2" width="29.59765625" bestFit="1" customWidth="1"/>
    <col min="3" max="3" width="2.5" bestFit="1" customWidth="1"/>
    <col min="4" max="4" width="30" bestFit="1" customWidth="1"/>
  </cols>
  <sheetData>
    <row r="1" spans="1:4" x14ac:dyDescent="0.3">
      <c r="A1" s="59" t="s">
        <v>51</v>
      </c>
      <c r="B1" s="59"/>
    </row>
    <row r="2" spans="1:4" x14ac:dyDescent="0.3">
      <c r="A2" t="s">
        <v>35</v>
      </c>
      <c r="B2" t="s">
        <v>36</v>
      </c>
      <c r="D2" t="s">
        <v>69</v>
      </c>
    </row>
    <row r="3" spans="1:4" x14ac:dyDescent="0.3">
      <c r="A3" t="s">
        <v>37</v>
      </c>
      <c r="B3" t="s">
        <v>38</v>
      </c>
      <c r="D3" s="40" t="s">
        <v>46</v>
      </c>
    </row>
    <row r="4" spans="1:4" x14ac:dyDescent="0.3">
      <c r="A4" t="s">
        <v>39</v>
      </c>
      <c r="B4">
        <v>20</v>
      </c>
      <c r="D4" s="41" t="str">
        <f>"(44+37.5+3)m"</f>
        <v>(44+37.5+3)m</v>
      </c>
    </row>
    <row r="5" spans="1:4" x14ac:dyDescent="0.3">
      <c r="A5" t="s">
        <v>40</v>
      </c>
      <c r="B5" s="26">
        <v>10000</v>
      </c>
      <c r="C5" t="s">
        <v>34</v>
      </c>
      <c r="D5" s="41" t="s">
        <v>47</v>
      </c>
    </row>
    <row r="6" spans="1:4" x14ac:dyDescent="0.3">
      <c r="A6" t="s">
        <v>42</v>
      </c>
      <c r="B6" s="27">
        <f>44+37.5+3+0.5+4+3+1</f>
        <v>93</v>
      </c>
      <c r="C6" t="s">
        <v>34</v>
      </c>
      <c r="D6" s="42" t="str">
        <f>"(0.5+4+3+1)m"</f>
        <v>(0.5+4+3+1)m</v>
      </c>
    </row>
    <row r="9" spans="1:4" x14ac:dyDescent="0.3">
      <c r="A9" s="59" t="s">
        <v>50</v>
      </c>
      <c r="B9" s="59"/>
    </row>
    <row r="10" spans="1:4" x14ac:dyDescent="0.3">
      <c r="A10" t="s">
        <v>35</v>
      </c>
      <c r="B10" t="s">
        <v>36</v>
      </c>
    </row>
    <row r="11" spans="1:4" x14ac:dyDescent="0.3">
      <c r="A11" t="s">
        <v>37</v>
      </c>
      <c r="B11" t="s">
        <v>41</v>
      </c>
    </row>
    <row r="12" spans="1:4" x14ac:dyDescent="0.3">
      <c r="A12" t="s">
        <v>39</v>
      </c>
      <c r="B12">
        <v>2</v>
      </c>
    </row>
    <row r="13" spans="1:4" x14ac:dyDescent="0.3">
      <c r="A13" t="s">
        <v>40</v>
      </c>
      <c r="B13" s="26">
        <v>10000</v>
      </c>
      <c r="C13" t="s">
        <v>34</v>
      </c>
    </row>
    <row r="14" spans="1:4" x14ac:dyDescent="0.3">
      <c r="A14" t="s">
        <v>43</v>
      </c>
      <c r="B14" s="27">
        <f>222.5*2+155.5*2</f>
        <v>756</v>
      </c>
      <c r="C14" t="s">
        <v>34</v>
      </c>
    </row>
    <row r="15" spans="1:4" x14ac:dyDescent="0.3">
      <c r="A15" t="s">
        <v>44</v>
      </c>
      <c r="B15">
        <f>2*(1+1+1)</f>
        <v>6</v>
      </c>
      <c r="C15" t="s">
        <v>34</v>
      </c>
    </row>
    <row r="16" spans="1:4" x14ac:dyDescent="0.3">
      <c r="A16" t="s">
        <v>45</v>
      </c>
      <c r="B16" s="14">
        <f>B14+2*((0.5+4+3+1)+3+3+35)</f>
        <v>855</v>
      </c>
      <c r="C16" t="s">
        <v>34</v>
      </c>
    </row>
    <row r="17" spans="1:6" x14ac:dyDescent="0.3">
      <c r="A17" t="s">
        <v>48</v>
      </c>
      <c r="B17" s="14">
        <f>B14+2*((0.5+4+3+1)+3+3+0.5+1)</f>
        <v>788</v>
      </c>
      <c r="C17" t="s">
        <v>34</v>
      </c>
    </row>
    <row r="18" spans="1:6" x14ac:dyDescent="0.3">
      <c r="A18" t="s">
        <v>49</v>
      </c>
      <c r="B18" s="14">
        <f>B14+2*((0.5+4+3+1)+3+3+0.5+58+1+1)</f>
        <v>906</v>
      </c>
      <c r="C18" t="s">
        <v>34</v>
      </c>
    </row>
    <row r="19" spans="1:6" x14ac:dyDescent="0.3">
      <c r="A19" t="s">
        <v>52</v>
      </c>
      <c r="B19" s="14">
        <f>B14+2*((0.5+4+3+1)+3+3+0.5)</f>
        <v>786</v>
      </c>
      <c r="C19" t="s">
        <v>34</v>
      </c>
      <c r="D19" t="s">
        <v>53</v>
      </c>
    </row>
    <row r="20" spans="1:6" x14ac:dyDescent="0.3">
      <c r="A20" t="s">
        <v>42</v>
      </c>
      <c r="B20">
        <f>SUM(B15:B19)</f>
        <v>3341</v>
      </c>
      <c r="C20" t="s">
        <v>34</v>
      </c>
    </row>
    <row r="22" spans="1:6" x14ac:dyDescent="0.3">
      <c r="A22" s="59" t="s">
        <v>65</v>
      </c>
      <c r="B22" s="59"/>
    </row>
    <row r="23" spans="1:6" x14ac:dyDescent="0.3">
      <c r="A23" t="s">
        <v>35</v>
      </c>
      <c r="B23" t="s">
        <v>66</v>
      </c>
    </row>
    <row r="24" spans="1:6" x14ac:dyDescent="0.3">
      <c r="A24" t="s">
        <v>37</v>
      </c>
      <c r="B24" t="s">
        <v>67</v>
      </c>
    </row>
    <row r="25" spans="1:6" x14ac:dyDescent="0.3">
      <c r="A25" t="s">
        <v>39</v>
      </c>
      <c r="B25">
        <v>2</v>
      </c>
      <c r="D25" t="s">
        <v>69</v>
      </c>
    </row>
    <row r="26" spans="1:6" x14ac:dyDescent="0.3">
      <c r="A26" t="s">
        <v>40</v>
      </c>
      <c r="B26" s="39" t="s">
        <v>68</v>
      </c>
      <c r="C26" t="s">
        <v>34</v>
      </c>
      <c r="D26" s="40" t="s">
        <v>70</v>
      </c>
      <c r="E26" s="43"/>
      <c r="F26" s="44"/>
    </row>
    <row r="27" spans="1:6" x14ac:dyDescent="0.3">
      <c r="A27" t="s">
        <v>42</v>
      </c>
      <c r="B27" s="27">
        <f>2*(1+4)</f>
        <v>10</v>
      </c>
      <c r="C27" t="s">
        <v>34</v>
      </c>
      <c r="D27" s="42" t="s">
        <v>71</v>
      </c>
      <c r="E27" s="43"/>
      <c r="F27" s="44"/>
    </row>
  </sheetData>
  <mergeCells count="3">
    <mergeCell ref="A1:B1"/>
    <mergeCell ref="A9:B9"/>
    <mergeCell ref="A22:B2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466BF-08F2-AC45-87FF-64209996DE27}">
  <dimension ref="A1:L54"/>
  <sheetViews>
    <sheetView topLeftCell="A17" workbookViewId="0">
      <selection activeCell="B38" sqref="B38"/>
    </sheetView>
  </sheetViews>
  <sheetFormatPr defaultColWidth="11.09765625" defaultRowHeight="15.6" x14ac:dyDescent="0.3"/>
  <cols>
    <col min="1" max="1" width="30.8984375" bestFit="1" customWidth="1"/>
    <col min="2" max="2" width="8.3984375" customWidth="1"/>
    <col min="3" max="3" width="6.5" bestFit="1" customWidth="1"/>
    <col min="4" max="6" width="5.3984375" bestFit="1" customWidth="1"/>
    <col min="7" max="7" width="6" style="2" bestFit="1" customWidth="1"/>
    <col min="8" max="8" width="5.3984375" bestFit="1" customWidth="1"/>
    <col min="9" max="9" width="7.3984375" bestFit="1" customWidth="1"/>
    <col min="10" max="10" width="5.3984375" bestFit="1" customWidth="1"/>
    <col min="11" max="11" width="6" style="2" bestFit="1" customWidth="1"/>
  </cols>
  <sheetData>
    <row r="1" spans="1:12" x14ac:dyDescent="0.3">
      <c r="A1" s="30" t="s">
        <v>0</v>
      </c>
    </row>
    <row r="2" spans="1:12" x14ac:dyDescent="0.3">
      <c r="A2" t="s">
        <v>4</v>
      </c>
      <c r="B2" t="s">
        <v>5</v>
      </c>
    </row>
    <row r="3" spans="1:12" ht="17.399999999999999" x14ac:dyDescent="0.3">
      <c r="A3" t="s">
        <v>6</v>
      </c>
      <c r="B3" s="25">
        <f>11.5*7.5</f>
        <v>86.25</v>
      </c>
      <c r="C3" t="s">
        <v>54</v>
      </c>
    </row>
    <row r="4" spans="1:12" x14ac:dyDescent="0.3">
      <c r="A4" t="s">
        <v>3</v>
      </c>
      <c r="B4">
        <v>18</v>
      </c>
    </row>
    <row r="5" spans="1:12" x14ac:dyDescent="0.3">
      <c r="A5" s="20" t="s">
        <v>55</v>
      </c>
      <c r="B5" s="15">
        <f>1+2+11.5</f>
        <v>14.5</v>
      </c>
    </row>
    <row r="6" spans="1:12" x14ac:dyDescent="0.3">
      <c r="B6" s="3">
        <v>1</v>
      </c>
      <c r="C6" s="32">
        <f>B5+1+1</f>
        <v>16.5</v>
      </c>
      <c r="D6" s="29">
        <v>4</v>
      </c>
      <c r="E6" s="32">
        <f>C6+3</f>
        <v>19.5</v>
      </c>
      <c r="F6" s="29">
        <v>7</v>
      </c>
      <c r="G6" s="32">
        <f>E6+3</f>
        <v>22.5</v>
      </c>
      <c r="K6"/>
      <c r="L6" s="13"/>
    </row>
    <row r="7" spans="1:12" x14ac:dyDescent="0.3">
      <c r="B7" s="3">
        <v>2</v>
      </c>
      <c r="C7" s="32">
        <f>C6+3</f>
        <v>19.5</v>
      </c>
      <c r="D7" s="29">
        <v>5</v>
      </c>
      <c r="E7" s="32">
        <f>C7+3</f>
        <v>22.5</v>
      </c>
      <c r="F7" s="29">
        <v>8</v>
      </c>
      <c r="G7" s="32">
        <f>E7+3</f>
        <v>25.5</v>
      </c>
      <c r="K7"/>
      <c r="L7" s="13"/>
    </row>
    <row r="8" spans="1:12" x14ac:dyDescent="0.3">
      <c r="B8" s="3">
        <v>3</v>
      </c>
      <c r="C8" s="32">
        <f>C7+3</f>
        <v>22.5</v>
      </c>
      <c r="D8" s="29">
        <v>6</v>
      </c>
      <c r="E8" s="32">
        <f>C8+3</f>
        <v>25.5</v>
      </c>
      <c r="F8" s="29">
        <v>9</v>
      </c>
      <c r="G8" s="32">
        <f>E8+3</f>
        <v>28.5</v>
      </c>
      <c r="K8"/>
      <c r="L8" s="13"/>
    </row>
    <row r="9" spans="1:12" x14ac:dyDescent="0.3">
      <c r="A9" s="31" t="s">
        <v>58</v>
      </c>
      <c r="B9" s="4"/>
      <c r="C9" s="16">
        <f>SUM(C6:C8)</f>
        <v>58.5</v>
      </c>
      <c r="D9" s="16"/>
      <c r="E9" s="16">
        <f>SUM(E6:E8)</f>
        <v>67.5</v>
      </c>
      <c r="F9" s="16"/>
      <c r="G9" s="16">
        <f>SUM(G6:G8)</f>
        <v>76.5</v>
      </c>
      <c r="H9" s="45">
        <f>SUM(C9:G9)</f>
        <v>202.5</v>
      </c>
      <c r="I9" s="18">
        <f>H9*2</f>
        <v>405</v>
      </c>
      <c r="K9"/>
    </row>
    <row r="10" spans="1:12" x14ac:dyDescent="0.3">
      <c r="C10" s="2"/>
      <c r="E10" s="2"/>
      <c r="I10" s="2"/>
    </row>
    <row r="11" spans="1:12" x14ac:dyDescent="0.3">
      <c r="A11" s="30" t="s">
        <v>1</v>
      </c>
      <c r="E11" s="7"/>
    </row>
    <row r="12" spans="1:12" x14ac:dyDescent="0.3">
      <c r="A12" t="s">
        <v>4</v>
      </c>
      <c r="B12" t="s">
        <v>7</v>
      </c>
    </row>
    <row r="13" spans="1:12" ht="17.399999999999999" x14ac:dyDescent="0.3">
      <c r="A13" t="s">
        <v>6</v>
      </c>
      <c r="B13" s="25">
        <f>11.5*11</f>
        <v>126.5</v>
      </c>
      <c r="C13" t="s">
        <v>54</v>
      </c>
    </row>
    <row r="14" spans="1:12" x14ac:dyDescent="0.3">
      <c r="A14" t="s">
        <v>3</v>
      </c>
      <c r="B14">
        <v>26</v>
      </c>
    </row>
    <row r="15" spans="1:12" x14ac:dyDescent="0.3">
      <c r="A15" s="20" t="s">
        <v>56</v>
      </c>
      <c r="B15" s="15">
        <f>1+8.5</f>
        <v>9.5</v>
      </c>
      <c r="E15" s="17"/>
    </row>
    <row r="16" spans="1:12" x14ac:dyDescent="0.3">
      <c r="A16" s="20" t="s">
        <v>57</v>
      </c>
      <c r="B16" s="15">
        <f>1+2+11</f>
        <v>14</v>
      </c>
      <c r="D16" s="17" t="s">
        <v>24</v>
      </c>
      <c r="E16" s="17"/>
    </row>
    <row r="17" spans="1:11" x14ac:dyDescent="0.3">
      <c r="B17" s="3">
        <v>1</v>
      </c>
      <c r="C17" s="32">
        <f>E17+2.5</f>
        <v>17.5</v>
      </c>
      <c r="D17" s="29">
        <v>6</v>
      </c>
      <c r="E17" s="15">
        <f>G17+2.5</f>
        <v>15</v>
      </c>
      <c r="F17" s="29">
        <v>10</v>
      </c>
      <c r="G17" s="32">
        <f>I17+2.5</f>
        <v>12.5</v>
      </c>
      <c r="H17" s="29">
        <v>14</v>
      </c>
      <c r="I17" s="15">
        <f>B15+0.5</f>
        <v>10</v>
      </c>
      <c r="J17" s="2"/>
      <c r="K17" s="5"/>
    </row>
    <row r="18" spans="1:11" x14ac:dyDescent="0.3">
      <c r="B18" s="3">
        <v>2</v>
      </c>
      <c r="C18" s="32">
        <f t="shared" ref="C18:G20" si="0">E18+2.5</f>
        <v>20</v>
      </c>
      <c r="D18" s="29">
        <v>7</v>
      </c>
      <c r="E18" s="15">
        <f t="shared" si="0"/>
        <v>17.5</v>
      </c>
      <c r="F18" s="29">
        <v>11</v>
      </c>
      <c r="G18" s="32">
        <f t="shared" si="0"/>
        <v>15</v>
      </c>
      <c r="H18" s="29">
        <v>15</v>
      </c>
      <c r="I18" s="15">
        <f>I17+2.5</f>
        <v>12.5</v>
      </c>
      <c r="J18" s="2"/>
      <c r="K18" s="15"/>
    </row>
    <row r="19" spans="1:11" x14ac:dyDescent="0.3">
      <c r="B19" s="3">
        <v>3</v>
      </c>
      <c r="C19" s="32">
        <f t="shared" si="0"/>
        <v>22.5</v>
      </c>
      <c r="D19" s="29">
        <v>8</v>
      </c>
      <c r="E19" s="15">
        <f t="shared" si="0"/>
        <v>20</v>
      </c>
      <c r="F19" s="29">
        <v>12</v>
      </c>
      <c r="G19" s="32">
        <f t="shared" si="0"/>
        <v>17.5</v>
      </c>
      <c r="H19" s="29">
        <v>16</v>
      </c>
      <c r="I19" s="15">
        <f>I18+2.5</f>
        <v>15</v>
      </c>
      <c r="J19" s="2"/>
      <c r="K19" s="15"/>
    </row>
    <row r="20" spans="1:11" x14ac:dyDescent="0.3">
      <c r="B20" s="3">
        <v>4</v>
      </c>
      <c r="C20" s="34">
        <f t="shared" si="0"/>
        <v>25</v>
      </c>
      <c r="D20" s="29">
        <v>9</v>
      </c>
      <c r="E20" s="15">
        <f t="shared" si="0"/>
        <v>22.5</v>
      </c>
      <c r="F20" s="29">
        <v>13</v>
      </c>
      <c r="G20" s="32">
        <f t="shared" si="0"/>
        <v>20</v>
      </c>
      <c r="H20" s="29">
        <v>17</v>
      </c>
      <c r="I20" s="15">
        <f>I19+2.5</f>
        <v>17.5</v>
      </c>
      <c r="J20" s="2"/>
      <c r="K20" s="15"/>
    </row>
    <row r="21" spans="1:11" x14ac:dyDescent="0.3">
      <c r="B21" s="3">
        <v>5</v>
      </c>
      <c r="C21" s="33">
        <f>B16+1.5+1</f>
        <v>16.5</v>
      </c>
      <c r="D21" s="29"/>
      <c r="E21" s="29"/>
      <c r="F21" s="29"/>
      <c r="G21" s="29"/>
      <c r="H21" s="29"/>
      <c r="I21" s="29"/>
      <c r="J21" s="2"/>
      <c r="K21" s="32">
        <f>SUM(C17:C21)+SUM(G17:G20)</f>
        <v>166.5</v>
      </c>
    </row>
    <row r="22" spans="1:11" x14ac:dyDescent="0.3">
      <c r="A22" t="s">
        <v>58</v>
      </c>
      <c r="B22" s="3"/>
      <c r="C22" s="16">
        <f>SUM(C17:C21)</f>
        <v>101.5</v>
      </c>
      <c r="D22" s="16"/>
      <c r="E22" s="16">
        <f>SUM(E17:E21)</f>
        <v>75</v>
      </c>
      <c r="F22" s="16"/>
      <c r="G22" s="16">
        <f>SUM(G17:G21)</f>
        <v>65</v>
      </c>
      <c r="H22" s="16"/>
      <c r="I22" s="16">
        <f>SUM(I17:I21)</f>
        <v>55</v>
      </c>
      <c r="J22" s="45">
        <f>SUM(C22:I22)</f>
        <v>296.5</v>
      </c>
      <c r="K22" s="18">
        <f>J22+K21</f>
        <v>463</v>
      </c>
    </row>
    <row r="24" spans="1:11" x14ac:dyDescent="0.3">
      <c r="A24" s="30" t="s">
        <v>2</v>
      </c>
      <c r="B24" t="s">
        <v>9</v>
      </c>
    </row>
    <row r="25" spans="1:11" x14ac:dyDescent="0.3">
      <c r="A25" t="s">
        <v>4</v>
      </c>
      <c r="B25" t="s">
        <v>8</v>
      </c>
    </row>
    <row r="26" spans="1:11" ht="17.399999999999999" x14ac:dyDescent="0.3">
      <c r="A26" t="s">
        <v>6</v>
      </c>
      <c r="B26" s="25">
        <f>1.7*8</f>
        <v>13.6</v>
      </c>
      <c r="C26" t="s">
        <v>54</v>
      </c>
    </row>
    <row r="27" spans="1:11" x14ac:dyDescent="0.3">
      <c r="A27" t="s">
        <v>3</v>
      </c>
      <c r="B27">
        <v>5</v>
      </c>
    </row>
    <row r="28" spans="1:11" x14ac:dyDescent="0.3">
      <c r="A28" s="20" t="s">
        <v>59</v>
      </c>
      <c r="B28" s="15">
        <f>1+2+8.5+28.5</f>
        <v>40</v>
      </c>
    </row>
    <row r="29" spans="1:11" x14ac:dyDescent="0.3">
      <c r="B29" s="3">
        <v>1</v>
      </c>
      <c r="C29" s="6">
        <f>B28+4+1</f>
        <v>45</v>
      </c>
      <c r="G29"/>
      <c r="K29"/>
    </row>
    <row r="30" spans="1:11" x14ac:dyDescent="0.3">
      <c r="B30" s="3">
        <v>2</v>
      </c>
      <c r="C30" s="6">
        <f>C29+2</f>
        <v>47</v>
      </c>
      <c r="G30"/>
      <c r="K30"/>
    </row>
    <row r="31" spans="1:11" x14ac:dyDescent="0.3">
      <c r="B31" s="3">
        <v>3</v>
      </c>
      <c r="C31" s="35">
        <f t="shared" ref="C31:C32" si="1">C30+2</f>
        <v>49</v>
      </c>
      <c r="G31"/>
      <c r="K31"/>
    </row>
    <row r="32" spans="1:11" x14ac:dyDescent="0.3">
      <c r="B32" s="3">
        <v>4</v>
      </c>
      <c r="C32" s="35">
        <f t="shared" si="1"/>
        <v>51</v>
      </c>
      <c r="G32"/>
      <c r="K32"/>
    </row>
    <row r="33" spans="1:11" x14ac:dyDescent="0.3">
      <c r="B33" s="3">
        <v>5</v>
      </c>
      <c r="C33" s="35">
        <f>C32+2</f>
        <v>53</v>
      </c>
      <c r="G33"/>
      <c r="K33"/>
    </row>
    <row r="34" spans="1:11" x14ac:dyDescent="0.3">
      <c r="A34" t="s">
        <v>58</v>
      </c>
      <c r="B34" s="4"/>
      <c r="C34" s="18">
        <f>SUM(C29:C33)</f>
        <v>245</v>
      </c>
    </row>
    <row r="35" spans="1:11" s="46" customFormat="1" x14ac:dyDescent="0.3">
      <c r="G35" s="47"/>
      <c r="K35" s="47"/>
    </row>
    <row r="36" spans="1:11" x14ac:dyDescent="0.3">
      <c r="A36" s="8" t="s">
        <v>72</v>
      </c>
      <c r="B36" s="13">
        <f>I9+K22+C34</f>
        <v>1113</v>
      </c>
      <c r="C36" t="s">
        <v>34</v>
      </c>
    </row>
    <row r="37" spans="1:11" x14ac:dyDescent="0.3">
      <c r="A37" s="8" t="s">
        <v>10</v>
      </c>
      <c r="B37">
        <f>B4+B14+B27</f>
        <v>49</v>
      </c>
    </row>
    <row r="39" spans="1:11" x14ac:dyDescent="0.3">
      <c r="A39" s="8" t="s">
        <v>12</v>
      </c>
      <c r="B39" s="28" t="s">
        <v>60</v>
      </c>
      <c r="C39">
        <v>3</v>
      </c>
      <c r="D39" t="s">
        <v>11</v>
      </c>
    </row>
    <row r="40" spans="1:11" x14ac:dyDescent="0.3">
      <c r="A40" t="s">
        <v>14</v>
      </c>
    </row>
    <row r="41" spans="1:11" x14ac:dyDescent="0.3">
      <c r="A41" s="8" t="s">
        <v>13</v>
      </c>
      <c r="B41" s="28" t="s">
        <v>60</v>
      </c>
      <c r="C41">
        <v>3</v>
      </c>
      <c r="D41" t="s">
        <v>11</v>
      </c>
    </row>
    <row r="42" spans="1:11" x14ac:dyDescent="0.3">
      <c r="A42" t="s">
        <v>73</v>
      </c>
    </row>
    <row r="43" spans="1:11" x14ac:dyDescent="0.3">
      <c r="A43" t="s">
        <v>61</v>
      </c>
    </row>
    <row r="44" spans="1:11" x14ac:dyDescent="0.3">
      <c r="A44" s="8" t="s">
        <v>12</v>
      </c>
      <c r="B44">
        <v>12</v>
      </c>
      <c r="C44">
        <v>1</v>
      </c>
      <c r="D44" t="s">
        <v>11</v>
      </c>
    </row>
    <row r="45" spans="1:11" x14ac:dyDescent="0.3">
      <c r="A45" t="s">
        <v>62</v>
      </c>
    </row>
    <row r="47" spans="1:11" x14ac:dyDescent="0.3">
      <c r="A47" t="s">
        <v>15</v>
      </c>
      <c r="C47">
        <v>1</v>
      </c>
      <c r="D47" t="s">
        <v>11</v>
      </c>
    </row>
    <row r="48" spans="1:11" x14ac:dyDescent="0.3">
      <c r="A48" t="s">
        <v>16</v>
      </c>
      <c r="C48">
        <v>1</v>
      </c>
      <c r="D48" t="s">
        <v>11</v>
      </c>
    </row>
    <row r="50" spans="1:4" x14ac:dyDescent="0.3">
      <c r="A50" s="9" t="s">
        <v>17</v>
      </c>
      <c r="B50" s="1"/>
      <c r="C50" s="1">
        <f>SUM(C39:C48)</f>
        <v>9</v>
      </c>
    </row>
    <row r="51" spans="1:4" x14ac:dyDescent="0.3">
      <c r="A51" s="1" t="s">
        <v>18</v>
      </c>
      <c r="B51" s="1"/>
      <c r="C51">
        <f>SUM(C39:C47)*2+C48</f>
        <v>17</v>
      </c>
    </row>
    <row r="52" spans="1:4" x14ac:dyDescent="0.3">
      <c r="A52" s="10" t="s">
        <v>19</v>
      </c>
      <c r="B52" s="11"/>
      <c r="C52" s="12">
        <v>18</v>
      </c>
      <c r="D52" s="12" t="s">
        <v>11</v>
      </c>
    </row>
    <row r="53" spans="1:4" x14ac:dyDescent="0.3">
      <c r="A53" s="1"/>
      <c r="B53" s="1"/>
      <c r="C53" s="1"/>
    </row>
    <row r="54" spans="1:4" x14ac:dyDescent="0.3">
      <c r="A54" s="1"/>
      <c r="B54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12DBC-2187-4DAB-AED2-57B7EA08386A}">
  <dimension ref="A1:L74"/>
  <sheetViews>
    <sheetView topLeftCell="A43" workbookViewId="0">
      <selection activeCell="F65" sqref="F65"/>
    </sheetView>
  </sheetViews>
  <sheetFormatPr defaultColWidth="11.09765625" defaultRowHeight="15.6" x14ac:dyDescent="0.3"/>
  <cols>
    <col min="1" max="1" width="26.09765625" bestFit="1" customWidth="1"/>
    <col min="2" max="2" width="9.8984375" bestFit="1" customWidth="1"/>
    <col min="3" max="3" width="6.5" bestFit="1" customWidth="1"/>
    <col min="4" max="4" width="4.3984375" bestFit="1" customWidth="1"/>
    <col min="5" max="5" width="5.3984375" bestFit="1" customWidth="1"/>
    <col min="6" max="6" width="4.3984375" bestFit="1" customWidth="1"/>
    <col min="7" max="7" width="5.3984375" style="2" bestFit="1" customWidth="1"/>
    <col min="8" max="8" width="5.3984375" bestFit="1" customWidth="1"/>
    <col min="9" max="9" width="7.3984375" customWidth="1"/>
    <col min="10" max="10" width="5.3984375" bestFit="1" customWidth="1"/>
    <col min="11" max="11" width="6.3984375" bestFit="1" customWidth="1"/>
    <col min="12" max="12" width="5.3984375" bestFit="1" customWidth="1"/>
  </cols>
  <sheetData>
    <row r="1" spans="1:7" x14ac:dyDescent="0.3">
      <c r="A1" t="s">
        <v>27</v>
      </c>
      <c r="B1" s="38"/>
      <c r="C1" s="38"/>
      <c r="D1" s="38"/>
      <c r="E1" s="38"/>
    </row>
    <row r="2" spans="1:7" x14ac:dyDescent="0.3">
      <c r="A2" s="19" t="s">
        <v>28</v>
      </c>
    </row>
    <row r="3" spans="1:7" x14ac:dyDescent="0.3">
      <c r="A3" s="8" t="s">
        <v>31</v>
      </c>
      <c r="B3" s="20"/>
      <c r="C3">
        <v>1</v>
      </c>
      <c r="D3" t="s">
        <v>11</v>
      </c>
    </row>
    <row r="4" spans="1:7" x14ac:dyDescent="0.3">
      <c r="A4" s="8" t="s">
        <v>30</v>
      </c>
      <c r="B4">
        <v>24</v>
      </c>
      <c r="C4">
        <v>1</v>
      </c>
      <c r="D4" t="s">
        <v>11</v>
      </c>
      <c r="E4" s="2">
        <v>16</v>
      </c>
      <c r="F4" t="s">
        <v>33</v>
      </c>
    </row>
    <row r="5" spans="1:7" x14ac:dyDescent="0.3">
      <c r="A5" s="8" t="s">
        <v>32</v>
      </c>
      <c r="B5">
        <v>24</v>
      </c>
      <c r="C5">
        <v>1</v>
      </c>
      <c r="D5" t="s">
        <v>11</v>
      </c>
      <c r="E5" s="2">
        <v>16</v>
      </c>
      <c r="F5" t="s">
        <v>33</v>
      </c>
    </row>
    <row r="6" spans="1:7" x14ac:dyDescent="0.3">
      <c r="A6" t="s">
        <v>15</v>
      </c>
      <c r="C6">
        <v>1</v>
      </c>
      <c r="D6" t="s">
        <v>11</v>
      </c>
    </row>
    <row r="7" spans="1:7" x14ac:dyDescent="0.3">
      <c r="A7" t="s">
        <v>16</v>
      </c>
      <c r="C7">
        <v>1</v>
      </c>
      <c r="D7" t="s">
        <v>11</v>
      </c>
    </row>
    <row r="9" spans="1:7" x14ac:dyDescent="0.3">
      <c r="A9" s="9" t="s">
        <v>17</v>
      </c>
      <c r="B9" s="1"/>
      <c r="C9" s="1">
        <f>SUM(C3:C7)</f>
        <v>5</v>
      </c>
    </row>
    <row r="10" spans="1:7" x14ac:dyDescent="0.3">
      <c r="A10" s="1" t="s">
        <v>18</v>
      </c>
      <c r="B10" s="1"/>
      <c r="C10">
        <f>SUM(C3:C6)*2+C7</f>
        <v>9</v>
      </c>
    </row>
    <row r="11" spans="1:7" x14ac:dyDescent="0.3">
      <c r="A11" s="10" t="s">
        <v>19</v>
      </c>
      <c r="B11" s="11"/>
      <c r="C11" s="12">
        <v>12</v>
      </c>
      <c r="D11" s="12" t="s">
        <v>11</v>
      </c>
    </row>
    <row r="12" spans="1:7" s="23" customFormat="1" x14ac:dyDescent="0.3">
      <c r="A12" s="22"/>
      <c r="B12" s="21"/>
      <c r="G12" s="24"/>
    </row>
    <row r="13" spans="1:7" s="23" customFormat="1" x14ac:dyDescent="0.3">
      <c r="A13" s="19" t="s">
        <v>29</v>
      </c>
      <c r="B13"/>
      <c r="C13"/>
      <c r="D13"/>
      <c r="E13"/>
      <c r="F13"/>
      <c r="G13" s="24"/>
    </row>
    <row r="14" spans="1:7" s="23" customFormat="1" x14ac:dyDescent="0.3">
      <c r="A14" s="8" t="s">
        <v>30</v>
      </c>
      <c r="B14">
        <v>24</v>
      </c>
      <c r="C14">
        <v>1</v>
      </c>
      <c r="D14" t="s">
        <v>11</v>
      </c>
      <c r="E14" s="2">
        <v>20</v>
      </c>
      <c r="F14" s="20" t="s">
        <v>106</v>
      </c>
      <c r="G14" s="24"/>
    </row>
    <row r="15" spans="1:7" s="23" customFormat="1" x14ac:dyDescent="0.3">
      <c r="A15" s="8" t="s">
        <v>32</v>
      </c>
      <c r="B15">
        <v>24</v>
      </c>
      <c r="C15">
        <v>1</v>
      </c>
      <c r="D15" t="s">
        <v>11</v>
      </c>
      <c r="E15" s="24">
        <v>20</v>
      </c>
      <c r="F15" s="20" t="s">
        <v>107</v>
      </c>
      <c r="G15" s="24"/>
    </row>
    <row r="16" spans="1:7" s="23" customFormat="1" x14ac:dyDescent="0.3">
      <c r="A16" t="s">
        <v>15</v>
      </c>
      <c r="B16"/>
      <c r="C16">
        <v>1</v>
      </c>
      <c r="D16" t="s">
        <v>11</v>
      </c>
      <c r="E16" s="2"/>
      <c r="F16"/>
      <c r="G16" s="24"/>
    </row>
    <row r="17" spans="1:9" s="23" customFormat="1" x14ac:dyDescent="0.3">
      <c r="A17" t="s">
        <v>16</v>
      </c>
      <c r="B17"/>
      <c r="C17">
        <v>1</v>
      </c>
      <c r="D17" t="s">
        <v>11</v>
      </c>
      <c r="E17" s="2"/>
      <c r="F17"/>
      <c r="G17" s="24"/>
    </row>
    <row r="18" spans="1:9" s="23" customFormat="1" x14ac:dyDescent="0.3">
      <c r="A18"/>
      <c r="B18"/>
      <c r="C18"/>
      <c r="D18"/>
      <c r="E18"/>
      <c r="F18"/>
      <c r="G18" s="24"/>
    </row>
    <row r="19" spans="1:9" s="23" customFormat="1" x14ac:dyDescent="0.3">
      <c r="A19" s="9" t="s">
        <v>17</v>
      </c>
      <c r="B19" s="1"/>
      <c r="C19" s="1">
        <f>SUM(C14:C17)</f>
        <v>4</v>
      </c>
      <c r="D19"/>
      <c r="E19"/>
      <c r="F19"/>
      <c r="G19" s="24"/>
    </row>
    <row r="20" spans="1:9" s="23" customFormat="1" x14ac:dyDescent="0.3">
      <c r="A20" s="1" t="s">
        <v>18</v>
      </c>
      <c r="B20" s="1"/>
      <c r="C20">
        <f>SUM(C14:C16)*2+C17</f>
        <v>7</v>
      </c>
      <c r="D20"/>
      <c r="E20"/>
      <c r="F20"/>
      <c r="G20" s="24"/>
    </row>
    <row r="21" spans="1:9" s="23" customFormat="1" x14ac:dyDescent="0.3">
      <c r="A21" s="10" t="s">
        <v>19</v>
      </c>
      <c r="B21" s="11"/>
      <c r="C21" s="12">
        <v>12</v>
      </c>
      <c r="D21" s="12" t="s">
        <v>11</v>
      </c>
      <c r="E21"/>
      <c r="F21"/>
      <c r="G21" s="24"/>
    </row>
    <row r="22" spans="1:9" s="23" customFormat="1" x14ac:dyDescent="0.3">
      <c r="A22" s="22"/>
      <c r="B22" s="21"/>
      <c r="G22" s="24"/>
    </row>
    <row r="23" spans="1:9" x14ac:dyDescent="0.3">
      <c r="A23" s="30" t="s">
        <v>20</v>
      </c>
    </row>
    <row r="24" spans="1:9" x14ac:dyDescent="0.3">
      <c r="A24" t="s">
        <v>4</v>
      </c>
      <c r="B24" t="s">
        <v>23</v>
      </c>
    </row>
    <row r="25" spans="1:9" ht="17.399999999999999" x14ac:dyDescent="0.3">
      <c r="A25" t="s">
        <v>6</v>
      </c>
      <c r="B25" s="25">
        <f>5.6*8</f>
        <v>44.8</v>
      </c>
      <c r="C25" t="s">
        <v>54</v>
      </c>
    </row>
    <row r="26" spans="1:9" x14ac:dyDescent="0.3">
      <c r="A26" t="s">
        <v>3</v>
      </c>
      <c r="B26">
        <v>10</v>
      </c>
    </row>
    <row r="27" spans="1:9" x14ac:dyDescent="0.3">
      <c r="A27" s="20" t="s">
        <v>55</v>
      </c>
      <c r="B27" s="15">
        <f>1+2.5+5</f>
        <v>8.5</v>
      </c>
    </row>
    <row r="28" spans="1:9" x14ac:dyDescent="0.3">
      <c r="B28" s="16">
        <v>1</v>
      </c>
      <c r="C28" s="33">
        <f>B27+0.5+0.6</f>
        <v>9.6</v>
      </c>
      <c r="D28" s="16">
        <v>3</v>
      </c>
      <c r="E28" s="33">
        <f>C28+(0.5+2.8-0.6)</f>
        <v>12.299999999999999</v>
      </c>
      <c r="F28" s="16">
        <v>5</v>
      </c>
      <c r="G28" s="33">
        <f>E28+2.8</f>
        <v>15.099999999999998</v>
      </c>
      <c r="H28" s="13"/>
    </row>
    <row r="29" spans="1:9" x14ac:dyDescent="0.3">
      <c r="B29" s="16">
        <v>2</v>
      </c>
      <c r="C29" s="15">
        <f>C28+3</f>
        <v>12.6</v>
      </c>
      <c r="D29" s="16">
        <v>4</v>
      </c>
      <c r="E29" s="33">
        <f>E28+3</f>
        <v>15.299999999999999</v>
      </c>
      <c r="F29" s="16">
        <v>6</v>
      </c>
      <c r="G29" s="15">
        <f>G28+3</f>
        <v>18.099999999999998</v>
      </c>
      <c r="H29" s="13"/>
      <c r="I29" s="48">
        <f>C28+E28+E29+G28</f>
        <v>52.3</v>
      </c>
    </row>
    <row r="30" spans="1:9" x14ac:dyDescent="0.3">
      <c r="A30" s="31" t="s">
        <v>58</v>
      </c>
      <c r="B30" s="16"/>
      <c r="C30" s="16">
        <f>SUM(C28:C29)</f>
        <v>22.2</v>
      </c>
      <c r="D30" s="16"/>
      <c r="E30" s="16">
        <f>SUM(E28:E29)</f>
        <v>27.599999999999998</v>
      </c>
      <c r="F30" s="18"/>
      <c r="G30" s="16">
        <f>SUM(G28:G29)</f>
        <v>33.199999999999996</v>
      </c>
      <c r="H30" s="45">
        <f>SUM(B30:G30)</f>
        <v>83</v>
      </c>
      <c r="I30" s="49">
        <f>H30+I29</f>
        <v>135.30000000000001</v>
      </c>
    </row>
    <row r="31" spans="1:9" x14ac:dyDescent="0.3">
      <c r="C31" s="2"/>
      <c r="E31" s="2"/>
      <c r="I31" s="2"/>
    </row>
    <row r="32" spans="1:9" x14ac:dyDescent="0.3">
      <c r="A32" s="30" t="s">
        <v>21</v>
      </c>
      <c r="E32" s="7"/>
    </row>
    <row r="33" spans="1:12" x14ac:dyDescent="0.3">
      <c r="A33" t="s">
        <v>4</v>
      </c>
      <c r="B33" t="s">
        <v>25</v>
      </c>
    </row>
    <row r="34" spans="1:12" ht="17.399999999999999" x14ac:dyDescent="0.3">
      <c r="A34" t="s">
        <v>6</v>
      </c>
      <c r="B34">
        <f>7.3*11.8</f>
        <v>86.14</v>
      </c>
      <c r="C34" t="s">
        <v>54</v>
      </c>
    </row>
    <row r="35" spans="1:12" x14ac:dyDescent="0.3">
      <c r="A35" t="s">
        <v>3</v>
      </c>
      <c r="B35">
        <v>18</v>
      </c>
    </row>
    <row r="36" spans="1:12" x14ac:dyDescent="0.3">
      <c r="A36" s="20" t="s">
        <v>63</v>
      </c>
      <c r="B36" s="15">
        <f>B27+0.5+0.5+8.25+0.5</f>
        <v>18.25</v>
      </c>
      <c r="G36" s="36"/>
    </row>
    <row r="37" spans="1:12" x14ac:dyDescent="0.3">
      <c r="A37" s="20" t="s">
        <v>64</v>
      </c>
      <c r="B37" s="15">
        <f>B36+7.3</f>
        <v>25.55</v>
      </c>
    </row>
    <row r="38" spans="1:12" x14ac:dyDescent="0.3">
      <c r="B38" s="3">
        <v>1</v>
      </c>
      <c r="C38" s="32">
        <f>E38+3</f>
        <v>29.05</v>
      </c>
      <c r="D38" s="29">
        <v>4</v>
      </c>
      <c r="E38" s="32">
        <f>G38+3</f>
        <v>26.05</v>
      </c>
      <c r="F38" s="29">
        <v>7</v>
      </c>
      <c r="G38" s="32">
        <f>B36+4+0.8</f>
        <v>23.05</v>
      </c>
      <c r="L38" s="13"/>
    </row>
    <row r="39" spans="1:12" x14ac:dyDescent="0.3">
      <c r="B39" s="3">
        <v>2</v>
      </c>
      <c r="C39" s="32">
        <f>C40+3</f>
        <v>38.049999999999997</v>
      </c>
      <c r="D39" s="29">
        <v>5</v>
      </c>
      <c r="E39" s="32">
        <f>E40+3</f>
        <v>35.049999999999997</v>
      </c>
      <c r="F39" s="29">
        <v>8</v>
      </c>
      <c r="G39" s="32">
        <f>G40+3</f>
        <v>32.049999999999997</v>
      </c>
      <c r="L39" s="13"/>
    </row>
    <row r="40" spans="1:12" x14ac:dyDescent="0.3">
      <c r="B40" s="3">
        <v>3</v>
      </c>
      <c r="C40" s="32">
        <f>E40+3</f>
        <v>35.049999999999997</v>
      </c>
      <c r="D40" s="29">
        <v>6</v>
      </c>
      <c r="E40" s="32">
        <f>G40+3</f>
        <v>32.049999999999997</v>
      </c>
      <c r="F40" s="29">
        <v>9</v>
      </c>
      <c r="G40" s="32">
        <f>B37+3+0.5</f>
        <v>29.05</v>
      </c>
      <c r="L40" s="13"/>
    </row>
    <row r="41" spans="1:12" x14ac:dyDescent="0.3">
      <c r="A41" s="31" t="s">
        <v>58</v>
      </c>
      <c r="B41" s="4"/>
      <c r="C41" s="16">
        <f>SUM(C38:C40)</f>
        <v>102.14999999999999</v>
      </c>
      <c r="D41" s="16"/>
      <c r="E41" s="16">
        <f>SUM(E38:E40)</f>
        <v>93.149999999999991</v>
      </c>
      <c r="F41" s="16"/>
      <c r="G41" s="16">
        <f>SUM(G38:G40)</f>
        <v>84.149999999999991</v>
      </c>
      <c r="H41" s="45">
        <f>SUM(C41:G41)</f>
        <v>279.45</v>
      </c>
      <c r="I41" s="18">
        <f>H41*2</f>
        <v>558.9</v>
      </c>
    </row>
    <row r="43" spans="1:12" x14ac:dyDescent="0.3">
      <c r="A43" s="30" t="s">
        <v>22</v>
      </c>
    </row>
    <row r="44" spans="1:12" x14ac:dyDescent="0.3">
      <c r="A44" t="s">
        <v>4</v>
      </c>
      <c r="B44" t="s">
        <v>26</v>
      </c>
      <c r="K44" s="2"/>
    </row>
    <row r="45" spans="1:12" ht="17.399999999999999" x14ac:dyDescent="0.3">
      <c r="A45" t="s">
        <v>6</v>
      </c>
      <c r="B45">
        <f>11.2*11.8</f>
        <v>132.16</v>
      </c>
      <c r="C45" t="s">
        <v>54</v>
      </c>
      <c r="K45" s="2"/>
    </row>
    <row r="46" spans="1:12" x14ac:dyDescent="0.3">
      <c r="A46" t="s">
        <v>3</v>
      </c>
      <c r="B46">
        <v>28</v>
      </c>
      <c r="K46" s="2"/>
    </row>
    <row r="47" spans="1:12" x14ac:dyDescent="0.3">
      <c r="A47" s="20" t="s">
        <v>63</v>
      </c>
      <c r="B47" s="15">
        <f>B37+0.5</f>
        <v>26.05</v>
      </c>
      <c r="K47" s="2"/>
    </row>
    <row r="48" spans="1:12" x14ac:dyDescent="0.3">
      <c r="A48" s="20" t="s">
        <v>64</v>
      </c>
      <c r="B48" s="15">
        <f>B47+11.2</f>
        <v>37.25</v>
      </c>
      <c r="K48" s="2"/>
    </row>
    <row r="49" spans="1:11" x14ac:dyDescent="0.3">
      <c r="B49" s="3">
        <v>1</v>
      </c>
      <c r="C49" s="32">
        <f>E49+3</f>
        <v>37.25</v>
      </c>
      <c r="D49" s="16">
        <v>6</v>
      </c>
      <c r="E49" s="32">
        <f>G49+3</f>
        <v>34.25</v>
      </c>
      <c r="F49" s="16">
        <v>11</v>
      </c>
      <c r="G49" s="32">
        <f>I49+3</f>
        <v>31.25</v>
      </c>
      <c r="H49" s="16">
        <v>16</v>
      </c>
      <c r="I49" s="37">
        <f>B47+1+1.2</f>
        <v>28.25</v>
      </c>
      <c r="J49" s="2"/>
      <c r="K49" s="2"/>
    </row>
    <row r="50" spans="1:11" x14ac:dyDescent="0.3">
      <c r="B50" s="3">
        <v>2</v>
      </c>
      <c r="C50" s="32">
        <f>C49+3</f>
        <v>40.25</v>
      </c>
      <c r="D50" s="16">
        <v>7</v>
      </c>
      <c r="E50" s="32">
        <f>E49+3</f>
        <v>37.25</v>
      </c>
      <c r="F50" s="16">
        <v>12</v>
      </c>
      <c r="G50" s="32">
        <f>G49+3</f>
        <v>34.25</v>
      </c>
      <c r="H50" s="16">
        <v>17</v>
      </c>
      <c r="I50" s="15">
        <f>I49+3</f>
        <v>31.25</v>
      </c>
      <c r="J50" s="2"/>
      <c r="K50" s="2"/>
    </row>
    <row r="51" spans="1:11" x14ac:dyDescent="0.3">
      <c r="B51" s="3">
        <v>3</v>
      </c>
      <c r="C51" s="32">
        <f>C52+3</f>
        <v>51.25</v>
      </c>
      <c r="D51" s="16">
        <v>8</v>
      </c>
      <c r="E51" s="32">
        <f>E52+3</f>
        <v>48.25</v>
      </c>
      <c r="F51" s="16">
        <v>13</v>
      </c>
      <c r="G51" s="32">
        <f>G52+3</f>
        <v>45.25</v>
      </c>
      <c r="H51" s="16">
        <v>18</v>
      </c>
      <c r="I51" s="15">
        <f>I52+3</f>
        <v>42.25</v>
      </c>
      <c r="J51" s="2"/>
      <c r="K51" s="2"/>
    </row>
    <row r="52" spans="1:11" x14ac:dyDescent="0.3">
      <c r="B52" s="3">
        <v>4</v>
      </c>
      <c r="C52" s="32">
        <f>E52+3</f>
        <v>48.25</v>
      </c>
      <c r="D52" s="16">
        <v>9</v>
      </c>
      <c r="E52" s="32">
        <f>G52+3</f>
        <v>45.25</v>
      </c>
      <c r="F52" s="16">
        <v>14</v>
      </c>
      <c r="G52" s="32">
        <f>I52+3</f>
        <v>42.25</v>
      </c>
      <c r="H52" s="16">
        <v>19</v>
      </c>
      <c r="I52" s="15">
        <f>B48+1+1</f>
        <v>39.25</v>
      </c>
      <c r="J52" s="2"/>
      <c r="K52" s="32">
        <f>SUM(C49:C52)+SUM(E49:E52)+SUM(G49:G52)</f>
        <v>495</v>
      </c>
    </row>
    <row r="53" spans="1:11" x14ac:dyDescent="0.3">
      <c r="A53" s="31" t="s">
        <v>58</v>
      </c>
      <c r="B53" s="3"/>
      <c r="C53" s="16">
        <f>SUM(C49:C52)</f>
        <v>177</v>
      </c>
      <c r="D53" s="16"/>
      <c r="E53" s="16">
        <f>SUM(E49:E52)</f>
        <v>165</v>
      </c>
      <c r="F53" s="16"/>
      <c r="G53" s="16">
        <f>SUM(G49:G52)</f>
        <v>153</v>
      </c>
      <c r="H53" s="16"/>
      <c r="I53" s="16">
        <f>SUM(I49:I52)</f>
        <v>141</v>
      </c>
      <c r="J53" s="45">
        <f>SUM(C53:I53)</f>
        <v>636</v>
      </c>
      <c r="K53" s="18">
        <f>J53+K52</f>
        <v>1131</v>
      </c>
    </row>
    <row r="54" spans="1:11" s="50" customFormat="1" x14ac:dyDescent="0.3">
      <c r="G54" s="51"/>
    </row>
    <row r="55" spans="1:11" x14ac:dyDescent="0.3">
      <c r="A55" s="8" t="s">
        <v>72</v>
      </c>
      <c r="B55" s="13">
        <f>I30+I41+K53</f>
        <v>1825.2</v>
      </c>
      <c r="C55" t="s">
        <v>34</v>
      </c>
    </row>
    <row r="56" spans="1:11" x14ac:dyDescent="0.3">
      <c r="A56" s="8" t="s">
        <v>10</v>
      </c>
      <c r="B56" s="14">
        <f>B26+B35+B46</f>
        <v>56</v>
      </c>
    </row>
    <row r="58" spans="1:11" x14ac:dyDescent="0.3">
      <c r="A58" s="8" t="s">
        <v>12</v>
      </c>
      <c r="B58" s="28" t="s">
        <v>60</v>
      </c>
      <c r="C58">
        <v>3</v>
      </c>
      <c r="D58" t="s">
        <v>11</v>
      </c>
    </row>
    <row r="59" spans="1:11" x14ac:dyDescent="0.3">
      <c r="A59" t="s">
        <v>14</v>
      </c>
    </row>
    <row r="60" spans="1:11" x14ac:dyDescent="0.3">
      <c r="A60" s="8" t="s">
        <v>13</v>
      </c>
      <c r="B60" s="28" t="s">
        <v>60</v>
      </c>
      <c r="C60">
        <v>3</v>
      </c>
      <c r="D60" t="s">
        <v>11</v>
      </c>
    </row>
    <row r="61" spans="1:11" x14ac:dyDescent="0.3">
      <c r="A61" t="s">
        <v>73</v>
      </c>
    </row>
    <row r="62" spans="1:11" x14ac:dyDescent="0.3">
      <c r="A62" t="s">
        <v>61</v>
      </c>
    </row>
    <row r="63" spans="1:11" x14ac:dyDescent="0.3">
      <c r="A63" s="8" t="s">
        <v>12</v>
      </c>
      <c r="B63">
        <v>12</v>
      </c>
      <c r="C63">
        <v>1</v>
      </c>
      <c r="D63" t="s">
        <v>11</v>
      </c>
    </row>
    <row r="64" spans="1:11" x14ac:dyDescent="0.3">
      <c r="A64" t="s">
        <v>62</v>
      </c>
    </row>
    <row r="66" spans="1:5" x14ac:dyDescent="0.3">
      <c r="A66" t="s">
        <v>15</v>
      </c>
      <c r="C66">
        <v>1</v>
      </c>
      <c r="D66" t="s">
        <v>11</v>
      </c>
    </row>
    <row r="67" spans="1:5" x14ac:dyDescent="0.3">
      <c r="A67" t="s">
        <v>16</v>
      </c>
      <c r="C67">
        <v>1</v>
      </c>
      <c r="D67" t="s">
        <v>11</v>
      </c>
    </row>
    <row r="69" spans="1:5" x14ac:dyDescent="0.3">
      <c r="A69" s="9" t="s">
        <v>17</v>
      </c>
      <c r="B69" s="1"/>
      <c r="C69" s="1">
        <f>SUM(C58:C67)</f>
        <v>9</v>
      </c>
    </row>
    <row r="70" spans="1:5" x14ac:dyDescent="0.3">
      <c r="A70" s="1" t="s">
        <v>18</v>
      </c>
      <c r="B70" s="1"/>
      <c r="C70">
        <f>SUM(C58:C66)*2+C67</f>
        <v>17</v>
      </c>
      <c r="E70" s="31"/>
    </row>
    <row r="71" spans="1:5" x14ac:dyDescent="0.3">
      <c r="A71" s="10" t="s">
        <v>19</v>
      </c>
      <c r="B71" s="11"/>
      <c r="C71" s="12">
        <v>18</v>
      </c>
      <c r="D71" s="12" t="s">
        <v>11</v>
      </c>
    </row>
    <row r="72" spans="1:5" x14ac:dyDescent="0.3">
      <c r="A72" s="1"/>
      <c r="B72" s="1"/>
      <c r="C72" s="1"/>
    </row>
    <row r="73" spans="1:5" x14ac:dyDescent="0.3">
      <c r="A73" s="1"/>
      <c r="B73" s="1"/>
    </row>
    <row r="74" spans="1:5" x14ac:dyDescent="0.3">
      <c r="A74" s="1"/>
      <c r="B74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Contabilizacao TOTAL</vt:lpstr>
      <vt:lpstr>campus</vt:lpstr>
      <vt:lpstr>Piso 0</vt:lpstr>
      <vt:lpstr>Piso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Silva (1181436)</dc:creator>
  <cp:lastModifiedBy>mdias</cp:lastModifiedBy>
  <dcterms:created xsi:type="dcterms:W3CDTF">2020-02-26T14:52:24Z</dcterms:created>
  <dcterms:modified xsi:type="dcterms:W3CDTF">2020-03-10T21:53:22Z</dcterms:modified>
</cp:coreProperties>
</file>